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codeName="ThisWorkbook" defaultThemeVersion="124226"/>
  <mc:AlternateContent xmlns:mc="http://schemas.openxmlformats.org/markup-compatibility/2006">
    <mc:Choice Requires="x15">
      <x15ac:absPath xmlns:x15ac="http://schemas.microsoft.com/office/spreadsheetml/2010/11/ac" url="/Users/hdreves/Desktop/2018_11 FinanceRE Site Redesign/CREST Spreadsheets/"/>
    </mc:Choice>
  </mc:AlternateContent>
  <xr:revisionPtr revIDLastSave="0" documentId="13_ncr:1_{2E782365-59ED-A449-87C8-0A804A61E3E3}" xr6:coauthVersionLast="40" xr6:coauthVersionMax="40" xr10:uidLastSave="{00000000-0000-0000-0000-000000000000}"/>
  <bookViews>
    <workbookView xWindow="1600" yWindow="460" windowWidth="19320" windowHeight="10980" tabRatio="725" xr2:uid="{00000000-000D-0000-FFFF-FFFF00000000}"/>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Introduction!$B$2:$D$28</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Inputs!$U$59</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9" i="7" l="1"/>
  <c r="N22" i="7"/>
  <c r="R22" i="7"/>
  <c r="G12" i="7" l="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G18" i="11"/>
  <c r="Q164" i="11"/>
  <c r="R164" i="11"/>
  <c r="S164" i="11"/>
  <c r="T164" i="11"/>
  <c r="U164" i="11"/>
  <c r="V164" i="11"/>
  <c r="W164" i="11"/>
  <c r="X164" i="11"/>
  <c r="Y164" i="11"/>
  <c r="Z164" i="11"/>
  <c r="AA164" i="11"/>
  <c r="AB164" i="11"/>
  <c r="AC164" i="11"/>
  <c r="AD164" i="11"/>
  <c r="AE164" i="11"/>
  <c r="AF164" i="11"/>
  <c r="AG164" i="11"/>
  <c r="AH164" i="11"/>
  <c r="AI164" i="11"/>
  <c r="AJ164"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AG163" i="11"/>
  <c r="AH163" i="11"/>
  <c r="AI163" i="11"/>
  <c r="AJ163" i="11"/>
  <c r="Q178" i="11" l="1"/>
  <c r="R178" i="11"/>
  <c r="S178" i="11"/>
  <c r="T178" i="11"/>
  <c r="U178" i="11"/>
  <c r="V178" i="11"/>
  <c r="W178" i="11"/>
  <c r="X178" i="11"/>
  <c r="Y178" i="11"/>
  <c r="Z178" i="11"/>
  <c r="AA178" i="11"/>
  <c r="AB178" i="11"/>
  <c r="AC178" i="11"/>
  <c r="AD178" i="11"/>
  <c r="AE178" i="11"/>
  <c r="AF178" i="11"/>
  <c r="AG178" i="11"/>
  <c r="AH178" i="11"/>
  <c r="AI178" i="11"/>
  <c r="AJ178" i="11"/>
  <c r="G69" i="7"/>
  <c r="T41" i="7" l="1"/>
  <c r="R40" i="7"/>
  <c r="R38" i="7"/>
  <c r="R34" i="7"/>
  <c r="H20" i="11" l="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G20" i="11"/>
  <c r="L177" i="11"/>
  <c r="M177" i="11"/>
  <c r="N177" i="11"/>
  <c r="O177" i="11"/>
  <c r="P177" i="11"/>
  <c r="Q177" i="11"/>
  <c r="R177" i="11"/>
  <c r="S177" i="11"/>
  <c r="T177" i="11"/>
  <c r="U177" i="11"/>
  <c r="V177" i="11"/>
  <c r="W177" i="11"/>
  <c r="X177" i="11"/>
  <c r="Y177" i="11"/>
  <c r="Z177" i="11"/>
  <c r="AA177" i="11"/>
  <c r="AB177" i="11"/>
  <c r="AC177" i="11"/>
  <c r="AD177" i="11"/>
  <c r="AE177" i="11"/>
  <c r="AF177" i="11"/>
  <c r="AG177" i="11"/>
  <c r="AH177" i="11"/>
  <c r="AI177" i="11"/>
  <c r="AJ177" i="11"/>
  <c r="D45" i="9" l="1"/>
  <c r="D42" i="9"/>
  <c r="D43" i="9" s="1"/>
  <c r="D23" i="9" l="1"/>
  <c r="D21" i="9" l="1"/>
  <c r="G13" i="7" l="1"/>
  <c r="D20" i="9" s="1"/>
  <c r="F11" i="7"/>
  <c r="F8" i="7"/>
  <c r="C18" i="9" s="1"/>
  <c r="AF28" i="11"/>
  <c r="AG28" i="11"/>
  <c r="AH28" i="11"/>
  <c r="AI28" i="11"/>
  <c r="AJ28" i="11"/>
  <c r="G28" i="11"/>
  <c r="E132" i="11"/>
  <c r="E129" i="11"/>
  <c r="D18" i="9"/>
  <c r="N21" i="7"/>
  <c r="Y41" i="11"/>
  <c r="Z41" i="11"/>
  <c r="AA41" i="11"/>
  <c r="AB41" i="11"/>
  <c r="AC41" i="11"/>
  <c r="AD41" i="11"/>
  <c r="AE41" i="11"/>
  <c r="AF41" i="11"/>
  <c r="AG41" i="11"/>
  <c r="AH41" i="11"/>
  <c r="AI41" i="11"/>
  <c r="AJ41" i="11"/>
  <c r="AF33" i="11" l="1"/>
  <c r="AG33" i="11"/>
  <c r="AH33" i="11"/>
  <c r="AI33" i="11"/>
  <c r="AJ33" i="11"/>
  <c r="G33" i="11"/>
  <c r="D15" i="7" l="1"/>
  <c r="T13" i="7" l="1"/>
  <c r="N52" i="7" l="1"/>
  <c r="L75" i="7"/>
  <c r="L76" i="7"/>
  <c r="L77" i="7"/>
  <c r="L78" i="7"/>
  <c r="L73" i="7"/>
  <c r="N75" i="7"/>
  <c r="N76" i="7"/>
  <c r="N77" i="7"/>
  <c r="N78" i="7"/>
  <c r="N74" i="7"/>
  <c r="N73" i="7"/>
  <c r="O74" i="7"/>
  <c r="O75" i="7"/>
  <c r="O76" i="7"/>
  <c r="O77" i="7"/>
  <c r="O78" i="7"/>
  <c r="O73" i="7"/>
  <c r="N50" i="7"/>
  <c r="N43" i="7"/>
  <c r="N42" i="7"/>
  <c r="N36" i="7"/>
  <c r="N35" i="7"/>
  <c r="N34" i="7"/>
  <c r="N26" i="7"/>
  <c r="N27" i="7"/>
  <c r="N15" i="7"/>
  <c r="N14" i="7"/>
  <c r="D76" i="7"/>
  <c r="D74" i="7"/>
  <c r="D62" i="7"/>
  <c r="D54" i="7"/>
  <c r="D53" i="7"/>
  <c r="D52" i="7"/>
  <c r="D51" i="7"/>
  <c r="N8" i="7" l="1"/>
  <c r="D14" i="7"/>
  <c r="D12" i="7"/>
  <c r="G61" i="7" l="1"/>
  <c r="L79" i="7" l="1"/>
  <c r="F19" i="7"/>
  <c r="L74" i="7"/>
  <c r="D39" i="9" l="1"/>
  <c r="D40" i="9" s="1"/>
  <c r="T15" i="7"/>
  <c r="T14" i="7"/>
  <c r="T16" i="7"/>
  <c r="F61" i="11"/>
  <c r="Q207" i="11" l="1"/>
  <c r="Q208" i="11"/>
  <c r="Q209" i="11"/>
  <c r="Q210" i="11"/>
  <c r="Q211" i="11"/>
  <c r="Q212" i="11"/>
  <c r="Q213" i="11"/>
  <c r="Q214" i="11"/>
  <c r="Q215" i="11"/>
  <c r="Q206" i="11"/>
  <c r="P207" i="11"/>
  <c r="P208" i="11"/>
  <c r="P209" i="11"/>
  <c r="P210" i="11"/>
  <c r="P211" i="11"/>
  <c r="P212" i="11"/>
  <c r="P213" i="11"/>
  <c r="P214" i="11"/>
  <c r="P215" i="11"/>
  <c r="P206" i="11"/>
  <c r="M206" i="11"/>
  <c r="M207" i="11"/>
  <c r="M208" i="11"/>
  <c r="M209" i="11"/>
  <c r="M210" i="11"/>
  <c r="M211" i="11"/>
  <c r="M212" i="11"/>
  <c r="M213" i="11"/>
  <c r="M214" i="11"/>
  <c r="M215" i="11"/>
  <c r="L206" i="11"/>
  <c r="L207" i="11"/>
  <c r="L208" i="11"/>
  <c r="L209" i="11"/>
  <c r="L210" i="11"/>
  <c r="L211" i="11"/>
  <c r="L212" i="11"/>
  <c r="L213" i="11"/>
  <c r="L214" i="11"/>
  <c r="L215" i="11"/>
  <c r="I206" i="11"/>
  <c r="I207" i="11"/>
  <c r="I208" i="11"/>
  <c r="I209" i="11"/>
  <c r="I210" i="11"/>
  <c r="I211" i="11"/>
  <c r="I212" i="11"/>
  <c r="I213" i="11"/>
  <c r="I214" i="11"/>
  <c r="I215" i="11"/>
  <c r="H206" i="11"/>
  <c r="H207" i="11"/>
  <c r="H208" i="11"/>
  <c r="H209" i="11"/>
  <c r="H210" i="11"/>
  <c r="H211" i="11"/>
  <c r="H212" i="11"/>
  <c r="H213" i="11"/>
  <c r="H214" i="11"/>
  <c r="H215" i="11"/>
  <c r="F13" i="11"/>
  <c r="F12" i="11" s="1"/>
  <c r="AA195" i="11"/>
  <c r="AB195" i="11"/>
  <c r="AC195" i="11"/>
  <c r="AD195" i="11"/>
  <c r="AE195" i="11"/>
  <c r="AF195" i="11"/>
  <c r="AG195" i="11"/>
  <c r="AH195" i="11"/>
  <c r="AI195" i="11"/>
  <c r="AJ195" i="11"/>
  <c r="S195" i="11"/>
  <c r="I195" i="11"/>
  <c r="C129" i="12"/>
  <c r="G16" i="1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AI16" i="11" s="1"/>
  <c r="AJ16" i="11" s="1"/>
  <c r="G32" i="11"/>
  <c r="H32" i="11" s="1"/>
  <c r="I32" i="11" s="1"/>
  <c r="J32" i="11" s="1"/>
  <c r="K32" i="11" s="1"/>
  <c r="L32" i="11" s="1"/>
  <c r="M32" i="11" s="1"/>
  <c r="N32" i="11" s="1"/>
  <c r="O32" i="11" s="1"/>
  <c r="P32" i="11" s="1"/>
  <c r="Q32" i="11" s="1"/>
  <c r="R32" i="11" s="1"/>
  <c r="S32" i="11" s="1"/>
  <c r="T32" i="11" s="1"/>
  <c r="U32" i="11" s="1"/>
  <c r="V32" i="11" s="1"/>
  <c r="W32" i="11" s="1"/>
  <c r="X32" i="11" s="1"/>
  <c r="Y32" i="11" s="1"/>
  <c r="Z32" i="11" s="1"/>
  <c r="AA32" i="11" s="1"/>
  <c r="AB32" i="11" s="1"/>
  <c r="AC32" i="11" s="1"/>
  <c r="AD32" i="11" s="1"/>
  <c r="AE32" i="11" s="1"/>
  <c r="AF32" i="11" s="1"/>
  <c r="AG32" i="11" s="1"/>
  <c r="AH32" i="11" s="1"/>
  <c r="AI32" i="11" s="1"/>
  <c r="AJ32" i="11" s="1"/>
  <c r="J205" i="11" l="1"/>
  <c r="J206" i="11" s="1"/>
  <c r="J207" i="11" s="1"/>
  <c r="J208" i="11" s="1"/>
  <c r="J209" i="11" s="1"/>
  <c r="J210" i="11" s="1"/>
  <c r="J211" i="11" s="1"/>
  <c r="J212" i="11" s="1"/>
  <c r="J213" i="11" s="1"/>
  <c r="J214" i="11" s="1"/>
  <c r="Z195" i="11"/>
  <c r="X195" i="11"/>
  <c r="V195" i="11"/>
  <c r="T195" i="11"/>
  <c r="R195" i="11"/>
  <c r="P195" i="11"/>
  <c r="N195" i="11"/>
  <c r="L195" i="11"/>
  <c r="J195" i="11"/>
  <c r="H195" i="11"/>
  <c r="G195" i="11"/>
  <c r="Y195" i="11"/>
  <c r="W195" i="11"/>
  <c r="U195" i="11"/>
  <c r="Q195" i="11"/>
  <c r="O195" i="11"/>
  <c r="M195" i="11"/>
  <c r="K195" i="11"/>
  <c r="F31" i="7"/>
  <c r="B183" i="11"/>
  <c r="B169" i="11"/>
  <c r="F60" i="11"/>
  <c r="D8" i="9"/>
  <c r="AI166" i="11" l="1"/>
  <c r="AI65" i="11" s="1"/>
  <c r="AG166" i="11"/>
  <c r="AG65" i="11" s="1"/>
  <c r="AE166" i="11"/>
  <c r="AE65" i="11" s="1"/>
  <c r="AC166" i="11"/>
  <c r="AC65" i="11" s="1"/>
  <c r="AA166" i="11"/>
  <c r="AA65" i="11" s="1"/>
  <c r="Y166" i="11"/>
  <c r="Y65" i="11" s="1"/>
  <c r="W166" i="11"/>
  <c r="W65" i="11" s="1"/>
  <c r="U166" i="11"/>
  <c r="U65" i="11" s="1"/>
  <c r="S166" i="11"/>
  <c r="S65" i="11" s="1"/>
  <c r="AJ180" i="11"/>
  <c r="AH180" i="11"/>
  <c r="AF180" i="11"/>
  <c r="AD180" i="11"/>
  <c r="AB180" i="11"/>
  <c r="Z180" i="11"/>
  <c r="X180" i="11"/>
  <c r="V180" i="11"/>
  <c r="T180" i="11"/>
  <c r="R180" i="11"/>
  <c r="AI180" i="11"/>
  <c r="AG180" i="11"/>
  <c r="AE180" i="11"/>
  <c r="AC180" i="11"/>
  <c r="AA180" i="11"/>
  <c r="Y180" i="11"/>
  <c r="W180" i="11"/>
  <c r="U180" i="11"/>
  <c r="S180" i="11"/>
  <c r="Q180" i="11"/>
  <c r="Q166" i="11"/>
  <c r="Q65" i="11" s="1"/>
  <c r="AJ166" i="11"/>
  <c r="AJ65" i="11" s="1"/>
  <c r="AH166" i="11"/>
  <c r="AH65" i="11" s="1"/>
  <c r="AF166" i="11"/>
  <c r="AF65" i="11" s="1"/>
  <c r="AD166" i="11"/>
  <c r="AD65" i="11" s="1"/>
  <c r="AB166" i="11"/>
  <c r="AB65" i="11" s="1"/>
  <c r="Z166" i="11"/>
  <c r="Z65" i="11" s="1"/>
  <c r="X166" i="11"/>
  <c r="X65" i="11" s="1"/>
  <c r="V166" i="11"/>
  <c r="V65" i="11" s="1"/>
  <c r="T166" i="11"/>
  <c r="T65" i="11" s="1"/>
  <c r="R166" i="11"/>
  <c r="R65" i="11" s="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AG196" i="11"/>
  <c r="AH196" i="11"/>
  <c r="AI196" i="11"/>
  <c r="AJ196" i="11"/>
  <c r="G196" i="11"/>
  <c r="H194" i="11"/>
  <c r="I194" i="11"/>
  <c r="J194" i="11"/>
  <c r="K194" i="11"/>
  <c r="L194" i="11"/>
  <c r="M194" i="11"/>
  <c r="N194" i="11"/>
  <c r="O194" i="11"/>
  <c r="P194" i="11"/>
  <c r="Q194" i="11"/>
  <c r="R194" i="11"/>
  <c r="S194" i="11"/>
  <c r="T194" i="11"/>
  <c r="U194" i="11"/>
  <c r="V194" i="11"/>
  <c r="W194" i="11"/>
  <c r="X194" i="11"/>
  <c r="Y194" i="11"/>
  <c r="AA194" i="11"/>
  <c r="AB194" i="11"/>
  <c r="AC194" i="11"/>
  <c r="AF194" i="11"/>
  <c r="AG194" i="11"/>
  <c r="AH194" i="11"/>
  <c r="AI194" i="11"/>
  <c r="I193" i="11"/>
  <c r="J193" i="11"/>
  <c r="K193" i="11"/>
  <c r="L193" i="11"/>
  <c r="M193" i="11"/>
  <c r="N193" i="11"/>
  <c r="O193" i="11"/>
  <c r="P193" i="11"/>
  <c r="Q193" i="11"/>
  <c r="R193" i="11"/>
  <c r="S193" i="11"/>
  <c r="T193" i="11"/>
  <c r="U193" i="11"/>
  <c r="V193" i="11"/>
  <c r="W193" i="11"/>
  <c r="X193" i="11"/>
  <c r="Z193" i="11"/>
  <c r="AB193" i="11"/>
  <c r="AC193" i="11"/>
  <c r="AD193" i="11"/>
  <c r="AE193" i="11"/>
  <c r="AH193" i="11"/>
  <c r="AI193" i="11"/>
  <c r="AJ193" i="11"/>
  <c r="G31" i="11"/>
  <c r="H17" i="11"/>
  <c r="I17" i="11"/>
  <c r="J17" i="11"/>
  <c r="K17" i="11"/>
  <c r="L17" i="11"/>
  <c r="M17" i="11"/>
  <c r="N17" i="11"/>
  <c r="O17" i="11"/>
  <c r="P17" i="11"/>
  <c r="Q17" i="11"/>
  <c r="R17" i="11"/>
  <c r="S17" i="11"/>
  <c r="T17" i="11"/>
  <c r="U17" i="11"/>
  <c r="G17" i="11"/>
  <c r="O16" i="7"/>
  <c r="G120" i="12"/>
  <c r="H120" i="12"/>
  <c r="I120" i="12"/>
  <c r="J120" i="12"/>
  <c r="K120" i="12"/>
  <c r="M120" i="12"/>
  <c r="G119" i="12"/>
  <c r="H119" i="12"/>
  <c r="I119" i="12"/>
  <c r="J119" i="12"/>
  <c r="K119" i="12"/>
  <c r="L119" i="12"/>
  <c r="M119" i="12"/>
  <c r="N119" i="12"/>
  <c r="G118" i="12"/>
  <c r="H118" i="12"/>
  <c r="I118" i="12"/>
  <c r="J118" i="12"/>
  <c r="K118" i="12"/>
  <c r="L118" i="12"/>
  <c r="M118" i="12"/>
  <c r="N118" i="12"/>
  <c r="G117" i="12"/>
  <c r="H117" i="12"/>
  <c r="I117" i="12"/>
  <c r="J117" i="12"/>
  <c r="K117" i="12"/>
  <c r="L117" i="12"/>
  <c r="M117" i="12"/>
  <c r="N117" i="12"/>
  <c r="G116" i="12"/>
  <c r="H116" i="12"/>
  <c r="I116" i="12"/>
  <c r="J116" i="12"/>
  <c r="K116" i="12"/>
  <c r="L116" i="12"/>
  <c r="M116" i="12"/>
  <c r="N116" i="12"/>
  <c r="K121" i="12" l="1"/>
  <c r="I121" i="12"/>
  <c r="G121" i="12"/>
  <c r="M121" i="12"/>
  <c r="J121" i="12"/>
  <c r="H121" i="12"/>
  <c r="D9" i="9"/>
  <c r="B32" i="9" l="1"/>
  <c r="C123" i="12"/>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G48" i="11"/>
  <c r="AH48" i="11"/>
  <c r="AI48" i="11"/>
  <c r="AJ48" i="11"/>
  <c r="G48" i="11"/>
  <c r="P35" i="10" l="1"/>
  <c r="P33" i="10"/>
  <c r="P36" i="10"/>
  <c r="P34" i="10"/>
  <c r="AI200" i="11"/>
  <c r="AI47" i="11" s="1"/>
  <c r="G35" i="10" s="1"/>
  <c r="AB200" i="11"/>
  <c r="AB47" i="11" s="1"/>
  <c r="G28" i="10" s="1"/>
  <c r="X200" i="11"/>
  <c r="X47" i="11" s="1"/>
  <c r="G24" i="10" s="1"/>
  <c r="V200" i="11"/>
  <c r="V47" i="11" s="1"/>
  <c r="G22" i="10" s="1"/>
  <c r="T200" i="11"/>
  <c r="T47" i="11" s="1"/>
  <c r="G20" i="10" s="1"/>
  <c r="R200" i="11"/>
  <c r="R47" i="11" s="1"/>
  <c r="G18" i="10" s="1"/>
  <c r="P200" i="11"/>
  <c r="P47" i="11" s="1"/>
  <c r="G16" i="10" s="1"/>
  <c r="N200" i="11"/>
  <c r="N47" i="11" s="1"/>
  <c r="G14" i="10" s="1"/>
  <c r="L200" i="11"/>
  <c r="L47" i="11" s="1"/>
  <c r="G12" i="10" s="1"/>
  <c r="J200" i="11"/>
  <c r="J47" i="11" s="1"/>
  <c r="G10" i="10" s="1"/>
  <c r="AH200" i="11"/>
  <c r="AH47" i="11" s="1"/>
  <c r="G34" i="10" s="1"/>
  <c r="AC200" i="11"/>
  <c r="AC47" i="11" s="1"/>
  <c r="G29" i="10" s="1"/>
  <c r="W200" i="11"/>
  <c r="W47" i="11" s="1"/>
  <c r="G23" i="10" s="1"/>
  <c r="S200" i="11"/>
  <c r="S47" i="11" s="1"/>
  <c r="G19" i="10" s="1"/>
  <c r="Q200" i="11"/>
  <c r="Q47" i="11" s="1"/>
  <c r="G17" i="10" s="1"/>
  <c r="O200" i="11"/>
  <c r="O47" i="11" s="1"/>
  <c r="G15" i="10" s="1"/>
  <c r="M200" i="11"/>
  <c r="M47" i="11" s="1"/>
  <c r="G13" i="10" s="1"/>
  <c r="K200" i="11"/>
  <c r="K47" i="11" s="1"/>
  <c r="G11" i="10" s="1"/>
  <c r="I200" i="11"/>
  <c r="I47" i="11" s="1"/>
  <c r="G9" i="10" s="1"/>
  <c r="B72" i="11" l="1"/>
  <c r="F120" i="12"/>
  <c r="F119" i="12"/>
  <c r="F118" i="12"/>
  <c r="F117" i="12"/>
  <c r="F116" i="12"/>
  <c r="C108" i="12"/>
  <c r="C101" i="12"/>
  <c r="D101" i="12" s="1"/>
  <c r="C76" i="12"/>
  <c r="C118" i="12" s="1"/>
  <c r="C51" i="12"/>
  <c r="D51" i="12" s="1"/>
  <c r="C26" i="12"/>
  <c r="C19" i="9"/>
  <c r="H129" i="11"/>
  <c r="I129" i="11"/>
  <c r="J129" i="11"/>
  <c r="K129" i="11"/>
  <c r="L129" i="11"/>
  <c r="M129" i="11"/>
  <c r="N129" i="11"/>
  <c r="O129" i="11"/>
  <c r="Q129" i="11"/>
  <c r="S129" i="11"/>
  <c r="T129" i="11"/>
  <c r="U129" i="11"/>
  <c r="V129" i="11"/>
  <c r="W129" i="11"/>
  <c r="X129" i="11"/>
  <c r="Y129" i="11"/>
  <c r="Z129" i="11"/>
  <c r="AA129" i="11"/>
  <c r="AB129" i="11"/>
  <c r="AC129" i="11"/>
  <c r="AD129" i="11"/>
  <c r="AE129" i="11"/>
  <c r="AF129" i="11"/>
  <c r="AG129" i="11"/>
  <c r="AH129" i="11"/>
  <c r="AI129" i="11"/>
  <c r="AJ129" i="11"/>
  <c r="H132" i="11"/>
  <c r="I132" i="11"/>
  <c r="J132" i="11"/>
  <c r="K132" i="11"/>
  <c r="L132" i="11"/>
  <c r="M132" i="11"/>
  <c r="N132" i="11"/>
  <c r="O132" i="11"/>
  <c r="P132" i="11"/>
  <c r="Q132" i="11"/>
  <c r="R132" i="11"/>
  <c r="S132" i="11"/>
  <c r="T132" i="11"/>
  <c r="U132" i="11"/>
  <c r="V132" i="11"/>
  <c r="W132" i="11"/>
  <c r="X132" i="11"/>
  <c r="Y132" i="11"/>
  <c r="AA132" i="11"/>
  <c r="AB132" i="11"/>
  <c r="AC132" i="11"/>
  <c r="AD132" i="11"/>
  <c r="AE132" i="11"/>
  <c r="AF132" i="11"/>
  <c r="AG132" i="11"/>
  <c r="AH132" i="11"/>
  <c r="AI132" i="11"/>
  <c r="AJ132" i="11"/>
  <c r="G132" i="11"/>
  <c r="G133" i="11" s="1"/>
  <c r="G134" i="11" s="1"/>
  <c r="G129" i="11"/>
  <c r="G130" i="11" s="1"/>
  <c r="Z132" i="11"/>
  <c r="P129" i="11"/>
  <c r="H10" i="11"/>
  <c r="H9" i="11"/>
  <c r="W104" i="11"/>
  <c r="X104" i="11"/>
  <c r="Y104" i="11"/>
  <c r="Z104" i="11"/>
  <c r="AA104" i="11"/>
  <c r="AB104" i="11"/>
  <c r="AC104" i="11"/>
  <c r="AD104" i="11"/>
  <c r="AE104" i="11"/>
  <c r="AF104" i="11"/>
  <c r="AG104" i="11"/>
  <c r="AH104" i="11"/>
  <c r="AI104" i="11"/>
  <c r="AJ104" i="11"/>
  <c r="M103" i="11"/>
  <c r="N103" i="11"/>
  <c r="O103" i="11"/>
  <c r="P103" i="11"/>
  <c r="Q103" i="11"/>
  <c r="R103" i="11"/>
  <c r="S103" i="11"/>
  <c r="T103" i="11"/>
  <c r="U103" i="11"/>
  <c r="V103" i="11"/>
  <c r="W103" i="11"/>
  <c r="X103" i="11"/>
  <c r="Y103" i="11"/>
  <c r="Z103" i="11"/>
  <c r="AA103" i="11"/>
  <c r="AB103" i="11"/>
  <c r="AC103" i="11"/>
  <c r="AD103" i="11"/>
  <c r="AE103" i="11"/>
  <c r="AF103" i="11"/>
  <c r="AG103" i="11"/>
  <c r="AH103" i="11"/>
  <c r="AI103" i="11"/>
  <c r="AJ103" i="11"/>
  <c r="F81" i="11"/>
  <c r="H26" i="11"/>
  <c r="H8" i="11"/>
  <c r="H4" i="11"/>
  <c r="P53" i="7"/>
  <c r="F87" i="11"/>
  <c r="AJ105" i="11"/>
  <c r="AI105" i="11"/>
  <c r="AH105" i="11"/>
  <c r="AG105" i="11"/>
  <c r="AF105" i="11"/>
  <c r="AE105" i="11"/>
  <c r="AD105" i="11"/>
  <c r="AC105" i="11"/>
  <c r="AB105" i="11"/>
  <c r="H33" i="11" l="1"/>
  <c r="H28" i="11"/>
  <c r="I26" i="11"/>
  <c r="H31" i="11"/>
  <c r="I9" i="11"/>
  <c r="D26" i="12"/>
  <c r="D116" i="12" s="1"/>
  <c r="C107" i="12"/>
  <c r="L120" i="12" s="1"/>
  <c r="L121" i="12" s="1"/>
  <c r="R129" i="11"/>
  <c r="F121" i="12"/>
  <c r="C106" i="12"/>
  <c r="D117" i="12"/>
  <c r="D119" i="12"/>
  <c r="C117" i="12"/>
  <c r="C119" i="12"/>
  <c r="D76" i="12"/>
  <c r="D118" i="12" s="1"/>
  <c r="C116" i="12"/>
  <c r="G131" i="11"/>
  <c r="H130" i="11"/>
  <c r="H131" i="11" s="1"/>
  <c r="H133" i="11"/>
  <c r="H134" i="11" s="1"/>
  <c r="I10" i="11"/>
  <c r="F27" i="7"/>
  <c r="P51" i="7"/>
  <c r="I8" i="11"/>
  <c r="I4" i="11"/>
  <c r="I33" i="11" l="1"/>
  <c r="I28" i="11"/>
  <c r="J26" i="11"/>
  <c r="I31" i="11"/>
  <c r="C130" i="12"/>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G48" i="7"/>
  <c r="J9" i="11"/>
  <c r="J8" i="11"/>
  <c r="I130" i="11"/>
  <c r="I133" i="11"/>
  <c r="I134" i="11" s="1"/>
  <c r="J10" i="11"/>
  <c r="J4" i="11"/>
  <c r="J33" i="11" l="1"/>
  <c r="J28" i="11"/>
  <c r="K26" i="11"/>
  <c r="J31" i="11"/>
  <c r="K9" i="11"/>
  <c r="K8" i="11"/>
  <c r="J130" i="11"/>
  <c r="I131" i="11"/>
  <c r="J133" i="11"/>
  <c r="J134" i="11" s="1"/>
  <c r="K10" i="11"/>
  <c r="K4" i="11"/>
  <c r="K33" i="11" l="1"/>
  <c r="K28" i="11"/>
  <c r="L26" i="11"/>
  <c r="K31" i="11"/>
  <c r="L9" i="11"/>
  <c r="L8" i="11"/>
  <c r="K130" i="11"/>
  <c r="J131" i="11"/>
  <c r="K133" i="11"/>
  <c r="K134" i="11" s="1"/>
  <c r="L10" i="11"/>
  <c r="L4" i="11"/>
  <c r="L33" i="11" l="1"/>
  <c r="L28" i="11"/>
  <c r="M26" i="11"/>
  <c r="L31" i="11"/>
  <c r="M9" i="11"/>
  <c r="M8" i="11"/>
  <c r="L130" i="11"/>
  <c r="K131" i="11"/>
  <c r="L133" i="11"/>
  <c r="L134" i="11" s="1"/>
  <c r="M10" i="11"/>
  <c r="M4" i="11"/>
  <c r="M33" i="11" l="1"/>
  <c r="M28" i="11"/>
  <c r="N26" i="11"/>
  <c r="M31" i="11"/>
  <c r="N9" i="11"/>
  <c r="N8" i="11"/>
  <c r="M130" i="11"/>
  <c r="L131" i="11"/>
  <c r="M133" i="11"/>
  <c r="M134" i="11" s="1"/>
  <c r="N10" i="11"/>
  <c r="N4" i="11"/>
  <c r="N33" i="11" l="1"/>
  <c r="N28" i="11"/>
  <c r="O26" i="11"/>
  <c r="N31" i="11"/>
  <c r="O9" i="11"/>
  <c r="O8" i="11"/>
  <c r="N130" i="11"/>
  <c r="M131" i="11"/>
  <c r="N133" i="11"/>
  <c r="N134" i="11" s="1"/>
  <c r="O10" i="11"/>
  <c r="O4" i="11"/>
  <c r="O33" i="11" l="1"/>
  <c r="O28" i="11"/>
  <c r="P26" i="11"/>
  <c r="O31" i="11"/>
  <c r="P9" i="11"/>
  <c r="P8" i="11"/>
  <c r="O130" i="11"/>
  <c r="N131" i="11"/>
  <c r="O133" i="11"/>
  <c r="O134" i="11" s="1"/>
  <c r="P10" i="11"/>
  <c r="P4" i="11"/>
  <c r="P33" i="11" l="1"/>
  <c r="P28" i="11"/>
  <c r="Q26" i="11"/>
  <c r="P31" i="11"/>
  <c r="Q9" i="11"/>
  <c r="R9" i="11" s="1"/>
  <c r="S9" i="11" s="1"/>
  <c r="T9" i="11" s="1"/>
  <c r="U9" i="11" s="1"/>
  <c r="V9" i="11" s="1"/>
  <c r="W9" i="11" s="1"/>
  <c r="X9" i="11" s="1"/>
  <c r="Y9" i="11" s="1"/>
  <c r="Z9" i="11" s="1"/>
  <c r="AA9" i="11" s="1"/>
  <c r="AB9" i="11" s="1"/>
  <c r="AC9" i="11" s="1"/>
  <c r="AD9" i="11" s="1"/>
  <c r="AE9" i="11" s="1"/>
  <c r="AF9" i="11" s="1"/>
  <c r="AG9" i="11" s="1"/>
  <c r="AH9" i="11" s="1"/>
  <c r="AI9" i="11" s="1"/>
  <c r="AJ9" i="11" s="1"/>
  <c r="O131" i="11"/>
  <c r="P130" i="11"/>
  <c r="Q8" i="11"/>
  <c r="P133" i="11"/>
  <c r="P134" i="11" s="1"/>
  <c r="Q10" i="11"/>
  <c r="R10" i="11" s="1"/>
  <c r="S10" i="11" s="1"/>
  <c r="T10" i="11" s="1"/>
  <c r="U10" i="11" s="1"/>
  <c r="V10" i="11" s="1"/>
  <c r="W10" i="11" s="1"/>
  <c r="X10" i="11" s="1"/>
  <c r="Y10" i="11" s="1"/>
  <c r="Z10" i="11" s="1"/>
  <c r="AA10" i="11" s="1"/>
  <c r="AB10" i="11" s="1"/>
  <c r="AC10" i="11" s="1"/>
  <c r="AD10" i="11" s="1"/>
  <c r="AE10" i="11" s="1"/>
  <c r="AF10" i="11" s="1"/>
  <c r="AG10" i="11" s="1"/>
  <c r="AH10" i="11" s="1"/>
  <c r="AI10" i="11" s="1"/>
  <c r="AJ10" i="11" s="1"/>
  <c r="Q4" i="11"/>
  <c r="Q33" i="11" l="1"/>
  <c r="Q28" i="11"/>
  <c r="R26" i="11"/>
  <c r="Q31" i="11"/>
  <c r="P131" i="11"/>
  <c r="Q130" i="11"/>
  <c r="R8" i="11"/>
  <c r="Q133" i="11"/>
  <c r="Q134" i="11" s="1"/>
  <c r="R4" i="11"/>
  <c r="R33" i="11" l="1"/>
  <c r="R28" i="11"/>
  <c r="S26" i="11"/>
  <c r="R31" i="11"/>
  <c r="Q131" i="11"/>
  <c r="R130" i="11"/>
  <c r="S8" i="11"/>
  <c r="R133" i="11"/>
  <c r="R134" i="11" s="1"/>
  <c r="S4" i="11"/>
  <c r="S33" i="11" l="1"/>
  <c r="S28" i="11"/>
  <c r="T26" i="11"/>
  <c r="S31" i="11"/>
  <c r="R131" i="11"/>
  <c r="S130" i="11"/>
  <c r="T8" i="11"/>
  <c r="S133" i="11"/>
  <c r="S134" i="11" s="1"/>
  <c r="T4" i="11"/>
  <c r="T33" i="11" l="1"/>
  <c r="T28" i="11"/>
  <c r="U26" i="11"/>
  <c r="T31" i="11"/>
  <c r="S131" i="11"/>
  <c r="T130" i="11"/>
  <c r="U8" i="11"/>
  <c r="T133" i="11"/>
  <c r="T134" i="11" s="1"/>
  <c r="U4" i="11"/>
  <c r="U33" i="11" l="1"/>
  <c r="U28" i="11"/>
  <c r="V26" i="11"/>
  <c r="U31" i="11"/>
  <c r="T131" i="11"/>
  <c r="U130" i="11"/>
  <c r="V8" i="11"/>
  <c r="U133" i="11"/>
  <c r="U134" i="11" s="1"/>
  <c r="V4" i="11"/>
  <c r="V33" i="11" l="1"/>
  <c r="V28" i="11"/>
  <c r="W26" i="11"/>
  <c r="V31" i="11"/>
  <c r="V130" i="11"/>
  <c r="U131" i="11"/>
  <c r="W8" i="11"/>
  <c r="V133" i="11"/>
  <c r="V134" i="11" s="1"/>
  <c r="W4" i="11"/>
  <c r="W33" i="11" l="1"/>
  <c r="W28" i="11"/>
  <c r="X26" i="11"/>
  <c r="W31" i="11"/>
  <c r="V131" i="11"/>
  <c r="W130" i="11"/>
  <c r="X8" i="11"/>
  <c r="W133" i="11"/>
  <c r="W134" i="11" s="1"/>
  <c r="X4" i="11"/>
  <c r="X33" i="11" l="1"/>
  <c r="X28" i="11"/>
  <c r="Y26" i="11"/>
  <c r="X31" i="11"/>
  <c r="W131" i="11"/>
  <c r="X130" i="11"/>
  <c r="Y8" i="11"/>
  <c r="X133" i="11"/>
  <c r="X134" i="11" s="1"/>
  <c r="Y4" i="11"/>
  <c r="Y33" i="11" l="1"/>
  <c r="Y28" i="11"/>
  <c r="Z26" i="11"/>
  <c r="Y31" i="11"/>
  <c r="Y130" i="11"/>
  <c r="X131" i="11"/>
  <c r="Z8" i="11"/>
  <c r="Y133" i="11"/>
  <c r="Z4" i="11"/>
  <c r="Z33" i="11" l="1"/>
  <c r="Z28" i="11"/>
  <c r="AA26" i="11"/>
  <c r="Z31" i="11"/>
  <c r="Y134" i="11"/>
  <c r="Z133" i="11"/>
  <c r="Y131" i="11"/>
  <c r="Z130" i="11"/>
  <c r="AA8" i="11"/>
  <c r="AA4" i="11"/>
  <c r="AA33" i="11" l="1"/>
  <c r="AA28" i="11"/>
  <c r="AB26" i="11"/>
  <c r="AA31" i="11"/>
  <c r="Z131" i="11"/>
  <c r="AA130" i="11"/>
  <c r="Z134" i="11"/>
  <c r="AA133" i="11"/>
  <c r="AB8" i="11"/>
  <c r="AB4" i="11"/>
  <c r="AB33" i="11" l="1"/>
  <c r="AB28" i="11"/>
  <c r="AC26" i="11"/>
  <c r="AB31" i="11"/>
  <c r="AA134" i="11"/>
  <c r="AB133" i="11"/>
  <c r="AB130" i="11"/>
  <c r="AA131" i="11"/>
  <c r="AC8" i="11"/>
  <c r="AC4" i="11"/>
  <c r="AC33" i="11" l="1"/>
  <c r="AC28" i="11"/>
  <c r="AD26" i="11"/>
  <c r="AC31" i="11"/>
  <c r="AB134" i="11"/>
  <c r="AC133" i="11"/>
  <c r="AC130" i="11"/>
  <c r="AB131" i="11"/>
  <c r="AD8" i="11"/>
  <c r="AD4" i="11"/>
  <c r="AD33" i="11" l="1"/>
  <c r="AD28" i="11"/>
  <c r="AE26" i="11"/>
  <c r="AD31" i="11"/>
  <c r="AC134" i="11"/>
  <c r="AD133" i="11"/>
  <c r="AC131" i="11"/>
  <c r="AD130" i="11"/>
  <c r="AE8" i="11"/>
  <c r="AE4" i="11"/>
  <c r="AE33" i="11" l="1"/>
  <c r="AE28" i="11"/>
  <c r="AF26" i="11"/>
  <c r="AE31" i="11"/>
  <c r="AE130" i="11"/>
  <c r="AD131" i="11"/>
  <c r="AD134" i="11"/>
  <c r="AE133" i="11"/>
  <c r="AF8" i="11"/>
  <c r="AG8" i="11" s="1"/>
  <c r="AH8" i="11" s="1"/>
  <c r="AI8" i="11" s="1"/>
  <c r="AJ8" i="11" s="1"/>
  <c r="AF4" i="11"/>
  <c r="AG26" i="11" l="1"/>
  <c r="AF31" i="11"/>
  <c r="AE134" i="11"/>
  <c r="AF133" i="11"/>
  <c r="AF130" i="11"/>
  <c r="AE131" i="11"/>
  <c r="AG4" i="11"/>
  <c r="AH26" i="11" l="1"/>
  <c r="AG31" i="11"/>
  <c r="AF134" i="11"/>
  <c r="AG133" i="11"/>
  <c r="AF131" i="11"/>
  <c r="AG130" i="11"/>
  <c r="AH4" i="11"/>
  <c r="AI26" i="11" l="1"/>
  <c r="AH31" i="11"/>
  <c r="AH130" i="11"/>
  <c r="AG131" i="11"/>
  <c r="AG134" i="11"/>
  <c r="AH133" i="11"/>
  <c r="AI4" i="11"/>
  <c r="AJ26" i="11" l="1"/>
  <c r="AI31" i="11"/>
  <c r="AH134" i="11"/>
  <c r="AI133" i="11"/>
  <c r="AI130" i="11"/>
  <c r="AH131" i="11"/>
  <c r="AJ4" i="11"/>
  <c r="AJ31" i="11" l="1"/>
  <c r="AI134" i="11"/>
  <c r="AJ133" i="11"/>
  <c r="AJ134" i="11" s="1"/>
  <c r="AI131" i="11"/>
  <c r="AJ130" i="11"/>
  <c r="AJ131" i="11" s="1"/>
  <c r="B80" i="12" l="1"/>
  <c r="B34" i="9"/>
  <c r="B31" i="9"/>
  <c r="B30" i="9"/>
  <c r="D35" i="9"/>
  <c r="D31" i="9"/>
  <c r="D32" i="9"/>
  <c r="B35" i="9"/>
  <c r="B22" i="9"/>
  <c r="D19" i="9"/>
  <c r="D22" i="9"/>
  <c r="D17" i="9"/>
  <c r="D30" i="9"/>
  <c r="G78" i="7"/>
  <c r="D34" i="9" l="1"/>
  <c r="D33" i="9"/>
  <c r="D37" i="9"/>
  <c r="D36" i="9"/>
  <c r="AF5" i="11"/>
  <c r="AF21" i="11" s="1"/>
  <c r="AH5" i="11"/>
  <c r="AH21" i="11" s="1"/>
  <c r="AJ5" i="11"/>
  <c r="AJ21" i="11" s="1"/>
  <c r="AG5" i="11"/>
  <c r="AG21" i="11" s="1"/>
  <c r="AI5" i="11"/>
  <c r="AI21" i="11" s="1"/>
  <c r="H5" i="11"/>
  <c r="I5" i="11"/>
  <c r="J5" i="11"/>
  <c r="K5" i="11"/>
  <c r="L5" i="11"/>
  <c r="M5" i="11"/>
  <c r="N5" i="11"/>
  <c r="O5" i="11"/>
  <c r="P5" i="11"/>
  <c r="Q5" i="11"/>
  <c r="R5" i="11"/>
  <c r="S5" i="11"/>
  <c r="T5" i="11"/>
  <c r="U5" i="11"/>
  <c r="V5" i="11"/>
  <c r="V21" i="11" s="1"/>
  <c r="W5" i="11"/>
  <c r="W21" i="11" s="1"/>
  <c r="X5" i="11"/>
  <c r="X21" i="11" s="1"/>
  <c r="Y5" i="11"/>
  <c r="Y21" i="11" s="1"/>
  <c r="Z5" i="11"/>
  <c r="Z21" i="11" s="1"/>
  <c r="AA5" i="11"/>
  <c r="AA21" i="11" s="1"/>
  <c r="AB5" i="11"/>
  <c r="AB21" i="11" s="1"/>
  <c r="AC5" i="11"/>
  <c r="AC21" i="11" s="1"/>
  <c r="AD5" i="11"/>
  <c r="AD21" i="11" s="1"/>
  <c r="AE5" i="11"/>
  <c r="AE21" i="11" s="1"/>
  <c r="G5" i="11"/>
  <c r="G21" i="11" l="1"/>
  <c r="G178" i="11"/>
  <c r="P21" i="11"/>
  <c r="P178" i="11"/>
  <c r="P180" i="11" s="1"/>
  <c r="N21" i="11"/>
  <c r="N178" i="11"/>
  <c r="N180" i="11" s="1"/>
  <c r="L21" i="11"/>
  <c r="L178" i="11"/>
  <c r="L180" i="11" s="1"/>
  <c r="J21" i="11"/>
  <c r="J178" i="11"/>
  <c r="H21" i="11"/>
  <c r="H178" i="11"/>
  <c r="O21" i="11"/>
  <c r="O178" i="11"/>
  <c r="O180" i="11" s="1"/>
  <c r="M21" i="11"/>
  <c r="M178" i="11"/>
  <c r="M180" i="11" s="1"/>
  <c r="K21" i="11"/>
  <c r="K178" i="11"/>
  <c r="I21" i="11"/>
  <c r="I178" i="11"/>
  <c r="U29" i="11"/>
  <c r="U21" i="11"/>
  <c r="S29" i="11"/>
  <c r="S21" i="11"/>
  <c r="Q29" i="11"/>
  <c r="Q21" i="11"/>
  <c r="T29" i="11"/>
  <c r="T21" i="11"/>
  <c r="R29" i="11"/>
  <c r="R21" i="11"/>
  <c r="AG29" i="11"/>
  <c r="AG17" i="11"/>
  <c r="AG19" i="11"/>
  <c r="AI29" i="11"/>
  <c r="AI19" i="11"/>
  <c r="AI17" i="11"/>
  <c r="AJ29" i="11"/>
  <c r="AJ19" i="11"/>
  <c r="AJ17" i="11"/>
  <c r="AF29" i="11"/>
  <c r="AF17" i="11"/>
  <c r="AF19" i="11"/>
  <c r="AH29" i="11"/>
  <c r="AH17" i="11"/>
  <c r="AH19" i="11"/>
  <c r="AE29" i="11"/>
  <c r="AE17" i="11"/>
  <c r="AA29" i="11"/>
  <c r="AA17" i="11"/>
  <c r="AD29" i="11"/>
  <c r="AD17" i="11"/>
  <c r="AB29" i="11"/>
  <c r="AB17" i="11"/>
  <c r="AC29" i="11"/>
  <c r="AC17" i="11"/>
  <c r="O29" i="11"/>
  <c r="K29" i="11"/>
  <c r="P29" i="11"/>
  <c r="N29" i="11"/>
  <c r="L29" i="11"/>
  <c r="J29" i="11"/>
  <c r="H29" i="11"/>
  <c r="G29" i="11"/>
  <c r="M29" i="11"/>
  <c r="I29" i="11"/>
  <c r="Z17" i="11"/>
  <c r="Z29" i="11"/>
  <c r="X17" i="11"/>
  <c r="X29" i="11"/>
  <c r="V17" i="11"/>
  <c r="V29" i="11"/>
  <c r="Y17" i="11"/>
  <c r="Y29" i="11"/>
  <c r="W17" i="11"/>
  <c r="W29" i="11"/>
  <c r="AE19" i="11"/>
  <c r="AC19" i="11"/>
  <c r="AA19" i="11"/>
  <c r="AD19" i="11"/>
  <c r="AB19" i="11"/>
  <c r="Z19" i="11"/>
  <c r="X19" i="11"/>
  <c r="V19" i="11"/>
  <c r="T19" i="11"/>
  <c r="P19" i="11"/>
  <c r="N19" i="11"/>
  <c r="L19" i="11"/>
  <c r="J19" i="11"/>
  <c r="H19" i="11"/>
  <c r="Y19" i="11"/>
  <c r="W19" i="11"/>
  <c r="U19" i="11"/>
  <c r="S19" i="11"/>
  <c r="Q19" i="11"/>
  <c r="O19" i="11"/>
  <c r="M19" i="11"/>
  <c r="K19" i="11"/>
  <c r="I19" i="11"/>
  <c r="G19" i="11"/>
  <c r="R19" i="11"/>
  <c r="B105" i="12"/>
  <c r="F25" i="7" l="1"/>
  <c r="B55" i="12"/>
  <c r="B30" i="12"/>
  <c r="B5" i="12"/>
  <c r="AH86" i="11" l="1"/>
  <c r="AJ86" i="11"/>
  <c r="AH87" i="11"/>
  <c r="AJ87" i="11"/>
  <c r="AG86" i="11"/>
  <c r="AI86" i="11"/>
  <c r="AG87" i="11"/>
  <c r="AI87" i="11"/>
  <c r="AG92" i="11" l="1"/>
  <c r="AG46" i="11"/>
  <c r="AI43" i="11"/>
  <c r="AI85" i="11"/>
  <c r="F35" i="10" s="1"/>
  <c r="AH92" i="11"/>
  <c r="AH46" i="11"/>
  <c r="AJ43" i="11"/>
  <c r="AJ85" i="11"/>
  <c r="F36" i="10" s="1"/>
  <c r="AI92" i="11"/>
  <c r="AI46" i="11"/>
  <c r="AG43" i="11"/>
  <c r="AG85" i="11"/>
  <c r="F33" i="10" s="1"/>
  <c r="AJ92" i="11"/>
  <c r="AJ46" i="11"/>
  <c r="AH43" i="11"/>
  <c r="AH85" i="11"/>
  <c r="F34" i="10" s="1"/>
  <c r="U200" i="11" l="1"/>
  <c r="U47" i="11" s="1"/>
  <c r="G21" i="10" s="1"/>
  <c r="J215" i="11" l="1"/>
  <c r="N215" i="11" s="1"/>
  <c r="N205" i="11" l="1"/>
  <c r="N206" i="11" s="1"/>
  <c r="N207" i="11" s="1"/>
  <c r="N208" i="11" s="1"/>
  <c r="N209" i="11" s="1"/>
  <c r="N210" i="11" s="1"/>
  <c r="N211" i="11" s="1"/>
  <c r="N212" i="11" s="1"/>
  <c r="N213" i="11" s="1"/>
  <c r="N214" i="11" s="1"/>
  <c r="S204" i="11" l="1"/>
  <c r="R204" i="11"/>
  <c r="G72" i="11" s="1"/>
  <c r="G12" i="11" l="1"/>
  <c r="G13" i="11" l="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AI13" i="11" s="1"/>
  <c r="AJ13" i="11" s="1"/>
  <c r="D7" i="9"/>
  <c r="H12" i="11"/>
  <c r="I12" i="11" s="1"/>
  <c r="G14" i="11" l="1"/>
  <c r="C7" i="10" s="1"/>
  <c r="H14" i="11"/>
  <c r="C8" i="10" s="1"/>
  <c r="I14" i="11"/>
  <c r="J12" i="11"/>
  <c r="G15" i="11" l="1"/>
  <c r="G34" i="11" s="1"/>
  <c r="G43" i="7" s="1"/>
  <c r="H15" i="11"/>
  <c r="H34" i="11" s="1"/>
  <c r="K12" i="11"/>
  <c r="J14" i="11"/>
  <c r="I15" i="11"/>
  <c r="I34" i="11" s="1"/>
  <c r="C9" i="10"/>
  <c r="L12" i="11" l="1"/>
  <c r="K14" i="11"/>
  <c r="J15" i="11"/>
  <c r="J34" i="11" s="1"/>
  <c r="C10" i="10"/>
  <c r="M12" i="11" l="1"/>
  <c r="L14" i="11"/>
  <c r="K15" i="11"/>
  <c r="K34" i="11" s="1"/>
  <c r="C11" i="10"/>
  <c r="L15" i="11" l="1"/>
  <c r="L34" i="11" s="1"/>
  <c r="C12" i="10"/>
  <c r="N12" i="11"/>
  <c r="M14" i="11"/>
  <c r="C13" i="10" l="1"/>
  <c r="M15" i="11"/>
  <c r="M34" i="11" s="1"/>
  <c r="O12" i="11"/>
  <c r="N14" i="11"/>
  <c r="C14" i="10" l="1"/>
  <c r="N15" i="11"/>
  <c r="N34" i="11" s="1"/>
  <c r="O14" i="11"/>
  <c r="P12" i="11"/>
  <c r="P14" i="11" l="1"/>
  <c r="Q12" i="11"/>
  <c r="C15" i="10"/>
  <c r="O15" i="11"/>
  <c r="O34" i="11" s="1"/>
  <c r="P15" i="11" l="1"/>
  <c r="P34" i="11" s="1"/>
  <c r="C16" i="10"/>
  <c r="Q14" i="11"/>
  <c r="R12" i="11"/>
  <c r="S12" i="11" l="1"/>
  <c r="R14" i="11"/>
  <c r="C17" i="10"/>
  <c r="Q15" i="11"/>
  <c r="Q34" i="11" s="1"/>
  <c r="C18" i="10" l="1"/>
  <c r="R15" i="11"/>
  <c r="R34" i="11" s="1"/>
  <c r="T12" i="11"/>
  <c r="S14" i="11"/>
  <c r="U12" i="11" l="1"/>
  <c r="T14" i="11"/>
  <c r="C19" i="10"/>
  <c r="S15" i="11"/>
  <c r="S34" i="11" s="1"/>
  <c r="T15" i="11" l="1"/>
  <c r="T34" i="11" s="1"/>
  <c r="C20" i="10"/>
  <c r="V12" i="11"/>
  <c r="U14" i="11"/>
  <c r="V14" i="11" l="1"/>
  <c r="W12" i="11"/>
  <c r="U15" i="11"/>
  <c r="U34" i="11" s="1"/>
  <c r="C21" i="10"/>
  <c r="V15" i="11" l="1"/>
  <c r="V34" i="11" s="1"/>
  <c r="C22" i="10"/>
  <c r="W14" i="11"/>
  <c r="X12" i="11"/>
  <c r="X14" i="11" l="1"/>
  <c r="Y12" i="11"/>
  <c r="W15" i="11"/>
  <c r="W34" i="11" s="1"/>
  <c r="C23" i="10"/>
  <c r="X15" i="11" l="1"/>
  <c r="X34" i="11" s="1"/>
  <c r="C24" i="10"/>
  <c r="Y14" i="11"/>
  <c r="Z12" i="11"/>
  <c r="Y15" i="11" l="1"/>
  <c r="Y34" i="11" s="1"/>
  <c r="C25" i="10"/>
  <c r="AA12" i="11"/>
  <c r="Z14" i="11"/>
  <c r="AA14" i="11" l="1"/>
  <c r="AB12" i="11"/>
  <c r="Z15" i="11"/>
  <c r="Z34" i="11" s="1"/>
  <c r="C26" i="10"/>
  <c r="AC12" i="11" l="1"/>
  <c r="AB14" i="11"/>
  <c r="C27" i="10"/>
  <c r="AA15" i="11"/>
  <c r="AA34" i="11" s="1"/>
  <c r="AB15" i="11" l="1"/>
  <c r="AB34" i="11" s="1"/>
  <c r="C28" i="10"/>
  <c r="AC14" i="11"/>
  <c r="AD12" i="11"/>
  <c r="AC15" i="11" l="1"/>
  <c r="AC34" i="11" s="1"/>
  <c r="C29" i="10"/>
  <c r="AE12" i="11"/>
  <c r="AD14" i="11"/>
  <c r="AE14" i="11" l="1"/>
  <c r="AE15" i="11" s="1"/>
  <c r="AE34" i="11" s="1"/>
  <c r="AF12" i="11"/>
  <c r="AD15" i="11"/>
  <c r="AD34" i="11" s="1"/>
  <c r="C30" i="10"/>
  <c r="C31" i="10" l="1"/>
  <c r="AF14" i="11"/>
  <c r="AG12" i="11"/>
  <c r="AH12" i="11" l="1"/>
  <c r="AG14" i="11"/>
  <c r="AF15" i="11"/>
  <c r="AF34" i="11" s="1"/>
  <c r="C32" i="10"/>
  <c r="AD194" i="11"/>
  <c r="AD200" i="11" s="1"/>
  <c r="AD47" i="11" s="1"/>
  <c r="G30" i="10" s="1"/>
  <c r="C33" i="10" l="1"/>
  <c r="AG15" i="11"/>
  <c r="AG34" i="11" s="1"/>
  <c r="AI12" i="11"/>
  <c r="AH14" i="11"/>
  <c r="AF86" i="11"/>
  <c r="AE86" i="11"/>
  <c r="AD86" i="11"/>
  <c r="AB87" i="11"/>
  <c r="AF87" i="11"/>
  <c r="AC86" i="11"/>
  <c r="AA87" i="11"/>
  <c r="AE87" i="11"/>
  <c r="AB86" i="11"/>
  <c r="AD87" i="11"/>
  <c r="AA86" i="11"/>
  <c r="AC87" i="11"/>
  <c r="AJ12" i="11" l="1"/>
  <c r="AJ14" i="11" s="1"/>
  <c r="AI14" i="11"/>
  <c r="C34" i="10"/>
  <c r="AH15" i="11"/>
  <c r="AH34" i="11" s="1"/>
  <c r="AA43" i="11"/>
  <c r="AA85" i="11"/>
  <c r="F27" i="10" s="1"/>
  <c r="AB85" i="11"/>
  <c r="F28" i="10" s="1"/>
  <c r="AB43" i="11"/>
  <c r="AA92" i="11"/>
  <c r="AA46" i="11"/>
  <c r="AF46" i="11"/>
  <c r="AF92" i="11"/>
  <c r="AD85" i="11"/>
  <c r="F30" i="10" s="1"/>
  <c r="AD43" i="11"/>
  <c r="AF85" i="11"/>
  <c r="F32" i="10" s="1"/>
  <c r="AF43" i="11"/>
  <c r="AC92" i="11"/>
  <c r="AC46" i="11"/>
  <c r="AD46" i="11"/>
  <c r="AD92" i="11"/>
  <c r="AE92" i="11"/>
  <c r="AE46" i="11"/>
  <c r="AC43" i="11"/>
  <c r="AC85" i="11"/>
  <c r="F29" i="10" s="1"/>
  <c r="AB92" i="11"/>
  <c r="AB46" i="11"/>
  <c r="AE85" i="11"/>
  <c r="F31" i="10" s="1"/>
  <c r="AE43" i="11"/>
  <c r="D14" i="9" l="1"/>
  <c r="C36" i="10"/>
  <c r="AJ15" i="11"/>
  <c r="AJ34" i="11" s="1"/>
  <c r="C35" i="10"/>
  <c r="AI15" i="11"/>
  <c r="AI34" i="11" s="1"/>
  <c r="H193" i="11"/>
  <c r="H200" i="11" s="1"/>
  <c r="H47" i="11" s="1"/>
  <c r="G8" i="10" s="1"/>
  <c r="AG193" i="11"/>
  <c r="AG200" i="11" s="1"/>
  <c r="AG47" i="11" s="1"/>
  <c r="AF193" i="11"/>
  <c r="AF200" i="11" s="1"/>
  <c r="AF47" i="11" s="1"/>
  <c r="G32" i="10" s="1"/>
  <c r="G33" i="10"/>
  <c r="P27" i="10" l="1"/>
  <c r="P32" i="10" l="1"/>
  <c r="P28" i="10"/>
  <c r="P29" i="10" l="1"/>
  <c r="P30" i="10" l="1"/>
  <c r="P31" i="10" l="1"/>
  <c r="G193" i="11" l="1"/>
  <c r="Z194" i="11" l="1"/>
  <c r="Z200" i="11" s="1"/>
  <c r="Z47" i="11" s="1"/>
  <c r="G26" i="10" s="1"/>
  <c r="AJ187" i="11" l="1"/>
  <c r="AJ66" i="11" s="1"/>
  <c r="AJ186" i="11"/>
  <c r="AH186" i="11"/>
  <c r="AH187" i="11"/>
  <c r="AH66" i="11" s="1"/>
  <c r="AI186" i="11"/>
  <c r="AI187" i="11"/>
  <c r="AI66" i="11" s="1"/>
  <c r="AG186" i="11" l="1"/>
  <c r="AJ169" i="11"/>
  <c r="AH169" i="11"/>
  <c r="AI169" i="11"/>
  <c r="AH172" i="11" l="1"/>
  <c r="AH173" i="11"/>
  <c r="AG173" i="11"/>
  <c r="AG172" i="11"/>
  <c r="AI173" i="11"/>
  <c r="AI172" i="11"/>
  <c r="AJ173" i="11"/>
  <c r="AJ172" i="11"/>
  <c r="Y86" i="11" l="1"/>
  <c r="Y43" i="11" s="1"/>
  <c r="Z87" i="11"/>
  <c r="Z92" i="11" s="1"/>
  <c r="Z86" i="11"/>
  <c r="Z43" i="11" s="1"/>
  <c r="Y87" i="11"/>
  <c r="Y46" i="11" s="1"/>
  <c r="Z46" i="11" l="1"/>
  <c r="Z85" i="11"/>
  <c r="F26" i="10" s="1"/>
  <c r="Y92" i="11"/>
  <c r="Y85" i="11"/>
  <c r="F25" i="10" s="1"/>
  <c r="AA193" i="11" l="1"/>
  <c r="AA200" i="11" s="1"/>
  <c r="AA47" i="11" s="1"/>
  <c r="G27" i="10" s="1"/>
  <c r="G183" i="11" l="1"/>
  <c r="G172" i="11" l="1"/>
  <c r="G173" i="11"/>
  <c r="G186" i="11"/>
  <c r="G187" i="11"/>
  <c r="H183" i="11"/>
  <c r="I183" i="11" l="1"/>
  <c r="G174" i="11"/>
  <c r="H171" i="11" s="1"/>
  <c r="H173" i="11"/>
  <c r="H172" i="11"/>
  <c r="H187" i="11"/>
  <c r="H186" i="11"/>
  <c r="G188" i="11"/>
  <c r="H185" i="11" s="1"/>
  <c r="I169" i="11" l="1"/>
  <c r="I187" i="11"/>
  <c r="I186" i="11"/>
  <c r="H174" i="11"/>
  <c r="I171" i="11" s="1"/>
  <c r="H188" i="11"/>
  <c r="I185" i="11" s="1"/>
  <c r="I188" i="11" l="1"/>
  <c r="J185" i="11" s="1"/>
  <c r="I173" i="11"/>
  <c r="I172" i="11"/>
  <c r="I174" i="11" l="1"/>
  <c r="J171" i="11" s="1"/>
  <c r="J183" i="11"/>
  <c r="J187" i="11" l="1"/>
  <c r="J186" i="11"/>
  <c r="J169" i="11"/>
  <c r="K183" i="11" l="1"/>
  <c r="J188" i="11"/>
  <c r="K185" i="11" s="1"/>
  <c r="J172" i="11"/>
  <c r="J173" i="11"/>
  <c r="K169" i="11" l="1"/>
  <c r="J174" i="11"/>
  <c r="K171" i="11" s="1"/>
  <c r="K187" i="11"/>
  <c r="K186" i="11"/>
  <c r="K188" i="11" l="1"/>
  <c r="L185" i="11" s="1"/>
  <c r="K172" i="11"/>
  <c r="K173" i="11"/>
  <c r="L183" i="11"/>
  <c r="L187" i="11" l="1"/>
  <c r="L66" i="11" s="1"/>
  <c r="L186" i="11"/>
  <c r="K174" i="11"/>
  <c r="L171" i="11" s="1"/>
  <c r="L169" i="11"/>
  <c r="L172" i="11" l="1"/>
  <c r="L173" i="11"/>
  <c r="L188" i="11"/>
  <c r="M185" i="11" s="1"/>
  <c r="M183" i="11"/>
  <c r="N183" i="11"/>
  <c r="P26" i="10" l="1"/>
  <c r="L174" i="11"/>
  <c r="M171" i="11" s="1"/>
  <c r="M172" i="11"/>
  <c r="M187" i="11"/>
  <c r="M66" i="11" s="1"/>
  <c r="M186" i="11"/>
  <c r="N169" i="11"/>
  <c r="N186" i="11"/>
  <c r="P25" i="10"/>
  <c r="M188" i="11" l="1"/>
  <c r="N185" i="11" s="1"/>
  <c r="N173" i="11"/>
  <c r="N172" i="11"/>
  <c r="N187" i="11" l="1"/>
  <c r="N66" i="11" s="1"/>
  <c r="N188" i="11" l="1"/>
  <c r="O185" i="11" s="1"/>
  <c r="O183" i="11"/>
  <c r="O186" i="11" s="1"/>
  <c r="O171" i="11"/>
  <c r="Q183" i="11" l="1"/>
  <c r="Q186" i="11" s="1"/>
  <c r="P183" i="11"/>
  <c r="P186" i="11" s="1"/>
  <c r="O187" i="11"/>
  <c r="O66" i="11" s="1"/>
  <c r="O173" i="11"/>
  <c r="P171" i="11"/>
  <c r="O188" i="11" l="1"/>
  <c r="P185" i="11" s="1"/>
  <c r="R183" i="11"/>
  <c r="R186" i="11" s="1"/>
  <c r="P187" i="11"/>
  <c r="P66" i="11" s="1"/>
  <c r="Q171" i="11"/>
  <c r="P188" i="11" l="1"/>
  <c r="R171" i="11" l="1"/>
  <c r="R173" i="11"/>
  <c r="Q185" i="11"/>
  <c r="Q187" i="11"/>
  <c r="Q66" i="11" s="1"/>
  <c r="Q188" i="11" l="1"/>
  <c r="R187" i="11" s="1"/>
  <c r="R66" i="11" s="1"/>
  <c r="R185" i="11"/>
  <c r="S173" i="11"/>
  <c r="S183" i="11" l="1"/>
  <c r="S186" i="11" s="1"/>
  <c r="U183" i="11"/>
  <c r="U186" i="11" s="1"/>
  <c r="T183" i="11"/>
  <c r="T186" i="11" s="1"/>
  <c r="R188" i="11"/>
  <c r="S185" i="11" s="1"/>
  <c r="T171" i="11"/>
  <c r="T173" i="11"/>
  <c r="S187" i="11" l="1"/>
  <c r="S66" i="11" s="1"/>
  <c r="V172" i="11"/>
  <c r="V183" i="11" l="1"/>
  <c r="V186" i="11" s="1"/>
  <c r="S188" i="11"/>
  <c r="T185" i="11" s="1"/>
  <c r="U171" i="11"/>
  <c r="U173" i="11"/>
  <c r="T187" i="11" l="1"/>
  <c r="T66" i="11" s="1"/>
  <c r="W172" i="11"/>
  <c r="T188" i="11" l="1"/>
  <c r="V171" i="11"/>
  <c r="V173" i="11"/>
  <c r="U185" i="11"/>
  <c r="U187" i="11"/>
  <c r="U66" i="11" s="1"/>
  <c r="X172" i="11"/>
  <c r="W183" i="11" l="1"/>
  <c r="W186" i="11" s="1"/>
  <c r="U188" i="11"/>
  <c r="V174" i="11"/>
  <c r="X183" i="11" l="1"/>
  <c r="X186" i="11" s="1"/>
  <c r="W171" i="11"/>
  <c r="W173" i="11"/>
  <c r="V185" i="11"/>
  <c r="V187" i="11"/>
  <c r="V66" i="11" s="1"/>
  <c r="V188" i="11" l="1"/>
  <c r="W174" i="11"/>
  <c r="Y172" i="11"/>
  <c r="Y183" i="11" l="1"/>
  <c r="Y186" i="11" s="1"/>
  <c r="W185" i="11"/>
  <c r="W187" i="11"/>
  <c r="W66" i="11" s="1"/>
  <c r="X171" i="11"/>
  <c r="X173" i="11"/>
  <c r="Z172" i="11"/>
  <c r="X174" i="11" l="1"/>
  <c r="Y173" i="11" s="1"/>
  <c r="W188" i="11"/>
  <c r="X185" i="11" s="1"/>
  <c r="Y171" i="11"/>
  <c r="Z183" i="11" l="1"/>
  <c r="Z186" i="11" s="1"/>
  <c r="X187" i="11"/>
  <c r="X66" i="11" s="1"/>
  <c r="Y174" i="11"/>
  <c r="X188" i="11" l="1"/>
  <c r="Y187" i="11" s="1"/>
  <c r="Y66" i="11" s="1"/>
  <c r="Z171" i="11"/>
  <c r="Z173" i="11"/>
  <c r="Y185" i="11"/>
  <c r="AA172" i="11"/>
  <c r="AA183" i="11" l="1"/>
  <c r="AA186" i="11" s="1"/>
  <c r="Y188" i="11"/>
  <c r="Z187" i="11" s="1"/>
  <c r="Z66" i="11" s="1"/>
  <c r="Z174" i="11"/>
  <c r="Z185" i="11"/>
  <c r="AB172" i="11"/>
  <c r="AB183" i="11" l="1"/>
  <c r="AB186" i="11" s="1"/>
  <c r="Z188" i="11"/>
  <c r="AA185" i="11" s="1"/>
  <c r="AA171" i="11"/>
  <c r="AA173" i="11"/>
  <c r="AA187" i="11" l="1"/>
  <c r="AA66" i="11" s="1"/>
  <c r="AA174" i="11"/>
  <c r="AA188" i="11" l="1"/>
  <c r="AB185" i="11"/>
  <c r="AB187" i="11"/>
  <c r="AB66" i="11" s="1"/>
  <c r="AB171" i="11"/>
  <c r="AB173" i="11"/>
  <c r="AC172" i="11"/>
  <c r="AC183" i="11" l="1"/>
  <c r="AC186" i="11" s="1"/>
  <c r="AB174" i="11"/>
  <c r="AB188" i="11"/>
  <c r="AD172" i="11"/>
  <c r="AD183" i="11" l="1"/>
  <c r="AD186" i="11" s="1"/>
  <c r="AC185" i="11"/>
  <c r="AC187" i="11"/>
  <c r="AC66" i="11" s="1"/>
  <c r="AC171" i="11"/>
  <c r="AC173" i="11"/>
  <c r="AC174" i="11" l="1"/>
  <c r="AC188" i="11"/>
  <c r="AE183" i="11"/>
  <c r="AD185" i="11" l="1"/>
  <c r="AD187" i="11"/>
  <c r="AD66" i="11" s="1"/>
  <c r="AD171" i="11"/>
  <c r="AD173" i="11"/>
  <c r="AE172" i="11"/>
  <c r="AF172" i="11"/>
  <c r="AE186" i="11"/>
  <c r="AD174" i="11" l="1"/>
  <c r="AD188" i="11"/>
  <c r="AF183" i="11" l="1"/>
  <c r="AF186" i="11" s="1"/>
  <c r="AE171" i="11"/>
  <c r="AE173" i="11"/>
  <c r="AE185" i="11"/>
  <c r="AE187" i="11"/>
  <c r="AE66" i="11" s="1"/>
  <c r="AE188" i="11" l="1"/>
  <c r="AE174" i="11"/>
  <c r="AF171" i="11" l="1"/>
  <c r="AF173" i="11"/>
  <c r="AF187" i="11"/>
  <c r="AF66" i="11" s="1"/>
  <c r="AF185" i="11"/>
  <c r="AF188" i="11" l="1"/>
  <c r="AG185" i="11" s="1"/>
  <c r="AF174" i="11"/>
  <c r="AG171" i="11" s="1"/>
  <c r="AG174" i="11" s="1"/>
  <c r="AH171" i="11" s="1"/>
  <c r="AH174" i="11" s="1"/>
  <c r="AI171" i="11" s="1"/>
  <c r="AI174" i="11" s="1"/>
  <c r="AJ171" i="11" s="1"/>
  <c r="AJ174" i="11" s="1"/>
  <c r="AE169" i="11" l="1"/>
  <c r="AF169" i="11"/>
  <c r="AD169" i="11"/>
  <c r="AC169" i="11"/>
  <c r="AB169" i="11"/>
  <c r="AA169" i="11"/>
  <c r="Z169" i="11"/>
  <c r="Y169" i="11"/>
  <c r="X169" i="11"/>
  <c r="W169" i="11"/>
  <c r="V169" i="11"/>
  <c r="U169" i="11"/>
  <c r="U172" i="11"/>
  <c r="U174" i="11" s="1"/>
  <c r="T169" i="11"/>
  <c r="T172" i="11"/>
  <c r="T174" i="11" s="1"/>
  <c r="S169" i="11"/>
  <c r="S172" i="11"/>
  <c r="S171" i="11"/>
  <c r="R169" i="11"/>
  <c r="R172" i="11"/>
  <c r="R174" i="11" s="1"/>
  <c r="Q169" i="11"/>
  <c r="Q172" i="11"/>
  <c r="Q173" i="11"/>
  <c r="P169" i="11"/>
  <c r="P172" i="11"/>
  <c r="P173" i="11"/>
  <c r="O172" i="11"/>
  <c r="O174" i="11" s="1"/>
  <c r="O169" i="11"/>
  <c r="N171" i="11"/>
  <c r="N174" i="11" s="1"/>
  <c r="M173" i="11"/>
  <c r="M174" i="11" s="1"/>
  <c r="M169" i="11"/>
  <c r="H169" i="11"/>
  <c r="G169" i="11"/>
  <c r="Q174" i="11" l="1"/>
  <c r="P174" i="11"/>
  <c r="S174" i="11"/>
  <c r="AI30" i="11" l="1"/>
  <c r="AI35" i="11" s="1"/>
  <c r="AH30" i="11"/>
  <c r="AH35" i="11" s="1"/>
  <c r="AG30" i="11"/>
  <c r="AG35" i="11" s="1"/>
  <c r="AF30" i="11"/>
  <c r="AF35" i="11" s="1"/>
  <c r="AJ30" i="11"/>
  <c r="AJ35" i="11" s="1"/>
  <c r="AJ37" i="11" l="1"/>
  <c r="AJ36" i="11"/>
  <c r="E36" i="10"/>
  <c r="AG37" i="11"/>
  <c r="E33" i="10"/>
  <c r="S33" i="10" s="1"/>
  <c r="AG36" i="11"/>
  <c r="AI36" i="11"/>
  <c r="AI37" i="11"/>
  <c r="E35" i="10"/>
  <c r="S35" i="10" s="1"/>
  <c r="E32" i="10"/>
  <c r="S32" i="10" s="1"/>
  <c r="AF37" i="11"/>
  <c r="AF36" i="11"/>
  <c r="E34" i="10"/>
  <c r="S34" i="10" s="1"/>
  <c r="AH36" i="11"/>
  <c r="AH37" i="11"/>
  <c r="G36" i="10" l="1"/>
  <c r="S36" i="10" s="1"/>
  <c r="G194" i="11"/>
  <c r="G200" i="11" s="1"/>
  <c r="G47" i="11" s="1"/>
  <c r="G7" i="10" s="1"/>
  <c r="AJ194" i="11" l="1"/>
  <c r="AJ200" i="11" s="1"/>
  <c r="AJ47" i="11" s="1"/>
  <c r="AF136" i="11"/>
  <c r="AG136" i="11"/>
  <c r="AH136" i="11"/>
  <c r="AJ136" i="11"/>
  <c r="AI136" i="11"/>
  <c r="AI57" i="11" l="1"/>
  <c r="AI138" i="11"/>
  <c r="AH57" i="11"/>
  <c r="AH138" i="11"/>
  <c r="AF57" i="11"/>
  <c r="AF138" i="11"/>
  <c r="AJ57" i="11"/>
  <c r="AJ138" i="11"/>
  <c r="AG57" i="11"/>
  <c r="AG138" i="11"/>
  <c r="AF197" i="11" l="1"/>
  <c r="AG192" i="11" s="1"/>
  <c r="AG197" i="11" l="1"/>
  <c r="AH192" i="11" s="1"/>
  <c r="D32" i="10" l="1"/>
  <c r="AG199" i="11"/>
  <c r="AG22" i="11" s="1"/>
  <c r="AG23" i="11" s="1"/>
  <c r="AH197" i="11"/>
  <c r="AI192" i="11" s="1"/>
  <c r="AG39" i="11" l="1"/>
  <c r="AG44" i="11" s="1"/>
  <c r="D33" i="10"/>
  <c r="H33" i="10" s="1"/>
  <c r="AH199" i="11"/>
  <c r="AH22" i="11" s="1"/>
  <c r="AH23" i="11" s="1"/>
  <c r="AI197" i="11"/>
  <c r="AJ192" i="11" s="1"/>
  <c r="AJ197" i="11" s="1"/>
  <c r="AJ199" i="11" s="1"/>
  <c r="AJ22" i="11" s="1"/>
  <c r="AJ23" i="11" s="1"/>
  <c r="H32" i="10"/>
  <c r="AI199" i="11" l="1"/>
  <c r="AI22" i="11" s="1"/>
  <c r="AI23" i="11" s="1"/>
  <c r="AI39" i="11" s="1"/>
  <c r="AI44" i="11" s="1"/>
  <c r="AJ39" i="11"/>
  <c r="AJ44" i="11" s="1"/>
  <c r="D36" i="10"/>
  <c r="AG49" i="11"/>
  <c r="AG53" i="11" s="1"/>
  <c r="AG54" i="11" s="1"/>
  <c r="AG58" i="11"/>
  <c r="AG143" i="11" s="1"/>
  <c r="D35" i="10"/>
  <c r="D34" i="10"/>
  <c r="AH39" i="11"/>
  <c r="AH44" i="11" s="1"/>
  <c r="H35" i="10" l="1"/>
  <c r="H34" i="10"/>
  <c r="AI49" i="11"/>
  <c r="AI53" i="11" s="1"/>
  <c r="AI54" i="11" s="1"/>
  <c r="AI58" i="11"/>
  <c r="AI143" i="11" s="1"/>
  <c r="AG155" i="11"/>
  <c r="AG147" i="11"/>
  <c r="I32" i="10"/>
  <c r="AJ49" i="11"/>
  <c r="AJ53" i="11" s="1"/>
  <c r="AJ54" i="11" s="1"/>
  <c r="AJ58" i="11"/>
  <c r="AJ143" i="11" s="1"/>
  <c r="AH49" i="11"/>
  <c r="AH53" i="11" s="1"/>
  <c r="AH54" i="11" s="1"/>
  <c r="AH58" i="11"/>
  <c r="AH143" i="11" s="1"/>
  <c r="J32" i="10"/>
  <c r="H36" i="10"/>
  <c r="AH155" i="11" l="1"/>
  <c r="AH147" i="11"/>
  <c r="AJ155" i="11"/>
  <c r="AJ147" i="11"/>
  <c r="AI155" i="11"/>
  <c r="AI147" i="11"/>
  <c r="K32" i="10" l="1"/>
  <c r="R32" i="10" l="1"/>
  <c r="M32" i="10"/>
  <c r="AG148" i="11" l="1"/>
  <c r="AG151" i="11" s="1"/>
  <c r="AG60" i="11" s="1"/>
  <c r="AG156" i="11"/>
  <c r="I33" i="10" l="1"/>
  <c r="AG159" i="11"/>
  <c r="AG61" i="11" s="1"/>
  <c r="AH148" i="11" l="1"/>
  <c r="AH151" i="11" s="1"/>
  <c r="AH60" i="11" s="1"/>
  <c r="AH156" i="11"/>
  <c r="AH159" i="11" s="1"/>
  <c r="AH61" i="11" s="1"/>
  <c r="AG64" i="11"/>
  <c r="J33" i="10"/>
  <c r="AG183" i="11" l="1"/>
  <c r="AG187" i="11" s="1"/>
  <c r="AG63" i="11"/>
  <c r="I34" i="10"/>
  <c r="AH64" i="11"/>
  <c r="J34" i="10"/>
  <c r="AI148" i="11" l="1"/>
  <c r="AI151" i="11" s="1"/>
  <c r="AI60" i="11" s="1"/>
  <c r="AI156" i="11"/>
  <c r="AH183" i="11"/>
  <c r="L34" i="10"/>
  <c r="AG169" i="11"/>
  <c r="K33" i="10"/>
  <c r="AG66" i="11"/>
  <c r="L33" i="10" s="1"/>
  <c r="AG188" i="11"/>
  <c r="AH185" i="11" s="1"/>
  <c r="AH188" i="11" s="1"/>
  <c r="AI185" i="11" s="1"/>
  <c r="AI188" i="11" s="1"/>
  <c r="AJ185" i="11" s="1"/>
  <c r="AJ188" i="11" s="1"/>
  <c r="AH63" i="11"/>
  <c r="AG67" i="11" l="1"/>
  <c r="K34" i="10"/>
  <c r="AH67" i="11"/>
  <c r="R33" i="10"/>
  <c r="M33" i="10"/>
  <c r="AI159" i="11"/>
  <c r="AI61" i="11" s="1"/>
  <c r="I35" i="10"/>
  <c r="AI64" i="11" l="1"/>
  <c r="J35" i="10"/>
  <c r="AJ148" i="11"/>
  <c r="AJ151" i="11" s="1"/>
  <c r="AJ60" i="11" s="1"/>
  <c r="AJ156" i="11"/>
  <c r="AJ159" i="11" s="1"/>
  <c r="AJ61" i="11" s="1"/>
  <c r="R34" i="10"/>
  <c r="M34" i="10"/>
  <c r="AJ64" i="11" l="1"/>
  <c r="AJ63" i="11" s="1"/>
  <c r="J36" i="10"/>
  <c r="AI183" i="11"/>
  <c r="L35" i="10"/>
  <c r="AI63" i="11"/>
  <c r="I36" i="10"/>
  <c r="K36" i="10" l="1"/>
  <c r="AJ67" i="11"/>
  <c r="K35" i="10"/>
  <c r="AI67" i="11"/>
  <c r="AJ183" i="11"/>
  <c r="L36" i="10"/>
  <c r="R35" i="10" l="1"/>
  <c r="M35" i="10"/>
  <c r="R36" i="10"/>
  <c r="M36" i="10"/>
  <c r="L32" i="10"/>
  <c r="O36" i="10"/>
  <c r="O35" i="10"/>
  <c r="O33" i="10"/>
  <c r="O34" i="10"/>
  <c r="O32" i="10"/>
  <c r="H177" i="11" l="1"/>
  <c r="H180" i="11" s="1"/>
  <c r="H66" i="11" s="1"/>
  <c r="J177" i="11"/>
  <c r="J180" i="11" s="1"/>
  <c r="J66" i="11" s="1"/>
  <c r="I177" i="11"/>
  <c r="I180" i="11" s="1"/>
  <c r="I66" i="11" s="1"/>
  <c r="K177" i="11"/>
  <c r="K180" i="11" s="1"/>
  <c r="K66" i="11" s="1"/>
  <c r="G177" i="11"/>
  <c r="G163" i="11"/>
  <c r="G180" i="11" l="1"/>
  <c r="G66" i="11" s="1"/>
  <c r="Q37" i="7"/>
  <c r="G25" i="7"/>
  <c r="G37" i="7" l="1"/>
  <c r="AB30" i="11" l="1"/>
  <c r="AB35" i="11" s="1"/>
  <c r="AD30" i="11"/>
  <c r="AD35" i="11" s="1"/>
  <c r="U30" i="11"/>
  <c r="U35" i="11" s="1"/>
  <c r="AE30" i="11"/>
  <c r="AE35" i="11" s="1"/>
  <c r="AA30" i="11"/>
  <c r="AA35" i="11" s="1"/>
  <c r="W30" i="11"/>
  <c r="W35" i="11" s="1"/>
  <c r="P30" i="11"/>
  <c r="P35" i="11" s="1"/>
  <c r="L30" i="11"/>
  <c r="L35" i="11" s="1"/>
  <c r="S30" i="11"/>
  <c r="S35" i="11" s="1"/>
  <c r="O30" i="11"/>
  <c r="O35" i="11" s="1"/>
  <c r="K30" i="11"/>
  <c r="K35" i="11" s="1"/>
  <c r="X30" i="11"/>
  <c r="X35" i="11" s="1"/>
  <c r="Q30" i="11"/>
  <c r="Q35" i="11" s="1"/>
  <c r="Z30" i="11"/>
  <c r="Z35" i="11" s="1"/>
  <c r="M30" i="11"/>
  <c r="M35" i="11" s="1"/>
  <c r="AC30" i="11"/>
  <c r="AC35" i="11" s="1"/>
  <c r="Y30" i="11"/>
  <c r="Y35" i="11" s="1"/>
  <c r="T30" i="11"/>
  <c r="T35" i="11" s="1"/>
  <c r="I30" i="11"/>
  <c r="I35" i="11" s="1"/>
  <c r="H30" i="11"/>
  <c r="H35" i="11" s="1"/>
  <c r="V30" i="11"/>
  <c r="V35" i="11" s="1"/>
  <c r="R30" i="11"/>
  <c r="R35" i="11" s="1"/>
  <c r="N30" i="11"/>
  <c r="N35" i="11" s="1"/>
  <c r="J30" i="11"/>
  <c r="J35" i="11" s="1"/>
  <c r="G30" i="11"/>
  <c r="G35" i="11" s="1"/>
  <c r="G36" i="11" l="1"/>
  <c r="E7" i="10"/>
  <c r="G37" i="11"/>
  <c r="D28" i="9" s="1"/>
  <c r="E14" i="10"/>
  <c r="N36" i="11"/>
  <c r="N37" i="11"/>
  <c r="E22" i="10"/>
  <c r="V36" i="11"/>
  <c r="V37" i="11"/>
  <c r="E9" i="10"/>
  <c r="I36" i="11"/>
  <c r="I37" i="11"/>
  <c r="Y36" i="11"/>
  <c r="Y37" i="11"/>
  <c r="E25" i="10"/>
  <c r="M36" i="11"/>
  <c r="E13" i="10"/>
  <c r="M37" i="11"/>
  <c r="Q36" i="11"/>
  <c r="E17" i="10"/>
  <c r="Q37" i="11"/>
  <c r="K36" i="11"/>
  <c r="E11" i="10"/>
  <c r="K37" i="11"/>
  <c r="S36" i="11"/>
  <c r="S37" i="11"/>
  <c r="E19" i="10"/>
  <c r="E16" i="10"/>
  <c r="P37" i="11"/>
  <c r="P36" i="11"/>
  <c r="AA36" i="11"/>
  <c r="AA37" i="11"/>
  <c r="E27" i="10"/>
  <c r="S27" i="10" s="1"/>
  <c r="U36" i="11"/>
  <c r="U37" i="11"/>
  <c r="E21" i="10"/>
  <c r="AB36" i="11"/>
  <c r="E28" i="10"/>
  <c r="S28" i="10" s="1"/>
  <c r="AB37" i="11"/>
  <c r="J36" i="11"/>
  <c r="J37" i="11"/>
  <c r="E10" i="10"/>
  <c r="R36" i="11"/>
  <c r="R37" i="11"/>
  <c r="E18" i="10"/>
  <c r="E8" i="10"/>
  <c r="H37" i="11"/>
  <c r="H36" i="11"/>
  <c r="T36" i="11"/>
  <c r="T37" i="11"/>
  <c r="E20" i="10"/>
  <c r="E29" i="10"/>
  <c r="S29" i="10" s="1"/>
  <c r="AC36" i="11"/>
  <c r="AC37" i="11"/>
  <c r="E26" i="10"/>
  <c r="S26" i="10" s="1"/>
  <c r="Z36" i="11"/>
  <c r="Z37" i="11"/>
  <c r="X36" i="11"/>
  <c r="E24" i="10"/>
  <c r="X37" i="11"/>
  <c r="E15" i="10"/>
  <c r="O36" i="11"/>
  <c r="O37" i="11"/>
  <c r="E12" i="10"/>
  <c r="L36" i="11"/>
  <c r="L37" i="11"/>
  <c r="W37" i="11"/>
  <c r="W36" i="11"/>
  <c r="E23" i="10"/>
  <c r="AE37" i="11"/>
  <c r="AE36" i="11"/>
  <c r="E31" i="10"/>
  <c r="AD36" i="11"/>
  <c r="E30" i="10"/>
  <c r="S30" i="10" s="1"/>
  <c r="AD37" i="11"/>
  <c r="Q66" i="7" l="1"/>
  <c r="F194" i="11" s="1"/>
  <c r="AE194" i="11" s="1"/>
  <c r="AE200" i="11" s="1"/>
  <c r="AE47" i="11" s="1"/>
  <c r="G31" i="10" s="1"/>
  <c r="S31" i="10" s="1"/>
  <c r="F80" i="11"/>
  <c r="F82" i="11" s="1"/>
  <c r="V86" i="11" s="1"/>
  <c r="V43" i="11" s="1"/>
  <c r="W87" i="11" l="1"/>
  <c r="W46" i="11" s="1"/>
  <c r="S87" i="11"/>
  <c r="O87" i="11"/>
  <c r="K87" i="11"/>
  <c r="G67" i="7"/>
  <c r="U87" i="11"/>
  <c r="U46" i="11" s="1"/>
  <c r="Q87" i="11"/>
  <c r="Q46" i="11" s="1"/>
  <c r="M87" i="11"/>
  <c r="M46" i="11" s="1"/>
  <c r="I87" i="11"/>
  <c r="I46" i="11" s="1"/>
  <c r="F91" i="11"/>
  <c r="F93" i="11" s="1"/>
  <c r="G90" i="11" s="1"/>
  <c r="X87" i="11"/>
  <c r="X46" i="11" s="1"/>
  <c r="V87" i="11"/>
  <c r="V46" i="11" s="1"/>
  <c r="T87" i="11"/>
  <c r="T46" i="11" s="1"/>
  <c r="R87" i="11"/>
  <c r="R46" i="11" s="1"/>
  <c r="P87" i="11"/>
  <c r="P46" i="11" s="1"/>
  <c r="N87" i="11"/>
  <c r="N46" i="11" s="1"/>
  <c r="L87" i="11"/>
  <c r="L46" i="11" s="1"/>
  <c r="J87" i="11"/>
  <c r="J46" i="11" s="1"/>
  <c r="H87" i="11"/>
  <c r="H46" i="11" s="1"/>
  <c r="X86" i="11"/>
  <c r="W86" i="11"/>
  <c r="G86" i="11"/>
  <c r="M86" i="11"/>
  <c r="N86" i="11"/>
  <c r="O86" i="11"/>
  <c r="P86" i="11"/>
  <c r="Q86" i="11"/>
  <c r="R86" i="11"/>
  <c r="S86" i="11"/>
  <c r="T86" i="11"/>
  <c r="U86" i="11"/>
  <c r="G87" i="11"/>
  <c r="H86" i="11"/>
  <c r="I86" i="11"/>
  <c r="J86" i="11"/>
  <c r="K86" i="11"/>
  <c r="L86" i="11"/>
  <c r="Q92" i="11" l="1"/>
  <c r="V92" i="11"/>
  <c r="U92" i="11"/>
  <c r="W92" i="11"/>
  <c r="V85" i="11"/>
  <c r="F22" i="10" s="1"/>
  <c r="S22" i="10" s="1"/>
  <c r="I92" i="11"/>
  <c r="M92" i="11"/>
  <c r="N92" i="11"/>
  <c r="K46" i="11"/>
  <c r="K92" i="11"/>
  <c r="S46" i="11"/>
  <c r="S92" i="11"/>
  <c r="J92" i="11"/>
  <c r="R92" i="11"/>
  <c r="O46" i="11"/>
  <c r="O92" i="11"/>
  <c r="H92" i="11"/>
  <c r="L92" i="11"/>
  <c r="P92" i="11"/>
  <c r="T92" i="11"/>
  <c r="X92" i="11"/>
  <c r="L43" i="11"/>
  <c r="L85" i="11"/>
  <c r="F12" i="10" s="1"/>
  <c r="S12" i="10" s="1"/>
  <c r="H43" i="11"/>
  <c r="H85" i="11"/>
  <c r="F8" i="10" s="1"/>
  <c r="S8" i="10" s="1"/>
  <c r="S43" i="11"/>
  <c r="S85" i="11"/>
  <c r="F19" i="10" s="1"/>
  <c r="S19" i="10" s="1"/>
  <c r="K43" i="11"/>
  <c r="K85" i="11"/>
  <c r="F11" i="10" s="1"/>
  <c r="S11" i="10" s="1"/>
  <c r="I43" i="11"/>
  <c r="I85" i="11"/>
  <c r="F9" i="10" s="1"/>
  <c r="S9" i="10" s="1"/>
  <c r="G46" i="11"/>
  <c r="G92" i="11"/>
  <c r="G93" i="11" s="1"/>
  <c r="H90" i="11" s="1"/>
  <c r="H93" i="11" s="1"/>
  <c r="I90" i="11" s="1"/>
  <c r="T43" i="11"/>
  <c r="T85" i="11"/>
  <c r="F20" i="10" s="1"/>
  <c r="S20" i="10" s="1"/>
  <c r="R43" i="11"/>
  <c r="R85" i="11"/>
  <c r="F18" i="10" s="1"/>
  <c r="S18" i="10" s="1"/>
  <c r="P43" i="11"/>
  <c r="P85" i="11"/>
  <c r="F16" i="10" s="1"/>
  <c r="S16" i="10" s="1"/>
  <c r="N43" i="11"/>
  <c r="N85" i="11"/>
  <c r="F14" i="10" s="1"/>
  <c r="S14" i="10" s="1"/>
  <c r="G85" i="11"/>
  <c r="G43" i="11"/>
  <c r="X43" i="11"/>
  <c r="X85" i="11"/>
  <c r="F24" i="10" s="1"/>
  <c r="S24" i="10" s="1"/>
  <c r="J43" i="11"/>
  <c r="J85" i="11"/>
  <c r="F10" i="10" s="1"/>
  <c r="S10" i="10" s="1"/>
  <c r="U43" i="11"/>
  <c r="U85" i="11"/>
  <c r="F21" i="10" s="1"/>
  <c r="S21" i="10" s="1"/>
  <c r="Q43" i="11"/>
  <c r="Q85" i="11"/>
  <c r="F17" i="10" s="1"/>
  <c r="S17" i="10" s="1"/>
  <c r="O43" i="11"/>
  <c r="O85" i="11"/>
  <c r="F15" i="10" s="1"/>
  <c r="S15" i="10" s="1"/>
  <c r="M43" i="11"/>
  <c r="M85" i="11"/>
  <c r="F13" i="10" s="1"/>
  <c r="S13" i="10" s="1"/>
  <c r="W43" i="11"/>
  <c r="W85" i="11"/>
  <c r="F23" i="10" s="1"/>
  <c r="S23" i="10" s="1"/>
  <c r="I93" i="11" l="1"/>
  <c r="J90" i="11" s="1"/>
  <c r="J93" i="11" s="1"/>
  <c r="K90" i="11" s="1"/>
  <c r="K93" i="11" s="1"/>
  <c r="L90" i="11" s="1"/>
  <c r="L93" i="11" s="1"/>
  <c r="M90" i="11" s="1"/>
  <c r="M93" i="11" s="1"/>
  <c r="N90" i="11" s="1"/>
  <c r="N93" i="11" s="1"/>
  <c r="O90" i="11" s="1"/>
  <c r="O93" i="11" s="1"/>
  <c r="P90" i="11" s="1"/>
  <c r="P93" i="11" s="1"/>
  <c r="Q90" i="11" s="1"/>
  <c r="Q93" i="11" s="1"/>
  <c r="R90" i="11" s="1"/>
  <c r="R93" i="11" s="1"/>
  <c r="S90" i="11" s="1"/>
  <c r="S93" i="11" s="1"/>
  <c r="T90" i="11" s="1"/>
  <c r="T93" i="11" s="1"/>
  <c r="U90" i="11" s="1"/>
  <c r="U93" i="11" s="1"/>
  <c r="V90" i="11" s="1"/>
  <c r="V93" i="11" s="1"/>
  <c r="W90" i="11" s="1"/>
  <c r="W93" i="11" s="1"/>
  <c r="X90" i="11" s="1"/>
  <c r="X93" i="11" s="1"/>
  <c r="Y90" i="11" s="1"/>
  <c r="Y93" i="11" s="1"/>
  <c r="Z90" i="11" s="1"/>
  <c r="Z93" i="11" s="1"/>
  <c r="AA90" i="11" s="1"/>
  <c r="AA93" i="11" s="1"/>
  <c r="AB90" i="11" s="1"/>
  <c r="AB93" i="11" s="1"/>
  <c r="AC90" i="11" s="1"/>
  <c r="AC93" i="11" s="1"/>
  <c r="AD90" i="11" s="1"/>
  <c r="AD93" i="11" s="1"/>
  <c r="AE90" i="11" s="1"/>
  <c r="AE93" i="11" s="1"/>
  <c r="AF90" i="11" s="1"/>
  <c r="AF93" i="11" s="1"/>
  <c r="AG90" i="11" s="1"/>
  <c r="AG93" i="11" s="1"/>
  <c r="AH90" i="11" s="1"/>
  <c r="AH93" i="11" s="1"/>
  <c r="AI90" i="11" s="1"/>
  <c r="AI93" i="11" s="1"/>
  <c r="AJ90" i="11" s="1"/>
  <c r="AJ93" i="11" s="1"/>
  <c r="Q63" i="7"/>
  <c r="F7" i="10"/>
  <c r="S7" i="10" s="1"/>
  <c r="F193" i="11" l="1"/>
  <c r="G24" i="7"/>
  <c r="C109" i="12"/>
  <c r="C100" i="11" l="1"/>
  <c r="C102" i="11"/>
  <c r="C104" i="11"/>
  <c r="C106" i="11"/>
  <c r="C99" i="11"/>
  <c r="C101" i="11"/>
  <c r="C103" i="11"/>
  <c r="C105" i="11"/>
  <c r="C108" i="11"/>
  <c r="G26" i="7"/>
  <c r="C110" i="12"/>
  <c r="D110" i="12" s="1"/>
  <c r="N120" i="12"/>
  <c r="N121" i="12" s="1"/>
  <c r="F197" i="11"/>
  <c r="G192" i="11" s="1"/>
  <c r="Y193" i="11"/>
  <c r="Y200" i="11" s="1"/>
  <c r="Y47" i="11" s="1"/>
  <c r="G25" i="10" s="1"/>
  <c r="S25" i="10" s="1"/>
  <c r="H164" i="11" l="1"/>
  <c r="H166" i="11" s="1"/>
  <c r="H65" i="11" s="1"/>
  <c r="G164" i="11"/>
  <c r="G166" i="11" s="1"/>
  <c r="L164" i="11"/>
  <c r="L166" i="11" s="1"/>
  <c r="L65" i="11" s="1"/>
  <c r="K164" i="11"/>
  <c r="K166" i="11" s="1"/>
  <c r="K65" i="11" s="1"/>
  <c r="M164" i="11"/>
  <c r="M166" i="11" s="1"/>
  <c r="M65" i="11" s="1"/>
  <c r="O164" i="11"/>
  <c r="O166" i="11" s="1"/>
  <c r="O65" i="11" s="1"/>
  <c r="I164" i="11"/>
  <c r="I166" i="11" s="1"/>
  <c r="I65" i="11" s="1"/>
  <c r="N164" i="11"/>
  <c r="N166" i="11" s="1"/>
  <c r="N65" i="11" s="1"/>
  <c r="P164" i="11"/>
  <c r="P166" i="11" s="1"/>
  <c r="P65" i="11" s="1"/>
  <c r="J164" i="11"/>
  <c r="J166" i="11" s="1"/>
  <c r="J65" i="11" s="1"/>
  <c r="C110" i="11"/>
  <c r="D108" i="11" s="1"/>
  <c r="Q23" i="7"/>
  <c r="G197" i="11"/>
  <c r="H192" i="11" s="1"/>
  <c r="C120" i="12"/>
  <c r="C121" i="12" s="1"/>
  <c r="D120" i="12"/>
  <c r="D121" i="12" s="1"/>
  <c r="F52" i="11"/>
  <c r="D25" i="9"/>
  <c r="D26" i="9" s="1"/>
  <c r="G27" i="7"/>
  <c r="D106" i="11" l="1"/>
  <c r="D99" i="11"/>
  <c r="D100" i="11"/>
  <c r="D105" i="11"/>
  <c r="D103" i="11"/>
  <c r="D102" i="11"/>
  <c r="D101" i="11"/>
  <c r="G199" i="11"/>
  <c r="G22" i="11" s="1"/>
  <c r="G23" i="11" s="1"/>
  <c r="D7" i="10" s="1"/>
  <c r="D104" i="11"/>
  <c r="C112" i="11"/>
  <c r="G65" i="11"/>
  <c r="H197" i="11"/>
  <c r="I192" i="11" s="1"/>
  <c r="C111" i="11"/>
  <c r="F54" i="11"/>
  <c r="G68" i="7"/>
  <c r="E101" i="11" l="1"/>
  <c r="J118" i="11" s="1"/>
  <c r="G39" i="11"/>
  <c r="G44" i="11" s="1"/>
  <c r="E104" i="11"/>
  <c r="G121" i="11" s="1"/>
  <c r="E103" i="11"/>
  <c r="H120" i="11" s="1"/>
  <c r="E108" i="11"/>
  <c r="E125" i="11" s="1"/>
  <c r="E107" i="11"/>
  <c r="G124" i="11" s="1"/>
  <c r="E100" i="11"/>
  <c r="N117" i="11" s="1"/>
  <c r="E99" i="11"/>
  <c r="H116" i="11" s="1"/>
  <c r="D110" i="11"/>
  <c r="D111" i="11" s="1"/>
  <c r="E106" i="11"/>
  <c r="G123" i="11" s="1"/>
  <c r="E102" i="11"/>
  <c r="N119" i="11" s="1"/>
  <c r="E105" i="11"/>
  <c r="I122" i="11" s="1"/>
  <c r="H199" i="11"/>
  <c r="H22" i="11" s="1"/>
  <c r="H23" i="11" s="1"/>
  <c r="D8" i="10" s="1"/>
  <c r="G70" i="7"/>
  <c r="F68" i="7" s="1"/>
  <c r="F67" i="11"/>
  <c r="I197" i="11"/>
  <c r="J192" i="11" s="1"/>
  <c r="H7" i="10"/>
  <c r="N121" i="11" l="1"/>
  <c r="G119" i="11"/>
  <c r="G41" i="11"/>
  <c r="P7" i="10" s="1"/>
  <c r="AD118" i="11"/>
  <c r="N118" i="11"/>
  <c r="R118" i="11"/>
  <c r="AF118" i="11"/>
  <c r="AJ118" i="11"/>
  <c r="V118" i="11"/>
  <c r="AI118" i="11"/>
  <c r="Z118" i="11"/>
  <c r="K118" i="11"/>
  <c r="H124" i="11"/>
  <c r="AG118" i="11"/>
  <c r="AE118" i="11"/>
  <c r="AA118" i="11"/>
  <c r="W118" i="11"/>
  <c r="S118" i="11"/>
  <c r="O118" i="11"/>
  <c r="L118" i="11"/>
  <c r="H118" i="11"/>
  <c r="AB118" i="11"/>
  <c r="X118" i="11"/>
  <c r="T118" i="11"/>
  <c r="P118" i="11"/>
  <c r="G118" i="11"/>
  <c r="I118" i="11"/>
  <c r="AH118" i="11"/>
  <c r="AC118" i="11"/>
  <c r="Y118" i="11"/>
  <c r="U118" i="11"/>
  <c r="Q118" i="11"/>
  <c r="M118" i="11"/>
  <c r="AB121" i="11"/>
  <c r="Y119" i="11"/>
  <c r="P117" i="11"/>
  <c r="AD117" i="11"/>
  <c r="H39" i="11"/>
  <c r="H41" i="11" s="1"/>
  <c r="J117" i="11"/>
  <c r="H121" i="11"/>
  <c r="T119" i="11"/>
  <c r="AG117" i="11"/>
  <c r="AH121" i="11"/>
  <c r="X119" i="11"/>
  <c r="Y117" i="11"/>
  <c r="AI121" i="11"/>
  <c r="K121" i="11"/>
  <c r="Q121" i="11"/>
  <c r="AJ119" i="11"/>
  <c r="I119" i="11"/>
  <c r="X117" i="11"/>
  <c r="Z117" i="11"/>
  <c r="T117" i="11"/>
  <c r="G117" i="11"/>
  <c r="V121" i="11"/>
  <c r="L121" i="11"/>
  <c r="R121" i="11"/>
  <c r="AG119" i="11"/>
  <c r="AC119" i="11"/>
  <c r="J119" i="11"/>
  <c r="P119" i="11"/>
  <c r="W117" i="11"/>
  <c r="S117" i="11"/>
  <c r="AE121" i="11"/>
  <c r="AB119" i="11"/>
  <c r="O119" i="11"/>
  <c r="AJ117" i="11"/>
  <c r="AC117" i="11"/>
  <c r="I117" i="11"/>
  <c r="O117" i="11"/>
  <c r="AF121" i="11"/>
  <c r="AA121" i="11"/>
  <c r="U121" i="11"/>
  <c r="M121" i="11"/>
  <c r="W119" i="11"/>
  <c r="V119" i="11"/>
  <c r="S119" i="11"/>
  <c r="AI117" i="11"/>
  <c r="AF117" i="11"/>
  <c r="AE117" i="11"/>
  <c r="AA117" i="11"/>
  <c r="K117" i="11"/>
  <c r="U117" i="11"/>
  <c r="Q117" i="11"/>
  <c r="M117" i="11"/>
  <c r="AJ121" i="11"/>
  <c r="W121" i="11"/>
  <c r="AC121" i="11"/>
  <c r="Y121" i="11"/>
  <c r="I121" i="11"/>
  <c r="S121" i="11"/>
  <c r="O121" i="11"/>
  <c r="AI119" i="11"/>
  <c r="AF119" i="11"/>
  <c r="AD119" i="11"/>
  <c r="Z119" i="11"/>
  <c r="K119" i="11"/>
  <c r="U119" i="11"/>
  <c r="Q119" i="11"/>
  <c r="M119" i="11"/>
  <c r="AH117" i="11"/>
  <c r="V117" i="11"/>
  <c r="AB117" i="11"/>
  <c r="L117" i="11"/>
  <c r="H117" i="11"/>
  <c r="R117" i="11"/>
  <c r="AG121" i="11"/>
  <c r="X121" i="11"/>
  <c r="AD121" i="11"/>
  <c r="Z121" i="11"/>
  <c r="J121" i="11"/>
  <c r="T121" i="11"/>
  <c r="P121" i="11"/>
  <c r="AH119" i="11"/>
  <c r="AE119" i="11"/>
  <c r="AA119" i="11"/>
  <c r="L119" i="11"/>
  <c r="H119" i="11"/>
  <c r="R119" i="11"/>
  <c r="AD120" i="11"/>
  <c r="AF123" i="11"/>
  <c r="G116" i="11"/>
  <c r="V120" i="11"/>
  <c r="U123" i="11"/>
  <c r="AB116" i="11"/>
  <c r="K120" i="11"/>
  <c r="Z123" i="11"/>
  <c r="M123" i="11"/>
  <c r="AI116" i="11"/>
  <c r="T116" i="11"/>
  <c r="AJ120" i="11"/>
  <c r="Z120" i="11"/>
  <c r="R120" i="11"/>
  <c r="AB124" i="11"/>
  <c r="AF116" i="11"/>
  <c r="X116" i="11"/>
  <c r="P116" i="11"/>
  <c r="I116" i="11"/>
  <c r="N120" i="11"/>
  <c r="AI124" i="11"/>
  <c r="T124" i="11"/>
  <c r="AF124" i="11"/>
  <c r="X124" i="11"/>
  <c r="P124" i="11"/>
  <c r="L124" i="11"/>
  <c r="AI123" i="11"/>
  <c r="AD123" i="11"/>
  <c r="K123" i="11"/>
  <c r="Q123" i="11"/>
  <c r="AJ116" i="11"/>
  <c r="AD116" i="11"/>
  <c r="Z116" i="11"/>
  <c r="V116" i="11"/>
  <c r="R116" i="11"/>
  <c r="N116" i="11"/>
  <c r="K116" i="11"/>
  <c r="AI120" i="11"/>
  <c r="AF120" i="11"/>
  <c r="AB120" i="11"/>
  <c r="X120" i="11"/>
  <c r="T120" i="11"/>
  <c r="P120" i="11"/>
  <c r="G120" i="11"/>
  <c r="I120" i="11"/>
  <c r="AJ124" i="11"/>
  <c r="AD124" i="11"/>
  <c r="Z124" i="11"/>
  <c r="V124" i="11"/>
  <c r="R124" i="11"/>
  <c r="N124" i="11"/>
  <c r="J124" i="11"/>
  <c r="AJ123" i="11"/>
  <c r="W123" i="11"/>
  <c r="AB123" i="11"/>
  <c r="V123" i="11"/>
  <c r="I123" i="11"/>
  <c r="S123" i="11"/>
  <c r="O123" i="11"/>
  <c r="AG116" i="11"/>
  <c r="AH116" i="11"/>
  <c r="AE116" i="11"/>
  <c r="AC116" i="11"/>
  <c r="AA116" i="11"/>
  <c r="Y116" i="11"/>
  <c r="W116" i="11"/>
  <c r="U116" i="11"/>
  <c r="S116" i="11"/>
  <c r="Q116" i="11"/>
  <c r="O116" i="11"/>
  <c r="M116" i="11"/>
  <c r="L116" i="11"/>
  <c r="J116" i="11"/>
  <c r="AG120" i="11"/>
  <c r="AH120" i="11"/>
  <c r="AE120" i="11"/>
  <c r="AC120" i="11"/>
  <c r="AA120" i="11"/>
  <c r="Y120" i="11"/>
  <c r="W120" i="11"/>
  <c r="U120" i="11"/>
  <c r="S120" i="11"/>
  <c r="Q120" i="11"/>
  <c r="O120" i="11"/>
  <c r="M120" i="11"/>
  <c r="L120" i="11"/>
  <c r="J120" i="11"/>
  <c r="AG124" i="11"/>
  <c r="AH124" i="11"/>
  <c r="AE124" i="11"/>
  <c r="AC124" i="11"/>
  <c r="AA124" i="11"/>
  <c r="Y124" i="11"/>
  <c r="W124" i="11"/>
  <c r="U124" i="11"/>
  <c r="S124" i="11"/>
  <c r="Q124" i="11"/>
  <c r="O124" i="11"/>
  <c r="M124" i="11"/>
  <c r="K124" i="11"/>
  <c r="I124" i="11"/>
  <c r="U122" i="11"/>
  <c r="AC122" i="11"/>
  <c r="M122" i="11"/>
  <c r="AH122" i="11"/>
  <c r="Y122" i="11"/>
  <c r="Q122" i="11"/>
  <c r="J122" i="11"/>
  <c r="AG122" i="11"/>
  <c r="AE122" i="11"/>
  <c r="AA122" i="11"/>
  <c r="W122" i="11"/>
  <c r="S122" i="11"/>
  <c r="O122" i="11"/>
  <c r="L122" i="11"/>
  <c r="H122" i="11"/>
  <c r="AG123" i="11"/>
  <c r="AH123" i="11"/>
  <c r="X123" i="11"/>
  <c r="AE123" i="11"/>
  <c r="AC123" i="11"/>
  <c r="AA123" i="11"/>
  <c r="Y123" i="11"/>
  <c r="L123" i="11"/>
  <c r="J123" i="11"/>
  <c r="H123" i="11"/>
  <c r="T123" i="11"/>
  <c r="R123" i="11"/>
  <c r="P123" i="11"/>
  <c r="N123" i="11"/>
  <c r="E110" i="11"/>
  <c r="E111" i="11" s="1"/>
  <c r="AI122" i="11"/>
  <c r="AJ122" i="11"/>
  <c r="AF122" i="11"/>
  <c r="AD122" i="11"/>
  <c r="AB122" i="11"/>
  <c r="Z122" i="11"/>
  <c r="X122" i="11"/>
  <c r="V122" i="11"/>
  <c r="T122" i="11"/>
  <c r="R122" i="11"/>
  <c r="P122" i="11"/>
  <c r="N122" i="11"/>
  <c r="G122" i="11"/>
  <c r="K122" i="11"/>
  <c r="J197" i="11"/>
  <c r="K192" i="11" s="1"/>
  <c r="M6" i="10"/>
  <c r="N6" i="10" s="1"/>
  <c r="F69" i="7"/>
  <c r="F67" i="7"/>
  <c r="G63" i="7" s="1"/>
  <c r="I199" i="11"/>
  <c r="I22" i="11" s="1"/>
  <c r="I23" i="11" s="1"/>
  <c r="G49" i="11"/>
  <c r="G53" i="11" s="1"/>
  <c r="G54" i="11" s="1"/>
  <c r="H8" i="10"/>
  <c r="E118" i="11" l="1"/>
  <c r="H44" i="11"/>
  <c r="H49" i="11" s="1"/>
  <c r="H53" i="11" s="1"/>
  <c r="H54" i="11" s="1"/>
  <c r="I136" i="11"/>
  <c r="I57" i="11" s="1"/>
  <c r="E119" i="11"/>
  <c r="E121" i="11"/>
  <c r="E117" i="11"/>
  <c r="G136" i="11"/>
  <c r="G138" i="11" s="1"/>
  <c r="U136" i="11"/>
  <c r="U57" i="11" s="1"/>
  <c r="E123" i="11"/>
  <c r="M136" i="11"/>
  <c r="M138" i="11" s="1"/>
  <c r="K136" i="11"/>
  <c r="K138" i="11" s="1"/>
  <c r="N136" i="11"/>
  <c r="N138" i="11" s="1"/>
  <c r="R136" i="11"/>
  <c r="R138" i="11" s="1"/>
  <c r="V136" i="11"/>
  <c r="V57" i="11" s="1"/>
  <c r="Z136" i="11"/>
  <c r="Z57" i="11" s="1"/>
  <c r="AD136" i="11"/>
  <c r="AD57" i="11" s="1"/>
  <c r="J136" i="11"/>
  <c r="J138" i="11" s="1"/>
  <c r="Y136" i="11"/>
  <c r="Y57" i="11" s="1"/>
  <c r="AC136" i="11"/>
  <c r="AC57" i="11" s="1"/>
  <c r="H136" i="11"/>
  <c r="H57" i="11" s="1"/>
  <c r="E124" i="11"/>
  <c r="E120" i="11"/>
  <c r="AA136" i="11"/>
  <c r="AA138" i="11" s="1"/>
  <c r="Q136" i="11"/>
  <c r="Q57" i="11" s="1"/>
  <c r="AB136" i="11"/>
  <c r="AB138" i="11" s="1"/>
  <c r="L136" i="11"/>
  <c r="L57" i="11" s="1"/>
  <c r="O136" i="11"/>
  <c r="O138" i="11" s="1"/>
  <c r="S136" i="11"/>
  <c r="S57" i="11" s="1"/>
  <c r="W136" i="11"/>
  <c r="W57" i="11" s="1"/>
  <c r="AE136" i="11"/>
  <c r="AE57" i="11" s="1"/>
  <c r="E116" i="11"/>
  <c r="P136" i="11"/>
  <c r="P138" i="11" s="1"/>
  <c r="T136" i="11"/>
  <c r="T138" i="11" s="1"/>
  <c r="X136" i="11"/>
  <c r="X138" i="11" s="1"/>
  <c r="E122" i="11"/>
  <c r="G55" i="11"/>
  <c r="P8" i="10"/>
  <c r="K197" i="11"/>
  <c r="L192" i="11" s="1"/>
  <c r="I39" i="11"/>
  <c r="D9" i="10"/>
  <c r="J199" i="11"/>
  <c r="J22" i="11" s="1"/>
  <c r="J23" i="11" s="1"/>
  <c r="Q138" i="11" l="1"/>
  <c r="J57" i="11"/>
  <c r="H58" i="11"/>
  <c r="H60" i="11" s="1"/>
  <c r="I138" i="11"/>
  <c r="X57" i="11"/>
  <c r="M57" i="11"/>
  <c r="G57" i="11"/>
  <c r="G58" i="11" s="1"/>
  <c r="G143" i="11" s="1"/>
  <c r="U138" i="11"/>
  <c r="AC138" i="11"/>
  <c r="R57" i="11"/>
  <c r="Z138" i="11"/>
  <c r="K57" i="11"/>
  <c r="V138" i="11"/>
  <c r="AA57" i="11"/>
  <c r="E126" i="11"/>
  <c r="F126" i="11" s="1"/>
  <c r="Y138" i="11"/>
  <c r="H138" i="11"/>
  <c r="N57" i="11"/>
  <c r="L138" i="11"/>
  <c r="AD138" i="11"/>
  <c r="P57" i="11"/>
  <c r="AE138" i="11"/>
  <c r="S138" i="11"/>
  <c r="T57" i="11"/>
  <c r="W138" i="11"/>
  <c r="O57" i="11"/>
  <c r="AB57" i="11"/>
  <c r="K199" i="11"/>
  <c r="K22" i="11" s="1"/>
  <c r="K23" i="11" s="1"/>
  <c r="K39" i="11" s="1"/>
  <c r="I44" i="11"/>
  <c r="I41" i="11"/>
  <c r="L197" i="11"/>
  <c r="M192" i="11" s="1"/>
  <c r="H55" i="11"/>
  <c r="J39" i="11"/>
  <c r="D10" i="10"/>
  <c r="H9" i="10"/>
  <c r="D11" i="10" l="1"/>
  <c r="H11" i="10" s="1"/>
  <c r="H61" i="11"/>
  <c r="H64" i="11" s="1"/>
  <c r="L8" i="10" s="1"/>
  <c r="H143" i="11"/>
  <c r="H147" i="11" s="1"/>
  <c r="G61" i="11"/>
  <c r="G64" i="11" s="1"/>
  <c r="L7" i="10" s="1"/>
  <c r="G60" i="11"/>
  <c r="I7" i="10" s="1"/>
  <c r="L199" i="11"/>
  <c r="L22" i="11" s="1"/>
  <c r="L23" i="11" s="1"/>
  <c r="L39" i="11" s="1"/>
  <c r="K44" i="11"/>
  <c r="K41" i="11"/>
  <c r="J44" i="11"/>
  <c r="J41" i="11"/>
  <c r="H10" i="10"/>
  <c r="M197" i="11"/>
  <c r="N192" i="11" s="1"/>
  <c r="P9" i="10"/>
  <c r="G156" i="11"/>
  <c r="G147" i="11"/>
  <c r="G155" i="11"/>
  <c r="G148" i="11"/>
  <c r="I58" i="11"/>
  <c r="I49" i="11"/>
  <c r="I53" i="11" s="1"/>
  <c r="I54" i="11" s="1"/>
  <c r="I8" i="10"/>
  <c r="H155" i="11" l="1"/>
  <c r="J8" i="10"/>
  <c r="J7" i="10"/>
  <c r="D12" i="10"/>
  <c r="H12" i="10" s="1"/>
  <c r="G63" i="11"/>
  <c r="G67" i="11" s="1"/>
  <c r="G157" i="11"/>
  <c r="H154" i="11" s="1"/>
  <c r="G151" i="11"/>
  <c r="G159" i="11"/>
  <c r="H63" i="11"/>
  <c r="K8" i="10" s="1"/>
  <c r="G149" i="11"/>
  <c r="H146" i="11" s="1"/>
  <c r="J58" i="11"/>
  <c r="J49" i="11"/>
  <c r="J53" i="11" s="1"/>
  <c r="J54" i="11" s="1"/>
  <c r="J55" i="11" s="1"/>
  <c r="K58" i="11"/>
  <c r="K49" i="11"/>
  <c r="K53" i="11" s="1"/>
  <c r="K54" i="11" s="1"/>
  <c r="M199" i="11"/>
  <c r="M22" i="11" s="1"/>
  <c r="M23" i="11" s="1"/>
  <c r="I55" i="11"/>
  <c r="I143" i="11"/>
  <c r="I60" i="11"/>
  <c r="I61" i="11"/>
  <c r="L44" i="11"/>
  <c r="L41" i="11"/>
  <c r="N197" i="11"/>
  <c r="O192" i="11" s="1"/>
  <c r="P10" i="10"/>
  <c r="P11" i="10"/>
  <c r="H156" i="11" l="1"/>
  <c r="H157" i="11" s="1"/>
  <c r="I154" i="11" s="1"/>
  <c r="H148" i="11"/>
  <c r="H151" i="11" s="1"/>
  <c r="K7" i="10"/>
  <c r="M7" i="10" s="1"/>
  <c r="N7" i="10" s="1"/>
  <c r="K55" i="11"/>
  <c r="H67" i="11"/>
  <c r="H68" i="11" s="1"/>
  <c r="O8" i="10" s="1"/>
  <c r="O197" i="11"/>
  <c r="P192" i="11" s="1"/>
  <c r="P12" i="10"/>
  <c r="G68" i="11"/>
  <c r="O7" i="10" s="1"/>
  <c r="I64" i="11"/>
  <c r="L9" i="10" s="1"/>
  <c r="J9" i="10"/>
  <c r="I147" i="11"/>
  <c r="I155" i="11"/>
  <c r="R8" i="10"/>
  <c r="M8" i="10"/>
  <c r="K143" i="11"/>
  <c r="K60" i="11"/>
  <c r="K61" i="11"/>
  <c r="J143" i="11"/>
  <c r="J60" i="11"/>
  <c r="J61" i="11"/>
  <c r="L58" i="11"/>
  <c r="L49" i="11"/>
  <c r="L53" i="11" s="1"/>
  <c r="L54" i="11" s="1"/>
  <c r="I9" i="10"/>
  <c r="M39" i="11"/>
  <c r="D13" i="10"/>
  <c r="N199" i="11"/>
  <c r="N22" i="11" s="1"/>
  <c r="N23" i="11" s="1"/>
  <c r="H149" i="11" l="1"/>
  <c r="I146" i="11" s="1"/>
  <c r="H159" i="11"/>
  <c r="R7" i="10"/>
  <c r="N8" i="10"/>
  <c r="I63" i="11"/>
  <c r="K9" i="10" s="1"/>
  <c r="H13" i="10"/>
  <c r="L55" i="11"/>
  <c r="J64" i="11"/>
  <c r="L10" i="10" s="1"/>
  <c r="J10" i="10"/>
  <c r="J147" i="11"/>
  <c r="J155" i="11"/>
  <c r="I11" i="10"/>
  <c r="P197" i="11"/>
  <c r="Q192" i="11" s="1"/>
  <c r="N39" i="11"/>
  <c r="D14" i="10"/>
  <c r="M44" i="11"/>
  <c r="M41" i="11"/>
  <c r="L143" i="11"/>
  <c r="L60" i="11"/>
  <c r="L61" i="11"/>
  <c r="I10" i="10"/>
  <c r="K64" i="11"/>
  <c r="L11" i="10" s="1"/>
  <c r="J11" i="10"/>
  <c r="K147" i="11"/>
  <c r="K155" i="11"/>
  <c r="O199" i="11"/>
  <c r="O22" i="11" s="1"/>
  <c r="O23" i="11" s="1"/>
  <c r="I148" i="11" l="1"/>
  <c r="I151" i="11" s="1"/>
  <c r="I156" i="11"/>
  <c r="I157" i="11" s="1"/>
  <c r="J154" i="11" s="1"/>
  <c r="I67" i="11"/>
  <c r="I68" i="11" s="1"/>
  <c r="O9" i="10" s="1"/>
  <c r="P199" i="11"/>
  <c r="P22" i="11" s="1"/>
  <c r="P23" i="11" s="1"/>
  <c r="P39" i="11" s="1"/>
  <c r="K63" i="11"/>
  <c r="K11" i="10" s="1"/>
  <c r="L64" i="11"/>
  <c r="L12" i="10" s="1"/>
  <c r="J12" i="10"/>
  <c r="L147" i="11"/>
  <c r="L155" i="11"/>
  <c r="R9" i="10"/>
  <c r="M9" i="10"/>
  <c r="N9" i="10" s="1"/>
  <c r="M58" i="11"/>
  <c r="M49" i="11"/>
  <c r="M53" i="11" s="1"/>
  <c r="M54" i="11" s="1"/>
  <c r="N44" i="11"/>
  <c r="N41" i="11"/>
  <c r="O39" i="11"/>
  <c r="D15" i="10"/>
  <c r="I12" i="10"/>
  <c r="P13" i="10"/>
  <c r="H14" i="10"/>
  <c r="Q197" i="11"/>
  <c r="R192" i="11" s="1"/>
  <c r="J63" i="11"/>
  <c r="I149" i="11" l="1"/>
  <c r="I159" i="11"/>
  <c r="D16" i="10"/>
  <c r="H16" i="10" s="1"/>
  <c r="K67" i="11"/>
  <c r="L63" i="11"/>
  <c r="L67" i="11" s="1"/>
  <c r="R197" i="11"/>
  <c r="S192" i="11" s="1"/>
  <c r="H15" i="10"/>
  <c r="P14" i="10"/>
  <c r="M55" i="11"/>
  <c r="K10" i="10"/>
  <c r="J67" i="11"/>
  <c r="O44" i="11"/>
  <c r="O41" i="11"/>
  <c r="R11" i="10"/>
  <c r="M11" i="10"/>
  <c r="P44" i="11"/>
  <c r="P41" i="11"/>
  <c r="N58" i="11"/>
  <c r="N49" i="11"/>
  <c r="N53" i="11" s="1"/>
  <c r="N54" i="11" s="1"/>
  <c r="M143" i="11"/>
  <c r="M60" i="11"/>
  <c r="M61" i="11"/>
  <c r="Q199" i="11"/>
  <c r="Q22" i="11" s="1"/>
  <c r="Q23" i="11" s="1"/>
  <c r="J146" i="11" l="1"/>
  <c r="J148" i="11"/>
  <c r="J156" i="11"/>
  <c r="J159" i="11" s="1"/>
  <c r="K12" i="10"/>
  <c r="M12" i="10" s="1"/>
  <c r="I13" i="10"/>
  <c r="N55" i="11"/>
  <c r="P16" i="10"/>
  <c r="P15" i="10"/>
  <c r="L68" i="11"/>
  <c r="O12" i="10" s="1"/>
  <c r="J68" i="11"/>
  <c r="O10" i="10" s="1"/>
  <c r="K68" i="11"/>
  <c r="O11" i="10" s="1"/>
  <c r="S197" i="11"/>
  <c r="T192" i="11" s="1"/>
  <c r="Q39" i="11"/>
  <c r="D17" i="10"/>
  <c r="M64" i="11"/>
  <c r="L13" i="10" s="1"/>
  <c r="J13" i="10"/>
  <c r="M155" i="11"/>
  <c r="M147" i="11"/>
  <c r="N143" i="11"/>
  <c r="N60" i="11"/>
  <c r="N61" i="11"/>
  <c r="P58" i="11"/>
  <c r="P49" i="11"/>
  <c r="P53" i="11" s="1"/>
  <c r="P54" i="11" s="1"/>
  <c r="O58" i="11"/>
  <c r="O49" i="11"/>
  <c r="O53" i="11" s="1"/>
  <c r="O54" i="11" s="1"/>
  <c r="R10" i="10"/>
  <c r="M10" i="10"/>
  <c r="N10" i="10" s="1"/>
  <c r="N11" i="10" s="1"/>
  <c r="R199" i="11"/>
  <c r="R22" i="11" s="1"/>
  <c r="R23" i="11" s="1"/>
  <c r="J149" i="11" l="1"/>
  <c r="J151" i="11"/>
  <c r="J157" i="11"/>
  <c r="K154" i="11" s="1"/>
  <c r="R12" i="10"/>
  <c r="N12" i="10"/>
  <c r="S199" i="11"/>
  <c r="S22" i="11" s="1"/>
  <c r="S23" i="11" s="1"/>
  <c r="S39" i="11" s="1"/>
  <c r="O55" i="11"/>
  <c r="P55" i="11"/>
  <c r="N64" i="11"/>
  <c r="L14" i="10" s="1"/>
  <c r="J14" i="10"/>
  <c r="N155" i="11"/>
  <c r="N147" i="11"/>
  <c r="Q44" i="11"/>
  <c r="Q41" i="11"/>
  <c r="R39" i="11"/>
  <c r="D18" i="10"/>
  <c r="O143" i="11"/>
  <c r="O60" i="11"/>
  <c r="O61" i="11"/>
  <c r="P143" i="11"/>
  <c r="P60" i="11"/>
  <c r="P61" i="11"/>
  <c r="I14" i="10"/>
  <c r="H17" i="10"/>
  <c r="T197" i="11"/>
  <c r="U192" i="11" s="1"/>
  <c r="M63" i="11"/>
  <c r="K156" i="11" l="1"/>
  <c r="K159" i="11" s="1"/>
  <c r="K146" i="11"/>
  <c r="K148" i="11"/>
  <c r="K151" i="11" s="1"/>
  <c r="D19" i="10"/>
  <c r="H19" i="10" s="1"/>
  <c r="N63" i="11"/>
  <c r="K14" i="10" s="1"/>
  <c r="K13" i="10"/>
  <c r="M67" i="11"/>
  <c r="U197" i="11"/>
  <c r="V192" i="11" s="1"/>
  <c r="P64" i="11"/>
  <c r="L16" i="10" s="1"/>
  <c r="J16" i="10"/>
  <c r="P155" i="11"/>
  <c r="P147" i="11"/>
  <c r="I15" i="10"/>
  <c r="H18" i="10"/>
  <c r="P17" i="10"/>
  <c r="I16" i="10"/>
  <c r="O64" i="11"/>
  <c r="L15" i="10" s="1"/>
  <c r="J15" i="10"/>
  <c r="O155" i="11"/>
  <c r="O147" i="11"/>
  <c r="R44" i="11"/>
  <c r="R41" i="11"/>
  <c r="S44" i="11"/>
  <c r="S41" i="11"/>
  <c r="Q58" i="11"/>
  <c r="Q49" i="11"/>
  <c r="Q53" i="11" s="1"/>
  <c r="Q54" i="11" s="1"/>
  <c r="T199" i="11"/>
  <c r="T22" i="11" s="1"/>
  <c r="T23" i="11" s="1"/>
  <c r="K149" i="11" l="1"/>
  <c r="L146" i="11" s="1"/>
  <c r="K157" i="11"/>
  <c r="L154" i="11" s="1"/>
  <c r="N67" i="11"/>
  <c r="N68" i="11" s="1"/>
  <c r="O14" i="10" s="1"/>
  <c r="P63" i="11"/>
  <c r="K16" i="10" s="1"/>
  <c r="Q55" i="11"/>
  <c r="P19" i="10"/>
  <c r="T39" i="11"/>
  <c r="D20" i="10"/>
  <c r="Q143" i="11"/>
  <c r="Q60" i="11"/>
  <c r="Q61" i="11"/>
  <c r="S58" i="11"/>
  <c r="S49" i="11"/>
  <c r="S53" i="11" s="1"/>
  <c r="S54" i="11" s="1"/>
  <c r="R58" i="11"/>
  <c r="R49" i="11"/>
  <c r="R53" i="11" s="1"/>
  <c r="R54" i="11" s="1"/>
  <c r="R14" i="10"/>
  <c r="M14" i="10"/>
  <c r="R13" i="10"/>
  <c r="M13" i="10"/>
  <c r="N13" i="10" s="1"/>
  <c r="O63" i="11"/>
  <c r="U199" i="11"/>
  <c r="U22" i="11" s="1"/>
  <c r="U23" i="11" s="1"/>
  <c r="P18" i="10"/>
  <c r="V197" i="11"/>
  <c r="W192" i="11" s="1"/>
  <c r="M68" i="11"/>
  <c r="O13" i="10" s="1"/>
  <c r="L156" i="11" l="1"/>
  <c r="L159" i="11" s="1"/>
  <c r="L148" i="11"/>
  <c r="L151" i="11" s="1"/>
  <c r="N14" i="10"/>
  <c r="P67" i="11"/>
  <c r="U39" i="11"/>
  <c r="D21" i="10"/>
  <c r="R55" i="11"/>
  <c r="S55" i="11"/>
  <c r="Q64" i="11"/>
  <c r="L17" i="10" s="1"/>
  <c r="J17" i="10"/>
  <c r="Q155" i="11"/>
  <c r="Q147" i="11"/>
  <c r="T44" i="11"/>
  <c r="T41" i="11"/>
  <c r="V199" i="11"/>
  <c r="V22" i="11" s="1"/>
  <c r="V23" i="11" s="1"/>
  <c r="W197" i="11"/>
  <c r="X192" i="11" s="1"/>
  <c r="K15" i="10"/>
  <c r="O67" i="11"/>
  <c r="R16" i="10"/>
  <c r="M16" i="10"/>
  <c r="R143" i="11"/>
  <c r="R60" i="11"/>
  <c r="R61" i="11"/>
  <c r="S143" i="11"/>
  <c r="S60" i="11"/>
  <c r="S61" i="11"/>
  <c r="I17" i="10"/>
  <c r="H20" i="10"/>
  <c r="L149" i="11" l="1"/>
  <c r="M146" i="11" s="1"/>
  <c r="L157" i="11"/>
  <c r="M154" i="11" s="1"/>
  <c r="Q63" i="11"/>
  <c r="Q67" i="11" s="1"/>
  <c r="Q68" i="11" s="1"/>
  <c r="O17" i="10" s="1"/>
  <c r="W199" i="11"/>
  <c r="W22" i="11" s="1"/>
  <c r="W23" i="11" s="1"/>
  <c r="D23" i="10" s="1"/>
  <c r="I19" i="10"/>
  <c r="R155" i="11"/>
  <c r="R147" i="11"/>
  <c r="P20" i="10"/>
  <c r="S64" i="11"/>
  <c r="L19" i="10" s="1"/>
  <c r="J19" i="10"/>
  <c r="S155" i="11"/>
  <c r="S147" i="11"/>
  <c r="I18" i="10"/>
  <c r="R15" i="10"/>
  <c r="M15" i="10"/>
  <c r="N15" i="10" s="1"/>
  <c r="N16" i="10" s="1"/>
  <c r="X197" i="11"/>
  <c r="Y192" i="11" s="1"/>
  <c r="V39" i="11"/>
  <c r="D22" i="10"/>
  <c r="T58" i="11"/>
  <c r="T49" i="11"/>
  <c r="T53" i="11" s="1"/>
  <c r="T54" i="11" s="1"/>
  <c r="U44" i="11"/>
  <c r="U41" i="11"/>
  <c r="R64" i="11"/>
  <c r="L18" i="10" s="1"/>
  <c r="J18" i="10"/>
  <c r="P68" i="11"/>
  <c r="O16" i="10" s="1"/>
  <c r="O68" i="11"/>
  <c r="O15" i="10" s="1"/>
  <c r="H21" i="10"/>
  <c r="M156" i="11" l="1"/>
  <c r="M157" i="11" s="1"/>
  <c r="N154" i="11" s="1"/>
  <c r="M148" i="11"/>
  <c r="M151" i="11" s="1"/>
  <c r="K17" i="10"/>
  <c r="R17" i="10" s="1"/>
  <c r="W39" i="11"/>
  <c r="W41" i="11" s="1"/>
  <c r="X199" i="11"/>
  <c r="X22" i="11" s="1"/>
  <c r="X23" i="11" s="1"/>
  <c r="D24" i="10" s="1"/>
  <c r="P21" i="10"/>
  <c r="T55" i="11"/>
  <c r="H22" i="10"/>
  <c r="H23" i="10"/>
  <c r="U58" i="11"/>
  <c r="U49" i="11"/>
  <c r="U53" i="11" s="1"/>
  <c r="U54" i="11" s="1"/>
  <c r="T143" i="11"/>
  <c r="T60" i="11"/>
  <c r="T61" i="11"/>
  <c r="V44" i="11"/>
  <c r="V41" i="11"/>
  <c r="Y197" i="11"/>
  <c r="Z192" i="11" s="1"/>
  <c r="R63" i="11"/>
  <c r="S63" i="11"/>
  <c r="M159" i="11" l="1"/>
  <c r="M149" i="11"/>
  <c r="N156" i="11" s="1"/>
  <c r="M17" i="10"/>
  <c r="N17" i="10" s="1"/>
  <c r="X39" i="11"/>
  <c r="X44" i="11" s="1"/>
  <c r="W44" i="11"/>
  <c r="W49" i="11" s="1"/>
  <c r="W53" i="11" s="1"/>
  <c r="W54" i="11" s="1"/>
  <c r="K18" i="10"/>
  <c r="R67" i="11"/>
  <c r="R68" i="11" s="1"/>
  <c r="O18" i="10" s="1"/>
  <c r="P23" i="10"/>
  <c r="Z197" i="11"/>
  <c r="AA192" i="11" s="1"/>
  <c r="P22" i="10"/>
  <c r="T64" i="11"/>
  <c r="L20" i="10" s="1"/>
  <c r="J20" i="10"/>
  <c r="T155" i="11"/>
  <c r="T147" i="11"/>
  <c r="U143" i="11"/>
  <c r="U60" i="11"/>
  <c r="U61" i="11"/>
  <c r="H24" i="10"/>
  <c r="K19" i="10"/>
  <c r="S67" i="11"/>
  <c r="V58" i="11"/>
  <c r="V49" i="11"/>
  <c r="V53" i="11" s="1"/>
  <c r="V54" i="11" s="1"/>
  <c r="I20" i="10"/>
  <c r="U55" i="11"/>
  <c r="Y199" i="11"/>
  <c r="Y22" i="11" s="1"/>
  <c r="Y23" i="11" s="1"/>
  <c r="N146" i="11" l="1"/>
  <c r="N148" i="11"/>
  <c r="N151" i="11" s="1"/>
  <c r="N157" i="11"/>
  <c r="O154" i="11" s="1"/>
  <c r="N159" i="11"/>
  <c r="W58" i="11"/>
  <c r="W60" i="11" s="1"/>
  <c r="X41" i="11"/>
  <c r="F41" i="11" s="1"/>
  <c r="X42" i="11" s="1"/>
  <c r="T63" i="11"/>
  <c r="T67" i="11" s="1"/>
  <c r="T68" i="11" s="1"/>
  <c r="O20" i="10" s="1"/>
  <c r="S68" i="11"/>
  <c r="O19" i="10" s="1"/>
  <c r="V55" i="11"/>
  <c r="W55" i="11"/>
  <c r="Y39" i="11"/>
  <c r="Y44" i="11" s="1"/>
  <c r="D25" i="10"/>
  <c r="X58" i="11"/>
  <c r="X49" i="11"/>
  <c r="X53" i="11" s="1"/>
  <c r="X54" i="11" s="1"/>
  <c r="V143" i="11"/>
  <c r="V60" i="11"/>
  <c r="V61" i="11"/>
  <c r="R19" i="10"/>
  <c r="M19" i="10"/>
  <c r="I21" i="10"/>
  <c r="AA197" i="11"/>
  <c r="AB192" i="11" s="1"/>
  <c r="U64" i="11"/>
  <c r="L21" i="10" s="1"/>
  <c r="J21" i="10"/>
  <c r="U155" i="11"/>
  <c r="U147" i="11"/>
  <c r="R18" i="10"/>
  <c r="M18" i="10"/>
  <c r="N18" i="10" s="1"/>
  <c r="Z199" i="11"/>
  <c r="Z22" i="11" s="1"/>
  <c r="Z23" i="11" s="1"/>
  <c r="N149" i="11" l="1"/>
  <c r="O156" i="11" s="1"/>
  <c r="O159" i="11" s="1"/>
  <c r="W143" i="11"/>
  <c r="W155" i="11" s="1"/>
  <c r="K20" i="10"/>
  <c r="M20" i="10" s="1"/>
  <c r="W61" i="11"/>
  <c r="J23" i="10" s="1"/>
  <c r="P24" i="10"/>
  <c r="E41" i="11"/>
  <c r="G59" i="7" s="1"/>
  <c r="G60" i="7" s="1"/>
  <c r="D11" i="9" s="1"/>
  <c r="N19" i="10"/>
  <c r="X55" i="11"/>
  <c r="H25" i="10"/>
  <c r="Z42" i="11"/>
  <c r="AB42" i="11"/>
  <c r="AD42" i="11"/>
  <c r="AF42" i="11"/>
  <c r="AH42" i="11"/>
  <c r="AJ42" i="11"/>
  <c r="Y42" i="11"/>
  <c r="AA42" i="11"/>
  <c r="AC42" i="11"/>
  <c r="AE42" i="11"/>
  <c r="AG42" i="11"/>
  <c r="AI42" i="11"/>
  <c r="G56" i="7"/>
  <c r="G57" i="7" s="1"/>
  <c r="D10" i="9" s="1"/>
  <c r="G42" i="11"/>
  <c r="H42" i="11"/>
  <c r="I42" i="11"/>
  <c r="J42" i="11"/>
  <c r="K42" i="11"/>
  <c r="L42" i="11"/>
  <c r="M42" i="11"/>
  <c r="N42" i="11"/>
  <c r="P42" i="11"/>
  <c r="O42" i="11"/>
  <c r="Q42" i="11"/>
  <c r="S42" i="11"/>
  <c r="R42" i="11"/>
  <c r="T42" i="11"/>
  <c r="U42" i="11"/>
  <c r="W42" i="11"/>
  <c r="V42" i="11"/>
  <c r="AB197" i="11"/>
  <c r="AC192" i="11" s="1"/>
  <c r="I22" i="10"/>
  <c r="Z39" i="11"/>
  <c r="Z44" i="11" s="1"/>
  <c r="D26" i="10"/>
  <c r="I23" i="10"/>
  <c r="V64" i="11"/>
  <c r="L22" i="10" s="1"/>
  <c r="J22" i="10"/>
  <c r="V155" i="11"/>
  <c r="V147" i="11"/>
  <c r="X143" i="11"/>
  <c r="X60" i="11"/>
  <c r="X61" i="11"/>
  <c r="Y58" i="11"/>
  <c r="Y49" i="11"/>
  <c r="Y53" i="11" s="1"/>
  <c r="Y54" i="11" s="1"/>
  <c r="AA199" i="11"/>
  <c r="AA22" i="11" s="1"/>
  <c r="AA23" i="11" s="1"/>
  <c r="U63" i="11"/>
  <c r="O148" i="11" l="1"/>
  <c r="O151" i="11" s="1"/>
  <c r="O146" i="11"/>
  <c r="O157" i="11"/>
  <c r="P154" i="11" s="1"/>
  <c r="W64" i="11"/>
  <c r="L23" i="10" s="1"/>
  <c r="R20" i="10"/>
  <c r="W147" i="11"/>
  <c r="N20" i="10"/>
  <c r="AB199" i="11"/>
  <c r="AB22" i="11" s="1"/>
  <c r="AB23" i="11" s="1"/>
  <c r="D28" i="10" s="1"/>
  <c r="Z58" i="11"/>
  <c r="Z49" i="11"/>
  <c r="Z53" i="11" s="1"/>
  <c r="Z54" i="11" s="1"/>
  <c r="V63" i="11"/>
  <c r="F56" i="7"/>
  <c r="K21" i="10"/>
  <c r="U67" i="11"/>
  <c r="U68" i="11" s="1"/>
  <c r="O21" i="10" s="1"/>
  <c r="Y55" i="11"/>
  <c r="X64" i="11"/>
  <c r="L24" i="10" s="1"/>
  <c r="J24" i="10"/>
  <c r="X147" i="11"/>
  <c r="X155" i="11"/>
  <c r="AA39" i="11"/>
  <c r="AA44" i="11" s="1"/>
  <c r="D27" i="10"/>
  <c r="Y60" i="11"/>
  <c r="Y143" i="11"/>
  <c r="Y61" i="11"/>
  <c r="I24" i="10"/>
  <c r="H26" i="10"/>
  <c r="AC197" i="11"/>
  <c r="AD192" i="11" s="1"/>
  <c r="O149" i="11" l="1"/>
  <c r="P146" i="11" s="1"/>
  <c r="W63" i="11"/>
  <c r="W67" i="11" s="1"/>
  <c r="AB39" i="11"/>
  <c r="AB44" i="11" s="1"/>
  <c r="AB49" i="11" s="1"/>
  <c r="AB53" i="11" s="1"/>
  <c r="AB54" i="11" s="1"/>
  <c r="X63" i="11"/>
  <c r="X67" i="11" s="1"/>
  <c r="AC199" i="11"/>
  <c r="AC22" i="11" s="1"/>
  <c r="AC23" i="11" s="1"/>
  <c r="D29" i="10" s="1"/>
  <c r="K22" i="10"/>
  <c r="V67" i="11"/>
  <c r="V68" i="11" s="1"/>
  <c r="O22" i="10" s="1"/>
  <c r="Z60" i="11"/>
  <c r="Z143" i="11"/>
  <c r="Z61" i="11"/>
  <c r="Y155" i="11"/>
  <c r="Y147" i="11"/>
  <c r="H27" i="10"/>
  <c r="AD197" i="11"/>
  <c r="AE192" i="11" s="1"/>
  <c r="Y64" i="11"/>
  <c r="L25" i="10" s="1"/>
  <c r="J25" i="10"/>
  <c r="I25" i="10"/>
  <c r="AA58" i="11"/>
  <c r="AA49" i="11"/>
  <c r="AA53" i="11" s="1"/>
  <c r="AA54" i="11" s="1"/>
  <c r="R21" i="10"/>
  <c r="M21" i="10"/>
  <c r="N21" i="10" s="1"/>
  <c r="H28" i="10"/>
  <c r="Z55" i="11"/>
  <c r="P156" i="11" l="1"/>
  <c r="P159" i="11" s="1"/>
  <c r="P148" i="11"/>
  <c r="P151" i="11" s="1"/>
  <c r="K23" i="10"/>
  <c r="R23" i="10" s="1"/>
  <c r="K24" i="10"/>
  <c r="M24" i="10" s="1"/>
  <c r="AB58" i="11"/>
  <c r="AB60" i="11" s="1"/>
  <c r="AC39" i="11"/>
  <c r="AC44" i="11" s="1"/>
  <c r="AC58" i="11" s="1"/>
  <c r="Y63" i="11"/>
  <c r="K25" i="10" s="1"/>
  <c r="W68" i="11"/>
  <c r="O23" i="10" s="1"/>
  <c r="X68" i="11"/>
  <c r="O24" i="10" s="1"/>
  <c r="AD199" i="11"/>
  <c r="AD22" i="11" s="1"/>
  <c r="AD23" i="11" s="1"/>
  <c r="AD39" i="11" s="1"/>
  <c r="AD44" i="11" s="1"/>
  <c r="AA60" i="11"/>
  <c r="AA143" i="11"/>
  <c r="AA61" i="11"/>
  <c r="Z155" i="11"/>
  <c r="Z147" i="11"/>
  <c r="AB55" i="11"/>
  <c r="AA55" i="11"/>
  <c r="AE197" i="11"/>
  <c r="AF192" i="11" s="1"/>
  <c r="AF199" i="11" s="1"/>
  <c r="AF22" i="11" s="1"/>
  <c r="AF23" i="11" s="1"/>
  <c r="AF39" i="11" s="1"/>
  <c r="AF44" i="11" s="1"/>
  <c r="H29" i="10"/>
  <c r="Z64" i="11"/>
  <c r="L26" i="10" s="1"/>
  <c r="J26" i="10"/>
  <c r="I26" i="10"/>
  <c r="R22" i="10"/>
  <c r="M22" i="10"/>
  <c r="N22" i="10" s="1"/>
  <c r="P157" i="11" l="1"/>
  <c r="Q154" i="11" s="1"/>
  <c r="P149" i="11"/>
  <c r="M23" i="10"/>
  <c r="N23" i="10" s="1"/>
  <c r="N24" i="10" s="1"/>
  <c r="R24" i="10"/>
  <c r="Y67" i="11"/>
  <c r="Y68" i="11" s="1"/>
  <c r="O25" i="10" s="1"/>
  <c r="AC49" i="11"/>
  <c r="AC53" i="11" s="1"/>
  <c r="AC54" i="11" s="1"/>
  <c r="AC55" i="11" s="1"/>
  <c r="AB61" i="11"/>
  <c r="AB64" i="11" s="1"/>
  <c r="L28" i="10" s="1"/>
  <c r="AB143" i="11"/>
  <c r="AB155" i="11" s="1"/>
  <c r="Z63" i="11"/>
  <c r="Z67" i="11" s="1"/>
  <c r="D30" i="10"/>
  <c r="H30" i="10" s="1"/>
  <c r="AF58" i="11"/>
  <c r="AF49" i="11"/>
  <c r="AF53" i="11" s="1"/>
  <c r="AF54" i="11" s="1"/>
  <c r="I28" i="10"/>
  <c r="AC143" i="11"/>
  <c r="AC60" i="11"/>
  <c r="AC61" i="11"/>
  <c r="AD58" i="11"/>
  <c r="AD49" i="11"/>
  <c r="AD53" i="11" s="1"/>
  <c r="AD54" i="11" s="1"/>
  <c r="R25" i="10"/>
  <c r="M25" i="10"/>
  <c r="AA155" i="11"/>
  <c r="AA147" i="11"/>
  <c r="AE199" i="11"/>
  <c r="AE22" i="11" s="1"/>
  <c r="AE23" i="11" s="1"/>
  <c r="AA64" i="11"/>
  <c r="L27" i="10" s="1"/>
  <c r="J27" i="10"/>
  <c r="I27" i="10"/>
  <c r="Q148" i="11" l="1"/>
  <c r="Q151" i="11" s="1"/>
  <c r="Q146" i="11"/>
  <c r="Q156" i="11"/>
  <c r="Z68" i="11"/>
  <c r="O26" i="10" s="1"/>
  <c r="AB147" i="11"/>
  <c r="J28" i="10"/>
  <c r="K26" i="10"/>
  <c r="R26" i="10" s="1"/>
  <c r="AA63" i="11"/>
  <c r="AA67" i="11" s="1"/>
  <c r="AA68" i="11" s="1"/>
  <c r="O27" i="10" s="1"/>
  <c r="N25" i="10"/>
  <c r="AB63" i="11"/>
  <c r="AB67" i="11" s="1"/>
  <c r="AD143" i="11"/>
  <c r="AD60" i="11"/>
  <c r="AD61" i="11"/>
  <c r="I29" i="10"/>
  <c r="AE39" i="11"/>
  <c r="AE44" i="11" s="1"/>
  <c r="D31" i="10"/>
  <c r="AD55" i="11"/>
  <c r="AC64" i="11"/>
  <c r="L29" i="10" s="1"/>
  <c r="J29" i="10"/>
  <c r="AC155" i="11"/>
  <c r="AC147" i="11"/>
  <c r="AF143" i="11"/>
  <c r="AF60" i="11"/>
  <c r="AF61" i="11"/>
  <c r="AF64" i="11" s="1"/>
  <c r="Q149" i="11" l="1"/>
  <c r="Q159" i="11"/>
  <c r="Q157" i="11"/>
  <c r="R154" i="11" s="1"/>
  <c r="M26" i="10"/>
  <c r="N26" i="10" s="1"/>
  <c r="K27" i="10"/>
  <c r="M27" i="10" s="1"/>
  <c r="K28" i="10"/>
  <c r="M28" i="10" s="1"/>
  <c r="AF63" i="11"/>
  <c r="AF67" i="11" s="1"/>
  <c r="H31" i="10"/>
  <c r="AF155" i="11"/>
  <c r="AF147" i="11"/>
  <c r="AE58" i="11"/>
  <c r="AE49" i="11"/>
  <c r="AE53" i="11" s="1"/>
  <c r="AE54" i="11" s="1"/>
  <c r="I30" i="10"/>
  <c r="AC63" i="11"/>
  <c r="AD64" i="11"/>
  <c r="L30" i="10" s="1"/>
  <c r="J30" i="10"/>
  <c r="AD155" i="11"/>
  <c r="AD147" i="11"/>
  <c r="AB68" i="11"/>
  <c r="O28" i="10" s="1"/>
  <c r="R146" i="11" l="1"/>
  <c r="R156" i="11"/>
  <c r="R159" i="11" s="1"/>
  <c r="R148" i="11"/>
  <c r="R151" i="11" s="1"/>
  <c r="N27" i="10"/>
  <c r="N28" i="10" s="1"/>
  <c r="R28" i="10"/>
  <c r="R27" i="10"/>
  <c r="K29" i="10"/>
  <c r="AC67" i="11"/>
  <c r="AE143" i="11"/>
  <c r="AE60" i="11"/>
  <c r="AE61" i="11"/>
  <c r="AE55" i="11"/>
  <c r="D70" i="11"/>
  <c r="AJ55" i="11"/>
  <c r="AI55" i="11"/>
  <c r="AF55" i="11"/>
  <c r="AG55" i="11"/>
  <c r="AH55" i="11"/>
  <c r="AD63" i="11"/>
  <c r="R149" i="11" l="1"/>
  <c r="S146" i="11" s="1"/>
  <c r="R157" i="11"/>
  <c r="S154" i="11" s="1"/>
  <c r="S148" i="11"/>
  <c r="S151" i="11" s="1"/>
  <c r="S156" i="11"/>
  <c r="S159" i="11" s="1"/>
  <c r="K30" i="10"/>
  <c r="AD67" i="11"/>
  <c r="AD68" i="11" s="1"/>
  <c r="O30" i="10" s="1"/>
  <c r="I31" i="10"/>
  <c r="AC68" i="11"/>
  <c r="O29" i="10" s="1"/>
  <c r="AE64" i="11"/>
  <c r="L31" i="10" s="1"/>
  <c r="J31" i="10"/>
  <c r="AE155" i="11"/>
  <c r="AE147" i="11"/>
  <c r="R29" i="10"/>
  <c r="M29" i="10"/>
  <c r="N29" i="10" s="1"/>
  <c r="S149" i="11" l="1"/>
  <c r="T156" i="11" s="1"/>
  <c r="T159" i="11" s="1"/>
  <c r="S157" i="11"/>
  <c r="T154" i="11" s="1"/>
  <c r="R30" i="10"/>
  <c r="M30" i="10"/>
  <c r="N30" i="10" s="1"/>
  <c r="AE63" i="11"/>
  <c r="T148" i="11" l="1"/>
  <c r="T151" i="11" s="1"/>
  <c r="T146" i="11"/>
  <c r="T157" i="11"/>
  <c r="U154" i="11" s="1"/>
  <c r="K31" i="10"/>
  <c r="AE67" i="11"/>
  <c r="T149" i="11" l="1"/>
  <c r="U146" i="11" s="1"/>
  <c r="R31" i="10"/>
  <c r="M31" i="10"/>
  <c r="N31" i="10" s="1"/>
  <c r="N32" i="10" s="1"/>
  <c r="N33" i="10" s="1"/>
  <c r="N34" i="10" s="1"/>
  <c r="N35" i="10" s="1"/>
  <c r="N36" i="10" s="1"/>
  <c r="AE68" i="11"/>
  <c r="O31" i="10" s="1"/>
  <c r="AF68" i="11"/>
  <c r="D72" i="11"/>
  <c r="D71" i="11"/>
  <c r="AG68" i="11"/>
  <c r="AJ68" i="11"/>
  <c r="AH68" i="11"/>
  <c r="AI68" i="11"/>
  <c r="U156" i="11" l="1"/>
  <c r="U159" i="11" s="1"/>
  <c r="U148" i="11"/>
  <c r="U151" i="11" s="1"/>
  <c r="K204" i="11"/>
  <c r="O204" i="11"/>
  <c r="G204" i="11"/>
  <c r="U149" i="11" l="1"/>
  <c r="V146" i="11" s="1"/>
  <c r="U157" i="11"/>
  <c r="V154" i="11" s="1"/>
  <c r="V148" i="11" l="1"/>
  <c r="V151" i="11" s="1"/>
  <c r="V156" i="11"/>
  <c r="V159" i="11" s="1"/>
  <c r="V149" i="11" l="1"/>
  <c r="W146" i="11" s="1"/>
  <c r="V157" i="11"/>
  <c r="W154" i="11" s="1"/>
  <c r="W148" i="11" l="1"/>
  <c r="W151" i="11" s="1"/>
  <c r="W156" i="11"/>
  <c r="W159" i="11" s="1"/>
  <c r="W157" i="11" l="1"/>
  <c r="X154" i="11" s="1"/>
  <c r="W149" i="11"/>
  <c r="X146" i="11" s="1"/>
  <c r="X156" i="11" l="1"/>
  <c r="X159" i="11" s="1"/>
  <c r="X148" i="11"/>
  <c r="X151" i="11" s="1"/>
  <c r="X157" i="11"/>
  <c r="Y154" i="11" s="1"/>
  <c r="X149" i="11" l="1"/>
  <c r="Y146" i="11" s="1"/>
  <c r="Y156" i="11"/>
  <c r="Y157" i="11" s="1"/>
  <c r="Z154" i="11" s="1"/>
  <c r="Y148" i="11" l="1"/>
  <c r="Y151" i="11" s="1"/>
  <c r="Y149" i="11"/>
  <c r="Z156" i="11" s="1"/>
  <c r="Z157" i="11" s="1"/>
  <c r="AA154" i="11" s="1"/>
  <c r="Y159" i="11"/>
  <c r="Z159" i="11" l="1"/>
  <c r="Z148" i="11"/>
  <c r="Z151" i="11" s="1"/>
  <c r="Z146" i="11"/>
  <c r="Z149" i="11" l="1"/>
  <c r="AA148" i="11" s="1"/>
  <c r="AA151" i="11" s="1"/>
  <c r="AA156" i="11" l="1"/>
  <c r="AA157" i="11" s="1"/>
  <c r="AB154" i="11" s="1"/>
  <c r="AA146" i="11"/>
  <c r="AA149" i="11" s="1"/>
  <c r="AB148" i="11" s="1"/>
  <c r="AB151" i="11" s="1"/>
  <c r="AB146" i="11" l="1"/>
  <c r="AB149" i="11" s="1"/>
  <c r="AB156" i="11"/>
  <c r="AB159" i="11" s="1"/>
  <c r="AA159" i="11"/>
  <c r="AB157" i="11" l="1"/>
  <c r="AC154" i="11" s="1"/>
  <c r="AC146" i="11"/>
  <c r="AC148" i="11"/>
  <c r="AC151" i="11" s="1"/>
  <c r="AC156" i="11"/>
  <c r="AC159" i="11" s="1"/>
  <c r="AC157" i="11" l="1"/>
  <c r="AD154" i="11" s="1"/>
  <c r="AC149" i="11"/>
  <c r="AD148" i="11" l="1"/>
  <c r="AD151" i="11" s="1"/>
  <c r="AD146" i="11"/>
  <c r="AD156" i="11"/>
  <c r="AD157" i="11" l="1"/>
  <c r="AE154" i="11" s="1"/>
  <c r="AD159" i="11"/>
  <c r="AD149" i="11"/>
  <c r="AE148" i="11" l="1"/>
  <c r="AE151" i="11" s="1"/>
  <c r="AE146" i="11"/>
  <c r="AE156" i="11"/>
  <c r="AE159" i="11" s="1"/>
  <c r="AE149" i="11" l="1"/>
  <c r="AE157" i="11"/>
  <c r="AF154" i="11" s="1"/>
  <c r="AF146" i="11" l="1"/>
  <c r="AF156" i="11"/>
  <c r="AF159" i="11" s="1"/>
  <c r="AF148" i="11"/>
  <c r="AF151" i="11" s="1"/>
  <c r="AF149" i="11" l="1"/>
  <c r="AG146" i="11" s="1"/>
  <c r="AG149" i="11" s="1"/>
  <c r="AH146" i="11" s="1"/>
  <c r="AH149" i="11" s="1"/>
  <c r="AI146" i="11" s="1"/>
  <c r="AI149" i="11" s="1"/>
  <c r="AJ146" i="11" s="1"/>
  <c r="AJ149" i="11" s="1"/>
  <c r="AF157" i="11"/>
  <c r="AG154" i="11" s="1"/>
  <c r="AG157" i="11" s="1"/>
  <c r="AH154" i="11" s="1"/>
  <c r="AH157" i="11" s="1"/>
  <c r="AI154" i="11" s="1"/>
  <c r="AI157" i="11" s="1"/>
  <c r="AJ154" i="11" s="1"/>
  <c r="AJ15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D23" authorId="0" shapeId="0" xr:uid="{00000000-0006-0000-0000-00000100000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Gifford</author>
    <author>Tyler Leeds</author>
  </authors>
  <commentList>
    <comment ref="AD2" authorId="0" shapeId="0" xr:uid="{00000000-0006-0000-0100-00000100000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shapeId="0" xr:uid="{00000000-0006-0000-0100-000002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shapeId="0" xr:uid="{00000000-0006-0000-0100-00000300000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shapeId="0" xr:uid="{00000000-0006-0000-0100-00000400000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shapeId="0" xr:uid="{00000000-0006-0000-0100-00000500000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shapeId="0" xr:uid="{00000000-0006-0000-0100-00000600000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shapeId="0" xr:uid="{00000000-0006-0000-0100-000007000000}">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shapeId="0" xr:uid="{00000000-0006-0000-0100-000008000000}">
      <text>
        <r>
          <rPr>
            <b/>
            <sz val="8"/>
            <color indexed="81"/>
            <rFont val="Tahoma"/>
            <family val="2"/>
          </rPr>
          <t>See "unit" definitions at the bottom of this worksheet.</t>
        </r>
        <r>
          <rPr>
            <sz val="8"/>
            <color indexed="81"/>
            <rFont val="Tahoma"/>
            <family val="2"/>
          </rPr>
          <t xml:space="preserve">
</t>
        </r>
      </text>
    </comment>
    <comment ref="P7" authorId="0" shapeId="0" xr:uid="{00000000-0006-0000-0100-000009000000}">
      <text>
        <r>
          <rPr>
            <b/>
            <sz val="8"/>
            <color indexed="81"/>
            <rFont val="Tahoma"/>
            <family val="2"/>
          </rPr>
          <t>See "unit" definitions at the bottom of this worksheet.</t>
        </r>
        <r>
          <rPr>
            <sz val="8"/>
            <color indexed="81"/>
            <rFont val="Tahoma"/>
            <family val="2"/>
          </rPr>
          <t xml:space="preserve">
</t>
        </r>
      </text>
    </comment>
    <comment ref="I8" authorId="1" shapeId="0" xr:uid="{00000000-0006-0000-0100-00000A000000}">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shapeId="0" xr:uid="{00000000-0006-0000-0100-00000B000000}">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shapeId="0" xr:uid="{00000000-0006-0000-0100-00000C000000}">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shapeId="0" xr:uid="{00000000-0006-0000-0100-00000D000000}">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shapeId="0" xr:uid="{00000000-0006-0000-0100-00000E000000}">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shapeId="0" xr:uid="{00000000-0006-0000-0100-00000F000000}">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shapeId="0" xr:uid="{00000000-0006-0000-0100-000010000000}">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shapeId="0" xr:uid="{00000000-0006-0000-0100-000011000000}">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shapeId="0" xr:uid="{00000000-0006-0000-0100-000012000000}">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shapeId="0" xr:uid="{00000000-0006-0000-0100-000013000000}">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shapeId="0" xr:uid="{00000000-0006-0000-0100-000014000000}">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shapeId="0" xr:uid="{00000000-0006-0000-0100-000015000000}">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shapeId="0" xr:uid="{00000000-0006-0000-0100-000016000000}">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shapeId="0" xr:uid="{00000000-0006-0000-0100-000017000000}">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shapeId="0" xr:uid="{00000000-0006-0000-0100-000018000000}">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shapeId="0" xr:uid="{00000000-0006-0000-0100-000019000000}">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shapeId="0" xr:uid="{00000000-0006-0000-0100-00001A000000}">
      <text>
        <r>
          <rPr>
            <b/>
            <sz val="8"/>
            <color indexed="81"/>
            <rFont val="Tahoma"/>
            <family val="2"/>
          </rPr>
          <t>See "unit" definitions at the bottom of this worksheet.</t>
        </r>
        <r>
          <rPr>
            <sz val="8"/>
            <color indexed="81"/>
            <rFont val="Tahoma"/>
            <family val="2"/>
          </rPr>
          <t xml:space="preserve">
</t>
        </r>
      </text>
    </comment>
    <comment ref="I18" authorId="1" shapeId="0" xr:uid="{00000000-0006-0000-0100-00001B000000}">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shapeId="0" xr:uid="{00000000-0006-0000-0100-00001C000000}">
      <text>
        <r>
          <rPr>
            <b/>
            <sz val="8"/>
            <color indexed="81"/>
            <rFont val="Tahoma"/>
            <family val="2"/>
          </rPr>
          <t>See "unit" definitions at the bottom of this worksheet.</t>
        </r>
        <r>
          <rPr>
            <sz val="8"/>
            <color indexed="81"/>
            <rFont val="Tahoma"/>
            <family val="2"/>
          </rPr>
          <t xml:space="preserve">
</t>
        </r>
      </text>
    </comment>
    <comment ref="I19" authorId="1" shapeId="0" xr:uid="{00000000-0006-0000-0100-00001D000000}">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shapeId="0" xr:uid="{00000000-0006-0000-0100-00001E00000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shapeId="0" xr:uid="{00000000-0006-0000-0100-00001F000000}">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shapeId="0" xr:uid="{00000000-0006-0000-0100-000020000000}">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shapeId="0" xr:uid="{00000000-0006-0000-0100-000021000000}">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shapeId="0" xr:uid="{00000000-0006-0000-0100-00002200000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shapeId="0" xr:uid="{00000000-0006-0000-0100-000023000000}">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I23" authorId="1" shapeId="0" xr:uid="{00000000-0006-0000-0100-000024000000}">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shapeId="0" xr:uid="{00000000-0006-0000-0100-00002500000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4" authorId="1" shapeId="0" xr:uid="{00000000-0006-0000-0100-000026000000}">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shapeId="0" xr:uid="{00000000-0006-0000-0100-000027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5" authorId="1" shapeId="0" xr:uid="{00000000-0006-0000-0100-000028000000}">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shapeId="0" xr:uid="{00000000-0006-0000-0100-000029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6" authorId="1" shapeId="0" xr:uid="{00000000-0006-0000-0100-00002A000000}">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I27" authorId="1" shapeId="0" xr:uid="{00000000-0006-0000-0100-00002B000000}">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0" shapeId="0" xr:uid="{00000000-0006-0000-0100-00002C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28" authorId="0" shapeId="0" xr:uid="{00000000-0006-0000-0100-00002D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F29" authorId="0" shapeId="0" xr:uid="{00000000-0006-0000-0100-00002E000000}">
      <text>
        <r>
          <rPr>
            <b/>
            <sz val="8"/>
            <color indexed="81"/>
            <rFont val="Tahoma"/>
            <family val="2"/>
          </rPr>
          <t>See "unit" definitions at the bottom of this worksheet.</t>
        </r>
        <r>
          <rPr>
            <sz val="8"/>
            <color indexed="81"/>
            <rFont val="Tahoma"/>
            <family val="2"/>
          </rPr>
          <t xml:space="preserve">
</t>
        </r>
      </text>
    </comment>
    <comment ref="S29" authorId="1" shapeId="0" xr:uid="{00000000-0006-0000-0100-00002F000000}">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30" authorId="0" shapeId="0" xr:uid="{00000000-0006-0000-0100-00003000000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30" authorId="0" shapeId="0" xr:uid="{00000000-0006-0000-0100-00003100000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I31" authorId="1" shapeId="0" xr:uid="{00000000-0006-0000-0100-000032000000}">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I32" authorId="1" shapeId="0" xr:uid="{00000000-0006-0000-0100-000033000000}">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P32" authorId="0" shapeId="0" xr:uid="{00000000-0006-0000-0100-000034000000}">
      <text>
        <r>
          <rPr>
            <b/>
            <sz val="8"/>
            <color indexed="81"/>
            <rFont val="Tahoma"/>
            <family val="2"/>
          </rPr>
          <t>See "unit" definitions at the bottom of this worksheet.</t>
        </r>
        <r>
          <rPr>
            <sz val="8"/>
            <color indexed="81"/>
            <rFont val="Tahoma"/>
            <family val="2"/>
          </rPr>
          <t xml:space="preserve">
</t>
        </r>
      </text>
    </comment>
    <comment ref="I33" authorId="0" shapeId="0" xr:uid="{00000000-0006-0000-0100-00003500000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1" shapeId="0" xr:uid="{00000000-0006-0000-0100-000036000000}">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4" authorId="0" shapeId="0" xr:uid="{00000000-0006-0000-0100-00003700000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shapeId="0" xr:uid="{00000000-0006-0000-0100-00003800000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5" authorId="0" shapeId="0" xr:uid="{00000000-0006-0000-0100-00003900000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I36" authorId="1" shapeId="0" xr:uid="{00000000-0006-0000-0100-00003A000000}">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shapeId="0" xr:uid="{00000000-0006-0000-0100-00003B00000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7" authorId="0" shapeId="0" xr:uid="{00000000-0006-0000-0100-00003C00000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shapeId="0" xr:uid="{00000000-0006-0000-0100-00003D00000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8" authorId="1" shapeId="0" xr:uid="{00000000-0006-0000-0100-00003E000000}">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shapeId="0" xr:uid="{00000000-0006-0000-0100-00003F00000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9" authorId="1" shapeId="0" xr:uid="{00000000-0006-0000-0100-000040000000}">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shapeId="0" xr:uid="{00000000-0006-0000-0100-00004100000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40" authorId="1" shapeId="0" xr:uid="{00000000-0006-0000-0100-000042000000}">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shapeId="0" xr:uid="{00000000-0006-0000-0100-000043000000}">
      <text>
        <r>
          <rPr>
            <b/>
            <sz val="14"/>
            <color indexed="81"/>
            <rFont val="Tahoma"/>
            <family val="2"/>
          </rPr>
          <t xml:space="preserve">Note:
</t>
        </r>
        <r>
          <rPr>
            <sz val="14"/>
            <color indexed="81"/>
            <rFont val="Tahoma"/>
            <family val="2"/>
          </rPr>
          <t xml:space="preserve">Impacts tax treatment of PBI if owner is a taxable entity.
</t>
        </r>
      </text>
    </comment>
    <comment ref="I41" authorId="1" shapeId="0" xr:uid="{00000000-0006-0000-0100-000044000000}">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shapeId="0" xr:uid="{00000000-0006-0000-0100-00004500000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42" authorId="1" shapeId="0" xr:uid="{00000000-0006-0000-0100-000046000000}">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I43" authorId="0" shapeId="0" xr:uid="{00000000-0006-0000-0100-00004700000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shapeId="0" xr:uid="{00000000-0006-0000-0100-00004800000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44" authorId="0" shapeId="0" xr:uid="{00000000-0006-0000-0100-00004900000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F45" authorId="0" shapeId="0" xr:uid="{00000000-0006-0000-0100-00004A000000}">
      <text>
        <r>
          <rPr>
            <b/>
            <sz val="8"/>
            <color indexed="81"/>
            <rFont val="Tahoma"/>
            <family val="2"/>
          </rPr>
          <t>See "unit" definitions at the bottom of this worksheet.</t>
        </r>
        <r>
          <rPr>
            <sz val="8"/>
            <color indexed="81"/>
            <rFont val="Tahoma"/>
            <family val="2"/>
          </rPr>
          <t xml:space="preserve">
</t>
        </r>
      </text>
    </comment>
    <comment ref="S45" authorId="0" shapeId="0" xr:uid="{00000000-0006-0000-0100-00004B00000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6" authorId="0" shapeId="0" xr:uid="{00000000-0006-0000-0100-00004C00000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shapeId="0" xr:uid="{00000000-0006-0000-0100-00004D00000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7" authorId="0" shapeId="0" xr:uid="{00000000-0006-0000-0100-00004E00000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shapeId="0" xr:uid="{00000000-0006-0000-0100-00004F00000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8" authorId="0" shapeId="0" xr:uid="{00000000-0006-0000-0100-00005000000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F50" authorId="0" shapeId="0" xr:uid="{00000000-0006-0000-0100-000051000000}">
      <text>
        <r>
          <rPr>
            <b/>
            <sz val="8"/>
            <color indexed="81"/>
            <rFont val="Tahoma"/>
            <family val="2"/>
          </rPr>
          <t>See "unit" definitions at the bottom of this worksheet.</t>
        </r>
        <r>
          <rPr>
            <sz val="8"/>
            <color indexed="81"/>
            <rFont val="Tahoma"/>
            <family val="2"/>
          </rPr>
          <t xml:space="preserve">
</t>
        </r>
      </text>
    </comment>
    <comment ref="S50" authorId="0" shapeId="0" xr:uid="{00000000-0006-0000-0100-000052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51" authorId="0" shapeId="0" xr:uid="{00000000-0006-0000-0100-00005300000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51" authorId="0" shapeId="0" xr:uid="{00000000-0006-0000-0100-000054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2" authorId="1" shapeId="0" xr:uid="{00000000-0006-0000-0100-000055000000}">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52" authorId="0" shapeId="0" xr:uid="{00000000-0006-0000-0100-00005600000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I53" authorId="1" shapeId="0" xr:uid="{00000000-0006-0000-0100-000057000000}">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0" shapeId="0" xr:uid="{00000000-0006-0000-0100-00005800000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4" authorId="0" shapeId="0" xr:uid="{00000000-0006-0000-0100-00005900000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I55" authorId="1" shapeId="0" xr:uid="{00000000-0006-0000-0100-00005A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P55" authorId="0" shapeId="0" xr:uid="{00000000-0006-0000-0100-00005B000000}">
      <text>
        <r>
          <rPr>
            <b/>
            <sz val="8"/>
            <color indexed="81"/>
            <rFont val="Tahoma"/>
            <family val="2"/>
          </rPr>
          <t>See "unit" definitions at the bottom of this worksheet.</t>
        </r>
        <r>
          <rPr>
            <sz val="8"/>
            <color indexed="81"/>
            <rFont val="Tahoma"/>
            <family val="2"/>
          </rPr>
          <t xml:space="preserve">
</t>
        </r>
      </text>
    </comment>
    <comment ref="I56" authorId="0" shapeId="0" xr:uid="{00000000-0006-0000-0100-00005C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57" authorId="1" shapeId="0" xr:uid="{00000000-0006-0000-0100-00005D000000}">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7" authorId="1" shapeId="0" xr:uid="{00000000-0006-0000-0100-00005E000000}">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8" authorId="1" shapeId="0" xr:uid="{00000000-0006-0000-0100-00005F000000}">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shapeId="0" xr:uid="{00000000-0006-0000-0100-00006000000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9" authorId="0" shapeId="0" xr:uid="{00000000-0006-0000-0100-000061000000}">
      <text>
        <r>
          <rPr>
            <b/>
            <sz val="14"/>
            <color indexed="81"/>
            <rFont val="Tahoma"/>
            <family val="2"/>
          </rPr>
          <t>Note:</t>
        </r>
        <r>
          <rPr>
            <sz val="14"/>
            <color indexed="81"/>
            <rFont val="Tahoma"/>
            <family val="2"/>
          </rPr>
          <t xml:space="preserve">
If "#N/A" appears, F9 should be pressed until the calculated COE achieves it's final value.</t>
        </r>
      </text>
    </comment>
    <comment ref="I60" authorId="1" shapeId="0" xr:uid="{00000000-0006-0000-0100-000062000000}">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P60" authorId="0" shapeId="0" xr:uid="{00000000-0006-0000-0100-000063000000}">
      <text>
        <r>
          <rPr>
            <b/>
            <sz val="8"/>
            <color indexed="81"/>
            <rFont val="Tahoma"/>
            <family val="2"/>
          </rPr>
          <t>See "unit" definitions at the bottom of this worksheet.</t>
        </r>
        <r>
          <rPr>
            <sz val="8"/>
            <color indexed="81"/>
            <rFont val="Tahoma"/>
            <family val="2"/>
          </rPr>
          <t xml:space="preserve">
</t>
        </r>
      </text>
    </comment>
    <comment ref="I61" authorId="0" shapeId="0" xr:uid="{00000000-0006-0000-0100-00006400000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I62" authorId="1" shapeId="0" xr:uid="{00000000-0006-0000-0100-000065000000}">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shapeId="0" xr:uid="{00000000-0006-0000-0100-000066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63" authorId="0" shapeId="0" xr:uid="{00000000-0006-0000-0100-00006700000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shapeId="0" xr:uid="{00000000-0006-0000-0100-00006800000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4" authorId="0" shapeId="0" xr:uid="{00000000-0006-0000-0100-00006900000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5" authorId="0" shapeId="0" xr:uid="{00000000-0006-0000-0100-00006A00000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S66" authorId="0" shapeId="0" xr:uid="{00000000-0006-0000-0100-00006B00000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7" authorId="0" shapeId="0" xr:uid="{00000000-0006-0000-0100-00006C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shapeId="0" xr:uid="{00000000-0006-0000-0100-00006D000000}">
      <text>
        <r>
          <rPr>
            <b/>
            <sz val="14"/>
            <color indexed="81"/>
            <rFont val="Tahoma"/>
            <family val="2"/>
          </rPr>
          <t>Note:</t>
        </r>
        <r>
          <rPr>
            <sz val="14"/>
            <color indexed="81"/>
            <rFont val="Tahoma"/>
            <family val="2"/>
          </rPr>
          <t xml:space="preserve">
Unused reserves earn interest at this rate. Input cannot be less than zero.
</t>
        </r>
      </text>
    </comment>
    <comment ref="I68" authorId="0" shapeId="0" xr:uid="{00000000-0006-0000-0100-00006E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shapeId="0" xr:uid="{00000000-0006-0000-0100-00006F000000}">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I70" authorId="0" shapeId="0" xr:uid="{00000000-0006-0000-0100-00007000000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70" authorId="0" shapeId="0" xr:uid="{00000000-0006-0000-0100-00007100000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S71" authorId="0" shapeId="0" xr:uid="{00000000-0006-0000-0100-00007200000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F72" authorId="0" shapeId="0" xr:uid="{00000000-0006-0000-0100-000073000000}">
      <text>
        <r>
          <rPr>
            <b/>
            <sz val="8"/>
            <color indexed="81"/>
            <rFont val="Tahoma"/>
            <family val="2"/>
          </rPr>
          <t>See "unit" definitions at the bottom of this worksheet.</t>
        </r>
        <r>
          <rPr>
            <sz val="8"/>
            <color indexed="81"/>
            <rFont val="Tahoma"/>
            <family val="2"/>
          </rPr>
          <t xml:space="preserve">
</t>
        </r>
      </text>
    </comment>
    <comment ref="I73" authorId="0" shapeId="0" xr:uid="{00000000-0006-0000-0100-00007400000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shapeId="0" xr:uid="{00000000-0006-0000-0100-00007500000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shapeId="0" xr:uid="{00000000-0006-0000-0100-00007600000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shapeId="0" xr:uid="{00000000-0006-0000-0100-000077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shapeId="0" xr:uid="{00000000-0006-0000-0100-000078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shapeId="0" xr:uid="{00000000-0006-0000-0100-000079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6" authorId="0" shapeId="0" xr:uid="{00000000-0006-0000-0100-00007A00000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AB76" authorId="0" shapeId="0" xr:uid="{00000000-0006-0000-0100-00007B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7" authorId="0" shapeId="0" xr:uid="{00000000-0006-0000-0100-00007C00000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7" authorId="0" shapeId="0" xr:uid="{00000000-0006-0000-0100-00007D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8" authorId="0" shapeId="0" xr:uid="{00000000-0006-0000-0100-00007E00000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8" authorId="0" shapeId="0" xr:uid="{00000000-0006-0000-0100-00007F00000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9" authorId="0" shapeId="0" xr:uid="{00000000-0006-0000-0100-00008000000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9" authorId="0" shapeId="0" xr:uid="{00000000-0006-0000-0100-00008100000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B5" authorId="0" shapeId="0" xr:uid="{00000000-0006-0000-0200-00000100000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shapeId="0" xr:uid="{00000000-0006-0000-0200-00000200000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C4" authorId="0" shapeId="0" xr:uid="{00000000-0006-0000-0300-00000100000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shapeId="0" xr:uid="{00000000-0006-0000-0300-00000200000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shapeId="0" xr:uid="{00000000-0006-0000-0300-000003000000}">
      <text>
        <r>
          <rPr>
            <b/>
            <sz val="14"/>
            <color indexed="81"/>
            <rFont val="Tahoma"/>
            <family val="2"/>
          </rPr>
          <t>Note:</t>
        </r>
        <r>
          <rPr>
            <sz val="14"/>
            <color indexed="81"/>
            <rFont val="Tahoma"/>
            <family val="2"/>
          </rPr>
          <t xml:space="preserve">
Includes all land lease, royalty and local tax or PILOT.
</t>
        </r>
      </text>
    </comment>
    <comment ref="F4" authorId="0" shapeId="0" xr:uid="{00000000-0006-0000-0300-000004000000}">
      <text>
        <r>
          <rPr>
            <b/>
            <sz val="12"/>
            <color indexed="81"/>
            <rFont val="Tahoma"/>
            <family val="2"/>
          </rPr>
          <t xml:space="preserve">Note:
</t>
        </r>
        <r>
          <rPr>
            <sz val="12"/>
            <color indexed="81"/>
            <rFont val="Tahoma"/>
            <family val="2"/>
          </rPr>
          <t>Includes principle and interest, if debt is used.</t>
        </r>
      </text>
    </comment>
    <comment ref="G4" authorId="0" shapeId="0" xr:uid="{00000000-0006-0000-0300-00000500000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shapeId="0" xr:uid="{00000000-0006-0000-0300-00000600000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shapeId="0" xr:uid="{00000000-0006-0000-0300-00000700000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shapeId="0" xr:uid="{00000000-0006-0000-0300-00000800000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shapeId="0" xr:uid="{00000000-0006-0000-0300-00000900000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Jason Gifford</author>
  </authors>
  <commentList>
    <comment ref="E60" authorId="0" shapeId="0" xr:uid="{00000000-0006-0000-0400-00000100000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shapeId="0" xr:uid="{00000000-0006-0000-0400-00000200000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shapeId="0" xr:uid="{00000000-0006-0000-0400-00000300000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shapeId="0" xr:uid="{00000000-0006-0000-0400-00000400000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shapeId="0" xr:uid="{00000000-0006-0000-0400-00000500000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<sst xmlns="http://schemas.openxmlformats.org/spreadsheetml/2006/main" count="1012" uniqueCount="515">
  <si>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</si>
  <si>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</si>
  <si>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</si>
  <si>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</si>
  <si>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</si>
  <si>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</si>
  <si>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</si>
  <si>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</si>
  <si>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</si>
  <si>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</si>
  <si>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</si>
  <si>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</si>
  <si>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</si>
  <si>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</si>
  <si>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</si>
  <si>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</si>
  <si>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</si>
  <si>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</si>
  <si>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</si>
  <si>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</si>
  <si>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</si>
  <si>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</si>
  <si>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</si>
  <si>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</si>
  <si>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</si>
  <si>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</si>
  <si>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</si>
  <si>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</si>
  <si>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</si>
  <si>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</si>
  <si>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</si>
  <si>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</si>
  <si>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</si>
  <si>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</si>
  <si>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</si>
  <si>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</si>
  <si>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</si>
  <si>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</si>
  <si>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</si>
  <si>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</si>
  <si>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</si>
  <si>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</si>
  <si>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</si>
  <si>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</si>
  <si>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</si>
  <si>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</si>
  <si>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</si>
  <si>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</si>
  <si>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</si>
  <si>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</si>
  <si>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</si>
  <si>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</si>
  <si>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</si>
  <si>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</si>
  <si>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</si>
  <si>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</si>
  <si>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</si>
  <si>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</si>
  <si>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</si>
  <si>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</si>
  <si>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</si>
  <si>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</si>
  <si>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</si>
  <si>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</si>
  <si>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</si>
  <si>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</si>
  <si>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</si>
  <si>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</si>
  <si>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</si>
  <si>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</si>
  <si>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</si>
  <si>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</si>
  <si>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</si>
  <si>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</si>
  <si>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</si>
  <si>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</si>
  <si>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</si>
  <si>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</si>
  <si>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</si>
  <si>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</si>
  <si>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</si>
  <si>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</si>
  <si>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</si>
  <si>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</si>
  <si>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</si>
  <si>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</si>
  <si>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</si>
  <si>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</si>
  <si>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</si>
  <si>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</si>
  <si>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</si>
  <si>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</si>
  <si>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</si>
  <si>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</si>
  <si>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</si>
  <si>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</si>
  <si>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</si>
  <si>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</si>
  <si>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</si>
  <si>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</si>
  <si>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</si>
  <si>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</si>
  <si>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</si>
  <si>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</si>
  <si>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</si>
  <si>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</si>
  <si>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</si>
  <si>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</si>
  <si>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</si>
  <si>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</si>
  <si>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</si>
  <si>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</si>
  <si>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</si>
  <si>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</si>
  <si>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</si>
  <si>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</si>
  <si>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</si>
  <si>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</si>
  <si>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</si>
  <si>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</si>
  <si>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</si>
  <si>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</si>
  <si>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</si>
  <si>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</si>
  <si>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</si>
  <si>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</si>
  <si>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</si>
  <si>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</si>
  <si>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</si>
  <si>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</si>
  <si>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</si>
  <si>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</si>
  <si>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</si>
  <si>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</si>
  <si>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</si>
  <si>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</si>
  <si>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</si>
  <si>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</si>
  <si>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</si>
  <si>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</si>
  <si>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</si>
  <si>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</si>
  <si>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</si>
  <si>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</si>
  <si>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</si>
  <si>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</si>
  <si>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</si>
  <si>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</si>
  <si>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</si>
  <si>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</si>
  <si>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</si>
  <si>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</si>
  <si>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</si>
  <si>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</si>
  <si>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</si>
  <si>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</si>
  <si>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</si>
  <si>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</si>
  <si>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</si>
  <si>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</si>
  <si>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</si>
  <si>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</si>
  <si>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</si>
  <si>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</si>
  <si>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</si>
  <si>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</si>
  <si>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</si>
  <si>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</si>
  <si>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</si>
  <si>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</si>
  <si>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</si>
  <si>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</si>
  <si>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</si>
  <si>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</si>
  <si>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</si>
  <si>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</si>
  <si>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</si>
  <si>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</si>
  <si>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</si>
  <si>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</si>
  <si>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</si>
  <si>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</si>
  <si>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</si>
  <si>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</si>
  <si>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</si>
  <si>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</si>
  <si>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</si>
  <si>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</si>
  <si>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</si>
  <si>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</si>
  <si>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</si>
  <si>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</si>
  <si>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</si>
  <si>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</si>
  <si>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</si>
  <si>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</si>
  <si>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</si>
  <si>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</si>
  <si>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</si>
  <si>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</si>
  <si>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</si>
  <si>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</si>
  <si>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</si>
  <si>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</si>
  <si>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</si>
  <si>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</si>
  <si>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</si>
  <si>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</si>
  <si>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</si>
  <si>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</si>
  <si>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</si>
  <si>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</si>
  <si>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</si>
  <si>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</si>
  <si>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</si>
  <si>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</si>
  <si>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</si>
  <si>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</si>
  <si>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</si>
  <si>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</si>
  <si>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</si>
  <si>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</si>
  <si>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</si>
  <si>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</si>
  <si>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</si>
  <si>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</si>
  <si>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</si>
  <si>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</si>
  <si>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</si>
  <si>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</si>
  <si>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</si>
  <si>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</si>
  <si>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</si>
  <si>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</si>
  <si>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</si>
  <si>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</si>
  <si>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</si>
  <si>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</si>
  <si>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</si>
  <si>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</si>
  <si>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</si>
  <si>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</si>
  <si>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</si>
  <si>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</si>
  <si>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</si>
  <si>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</si>
  <si>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</si>
  <si>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</si>
  <si>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</si>
  <si>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</si>
  <si>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</si>
  <si>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</si>
  <si>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</si>
  <si>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</si>
  <si>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</si>
  <si>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</si>
  <si>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</si>
  <si>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</si>
  <si>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</si>
  <si>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</si>
  <si>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</si>
  <si>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</si>
  <si>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</si>
  <si>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</si>
  <si>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</si>
  <si>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</si>
  <si>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</si>
  <si>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</si>
  <si>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</si>
  <si>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</si>
  <si>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</si>
  <si>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</si>
  <si>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</si>
  <si>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</si>
  <si>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</si>
  <si>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</si>
  <si>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</si>
  <si>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</si>
  <si>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</si>
  <si>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</si>
  <si>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</si>
  <si>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</si>
  <si>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</si>
  <si>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</si>
  <si>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</si>
  <si>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</si>
  <si>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</si>
  <si>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</si>
  <si>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</si>
  <si>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</si>
  <si>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</si>
  <si>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</si>
  <si>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</si>
  <si>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</si>
  <si>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</si>
  <si>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</si>
  <si>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</si>
  <si>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</si>
  <si>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</si>
  <si>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</si>
  <si>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</si>
  <si>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</si>
  <si>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</si>
  <si>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</si>
  <si>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</si>
  <si>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</si>
  <si>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</si>
  <si>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</si>
  <si>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</si>
  <si>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</si>
  <si>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</si>
  <si>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</si>
  <si>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</si>
  <si>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</si>
  <si>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</si>
  <si>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</si>
  <si>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</si>
  <si>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</si>
  <si>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</si>
  <si>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</si>
  <si>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</si>
  <si>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</si>
  <si>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</si>
  <si>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</si>
  <si>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</si>
  <si>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</si>
  <si>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</si>
  <si>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</si>
  <si>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</si>
  <si>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</si>
  <si>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</si>
  <si>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</si>
  <si>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</si>
  <si>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</si>
  <si>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</si>
  <si>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</si>
  <si>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</si>
  <si>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</si>
  <si>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Operations</t>
  </si>
  <si>
    <t>Year One</t>
  </si>
  <si>
    <t>As Generated</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</si>
  <si>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</si>
  <si>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</si>
  <si>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</si>
  <si>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</si>
  <si>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</si>
  <si>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</si>
  <si>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</si>
  <si>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</si>
  <si>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</si>
  <si>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</si>
  <si>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</si>
  <si>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</si>
  <si>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</si>
  <si>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</si>
  <si>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</si>
  <si>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</si>
  <si>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</si>
  <si>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</si>
  <si>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</si>
  <si>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</si>
  <si>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</si>
  <si>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</si>
  <si>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</si>
  <si>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</si>
  <si>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</si>
  <si>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</si>
  <si>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</si>
  <si>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</si>
  <si>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</si>
  <si>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</si>
  <si>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</si>
  <si>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</si>
  <si>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</si>
  <si>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</si>
  <si>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</si>
  <si>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</si>
  <si>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</si>
  <si>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</si>
  <si>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</si>
  <si>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</si>
  <si>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</si>
  <si>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</si>
  <si>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</si>
  <si>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</si>
  <si>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</si>
  <si>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</si>
  <si>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</si>
  <si>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</si>
  <si>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</si>
  <si>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</si>
  <si>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</si>
  <si>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</si>
  <si>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</si>
  <si>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</si>
  <si>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</si>
  <si>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</si>
  <si>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</si>
  <si>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</si>
  <si>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</si>
  <si>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</si>
  <si>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</si>
  <si>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</si>
  <si>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</si>
  <si>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</si>
  <si>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</si>
  <si>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</si>
  <si>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</si>
  <si>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</si>
  <si>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</si>
  <si>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</si>
  <si>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</si>
  <si>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</si>
  <si>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</si>
  <si>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</si>
  <si>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</si>
  <si>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</si>
  <si>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</si>
  <si>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Cash Grant</t>
  </si>
  <si>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</si>
  <si>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</si>
  <si>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</si>
  <si>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</si>
  <si>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</si>
  <si>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</si>
  <si>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</si>
  <si>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</si>
  <si>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</si>
  <si>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</si>
  <si>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</si>
  <si>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</si>
  <si>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</si>
  <si>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</si>
  <si>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</si>
  <si>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</si>
  <si>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</si>
  <si>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</si>
  <si>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</si>
  <si>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</si>
  <si>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</si>
  <si>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</si>
  <si>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</si>
  <si>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</si>
  <si>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</si>
  <si>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</si>
  <si>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</si>
  <si>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</si>
  <si>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</si>
  <si>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</si>
  <si>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</si>
  <si>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</si>
  <si>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</si>
  <si>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</si>
  <si>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</si>
  <si>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</si>
  <si>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</si>
  <si>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</si>
  <si>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</si>
  <si>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</si>
  <si>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</si>
  <si>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</si>
  <si>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</si>
  <si>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</si>
  <si>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</si>
  <si>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</si>
  <si>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</si>
  <si>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</si>
  <si>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</si>
  <si>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</si>
  <si>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</si>
  <si>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</si>
  <si>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</si>
  <si>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</si>
  <si>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</si>
  <si>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</si>
  <si>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</si>
  <si>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</si>
  <si>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</si>
  <si>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</si>
  <si>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</si>
  <si>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</si>
  <si>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</si>
  <si>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</si>
  <si>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</si>
  <si>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</si>
  <si>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</si>
  <si>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</si>
  <si>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</si>
  <si>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</si>
  <si>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</si>
  <si>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</si>
  <si>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</si>
  <si>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</si>
  <si>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</si>
  <si>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</si>
  <si>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</si>
  <si>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</si>
  <si>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</si>
  <si>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</si>
  <si>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</si>
  <si>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</si>
  <si>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</si>
  <si>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</si>
  <si>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</si>
  <si>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</si>
  <si>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</si>
  <si>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</si>
  <si>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</si>
  <si>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</si>
  <si>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</si>
  <si>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</si>
  <si>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Intermediate</t>
  </si>
  <si>
    <t>Solar, version 1.4</t>
  </si>
  <si>
    <t>Version 1.4 removes CREST's password protection. The authors strongly recommend that you save a copy of the model in its original form.  Once altered, modeling results cannot be warranted by NREL or SEA.  For model customization support, please contact Sustainable Energy Advantage, LLC.</t>
  </si>
  <si>
    <t>Update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</si>
</sst>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100">
    <font>
      <sz val="11"/>
      <color theme="1"/>
      <name val="Calibri"/>
      <family val="2"/>
      <scheme val="minor"/>
    </font>
    <font>
      <sz val="12"/>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0" fontId="17" fillId="0" borderId="0" applyNumberFormat="0" applyFill="0" applyBorder="0" applyAlignment="0" applyProtection="0">
      <alignment vertical="top"/>
      <protection locked="0"/>
    </xf>
    <xf numFmtId="9" fontId="20" fillId="0" borderId="0" applyFont="0" applyFill="0" applyBorder="0" applyAlignment="0" applyProtection="0"/>
    <xf numFmtId="43" fontId="2" fillId="0" borderId="0" applyFont="0" applyFill="0" applyBorder="0" applyAlignment="0" applyProtection="0"/>
  </cellStyleXfs>
  <cellXfs count="804">
    <xf numFmtId="0" fontId="0" fillId="0" borderId="0" xfId="0"/>
    <xf numFmtId="0" fontId="6" fillId="0" borderId="0" xfId="0" applyFont="1" applyFill="1" applyBorder="1"/>
    <xf numFmtId="0" fontId="3" fillId="5" borderId="1" xfId="0" applyNumberFormat="1" applyFont="1" applyFill="1" applyBorder="1" applyAlignment="1">
      <alignment horizontal="left"/>
    </xf>
    <xf numFmtId="0" fontId="10" fillId="5" borderId="2" xfId="0" applyNumberFormat="1" applyFont="1" applyFill="1" applyBorder="1" applyAlignment="1">
      <alignment horizontal="center"/>
    </xf>
    <xf numFmtId="166" fontId="11" fillId="5" borderId="3" xfId="0" applyNumberFormat="1" applyFont="1" applyFill="1" applyBorder="1" applyAlignment="1">
      <alignment horizontal="center"/>
    </xf>
    <xf numFmtId="0" fontId="3" fillId="5" borderId="1" xfId="0" applyNumberFormat="1" applyFont="1" applyFill="1" applyBorder="1" applyAlignment="1"/>
    <xf numFmtId="0" fontId="4" fillId="2" borderId="5" xfId="0" applyNumberFormat="1" applyFont="1" applyFill="1" applyBorder="1" applyAlignment="1">
      <alignment horizontal="center"/>
    </xf>
    <xf numFmtId="0" fontId="4" fillId="2" borderId="4" xfId="0" applyNumberFormat="1" applyFont="1" applyFill="1" applyBorder="1" applyAlignment="1">
      <alignment horizontal="center"/>
    </xf>
    <xf numFmtId="0" fontId="4" fillId="0" borderId="4" xfId="0" applyFont="1" applyBorder="1" applyAlignment="1">
      <alignment horizontal="center"/>
    </xf>
    <xf numFmtId="0" fontId="6" fillId="2" borderId="4" xfId="0" applyNumberFormat="1" applyFont="1" applyFill="1" applyBorder="1" applyAlignment="1"/>
    <xf numFmtId="3" fontId="3" fillId="5" borderId="1" xfId="0" applyNumberFormat="1" applyFont="1" applyFill="1" applyBorder="1" applyAlignment="1">
      <alignment horizontal="left"/>
    </xf>
    <xf numFmtId="0" fontId="4" fillId="0" borderId="4" xfId="0" applyNumberFormat="1" applyFont="1" applyFill="1" applyBorder="1" applyAlignment="1">
      <alignment horizontal="center"/>
    </xf>
    <xf numFmtId="0" fontId="6" fillId="0" borderId="8" xfId="0" applyFont="1" applyFill="1" applyBorder="1"/>
    <xf numFmtId="0" fontId="6" fillId="0" borderId="0" xfId="0" applyFont="1" applyBorder="1"/>
    <xf numFmtId="0" fontId="15" fillId="0" borderId="4" xfId="0" applyFont="1" applyFill="1" applyBorder="1" applyAlignment="1">
      <alignment horizontal="center"/>
    </xf>
    <xf numFmtId="0" fontId="0" fillId="0" borderId="0" xfId="0" applyBorder="1"/>
    <xf numFmtId="0" fontId="15" fillId="0" borderId="0" xfId="0" applyFont="1" applyFill="1" applyBorder="1" applyAlignment="1">
      <alignment horizontal="center"/>
    </xf>
    <xf numFmtId="0" fontId="8" fillId="0" borderId="0" xfId="0" applyFont="1" applyFill="1" applyBorder="1" applyAlignment="1">
      <alignment horizontal="center"/>
    </xf>
    <xf numFmtId="0" fontId="3" fillId="0" borderId="0" xfId="0" applyFont="1" applyFill="1" applyBorder="1" applyAlignment="1">
      <alignment horizontal="center"/>
    </xf>
    <xf numFmtId="0" fontId="6" fillId="0" borderId="2" xfId="0" applyFont="1" applyBorder="1"/>
    <xf numFmtId="0" fontId="6" fillId="0" borderId="0" xfId="0" applyFont="1" applyFill="1" applyBorder="1" applyAlignment="1">
      <alignment horizontal="center"/>
    </xf>
    <xf numFmtId="0" fontId="6" fillId="2" borderId="0" xfId="0" applyNumberFormat="1" applyFont="1" applyFill="1" applyBorder="1" applyAlignment="1"/>
    <xf numFmtId="0" fontId="4" fillId="0" borderId="4" xfId="0" applyFont="1" applyFill="1" applyBorder="1" applyAlignment="1">
      <alignment horizontal="center"/>
    </xf>
    <xf numFmtId="0" fontId="24" fillId="0" borderId="2" xfId="0" applyFont="1" applyBorder="1" applyAlignment="1">
      <alignment horizontal="center" vertical="center"/>
    </xf>
    <xf numFmtId="0" fontId="8" fillId="0" borderId="2" xfId="0" applyFont="1" applyFill="1" applyBorder="1" applyAlignment="1">
      <alignment horizontal="left"/>
    </xf>
    <xf numFmtId="9" fontId="9" fillId="0" borderId="0" xfId="0" applyNumberFormat="1" applyFont="1" applyFill="1" applyBorder="1" applyAlignment="1">
      <alignment horizontal="center"/>
    </xf>
    <xf numFmtId="0" fontId="0" fillId="0" borderId="0" xfId="0" applyFill="1" applyBorder="1"/>
    <xf numFmtId="0" fontId="6" fillId="5" borderId="2" xfId="0" applyFont="1" applyFill="1" applyBorder="1"/>
    <xf numFmtId="0" fontId="6" fillId="0" borderId="0" xfId="0" applyNumberFormat="1" applyFont="1" applyAlignment="1"/>
    <xf numFmtId="0" fontId="3" fillId="0" borderId="0" xfId="0" applyNumberFormat="1" applyFont="1" applyAlignment="1">
      <alignment horizontal="center"/>
    </xf>
    <xf numFmtId="0" fontId="6" fillId="0" borderId="0" xfId="0" applyNumberFormat="1" applyFont="1" applyFill="1" applyAlignment="1"/>
    <xf numFmtId="0" fontId="6" fillId="0" borderId="0" xfId="0" applyNumberFormat="1" applyFont="1" applyAlignment="1">
      <alignment horizontal="center"/>
    </xf>
    <xf numFmtId="173" fontId="6" fillId="0" borderId="0" xfId="0" applyNumberFormat="1" applyFont="1" applyAlignment="1"/>
    <xf numFmtId="0" fontId="3" fillId="0" borderId="0" xfId="0" applyNumberFormat="1" applyFont="1" applyAlignment="1"/>
    <xf numFmtId="3" fontId="6" fillId="0" borderId="0" xfId="0" applyNumberFormat="1" applyFont="1" applyAlignment="1"/>
    <xf numFmtId="0" fontId="6" fillId="0" borderId="0" xfId="0" applyNumberFormat="1" applyFont="1" applyFill="1" applyBorder="1" applyAlignment="1"/>
    <xf numFmtId="169" fontId="6" fillId="0" borderId="0" xfId="0" applyNumberFormat="1" applyFont="1" applyBorder="1" applyAlignment="1"/>
    <xf numFmtId="0" fontId="6" fillId="0" borderId="0" xfId="0" applyNumberFormat="1" applyFont="1" applyBorder="1" applyAlignment="1"/>
    <xf numFmtId="0" fontId="6" fillId="0" borderId="9" xfId="0" applyNumberFormat="1" applyFont="1" applyFill="1" applyBorder="1" applyAlignment="1"/>
    <xf numFmtId="0" fontId="6" fillId="0" borderId="9" xfId="0" applyNumberFormat="1" applyFont="1" applyBorder="1" applyAlignment="1"/>
    <xf numFmtId="169" fontId="3" fillId="0" borderId="0" xfId="0" applyNumberFormat="1" applyFont="1" applyAlignment="1"/>
    <xf numFmtId="6" fontId="6" fillId="0" borderId="0" xfId="0" applyNumberFormat="1" applyFont="1" applyFill="1" applyBorder="1" applyAlignment="1"/>
    <xf numFmtId="6" fontId="6" fillId="0" borderId="9" xfId="0" applyNumberFormat="1" applyFont="1" applyFill="1" applyBorder="1" applyAlignment="1"/>
    <xf numFmtId="0" fontId="3" fillId="0" borderId="0" xfId="0" applyNumberFormat="1" applyFont="1" applyFill="1" applyBorder="1" applyAlignment="1"/>
    <xf numFmtId="6" fontId="3" fillId="0" borderId="0" xfId="0" applyNumberFormat="1" applyFont="1" applyAlignment="1"/>
    <xf numFmtId="0" fontId="4" fillId="0" borderId="0" xfId="0" applyNumberFormat="1" applyFont="1" applyFill="1" applyBorder="1" applyAlignment="1"/>
    <xf numFmtId="0" fontId="4" fillId="0" borderId="0" xfId="0" applyNumberFormat="1" applyFont="1" applyAlignment="1"/>
    <xf numFmtId="0" fontId="4" fillId="0" borderId="0" xfId="0" applyNumberFormat="1" applyFont="1" applyFill="1" applyAlignment="1"/>
    <xf numFmtId="40" fontId="4" fillId="0" borderId="0" xfId="0" applyNumberFormat="1" applyFont="1" applyFill="1" applyAlignment="1">
      <alignment horizontal="center"/>
    </xf>
    <xf numFmtId="0" fontId="3" fillId="0" borderId="0" xfId="0" applyNumberFormat="1" applyFont="1" applyFill="1" applyAlignment="1"/>
    <xf numFmtId="6" fontId="3" fillId="0" borderId="0" xfId="0" applyNumberFormat="1" applyFont="1" applyFill="1" applyAlignment="1"/>
    <xf numFmtId="0" fontId="3" fillId="0" borderId="0" xfId="0" applyNumberFormat="1" applyFont="1" applyAlignment="1">
      <alignment wrapText="1"/>
    </xf>
    <xf numFmtId="6" fontId="6" fillId="0" borderId="0" xfId="0" applyNumberFormat="1" applyFont="1" applyAlignment="1"/>
    <xf numFmtId="6" fontId="6" fillId="0" borderId="9" xfId="0" applyNumberFormat="1" applyFont="1" applyBorder="1" applyAlignment="1"/>
    <xf numFmtId="0" fontId="21" fillId="0" borderId="0" xfId="0" applyNumberFormat="1" applyFont="1" applyAlignment="1">
      <alignment wrapText="1"/>
    </xf>
    <xf numFmtId="164" fontId="4" fillId="0" borderId="0" xfId="2" applyNumberFormat="1" applyFont="1" applyAlignment="1"/>
    <xf numFmtId="6" fontId="31" fillId="0" borderId="0" xfId="0" applyNumberFormat="1" applyFont="1" applyFill="1" applyAlignment="1">
      <alignment horizontal="center"/>
    </xf>
    <xf numFmtId="0" fontId="3" fillId="0" borderId="22" xfId="0" applyNumberFormat="1" applyFont="1" applyBorder="1" applyAlignment="1"/>
    <xf numFmtId="0" fontId="6" fillId="0" borderId="22" xfId="0" applyNumberFormat="1" applyFont="1" applyBorder="1" applyAlignment="1"/>
    <xf numFmtId="0" fontId="3" fillId="9" borderId="0" xfId="0" applyNumberFormat="1" applyFont="1" applyFill="1" applyBorder="1" applyAlignment="1"/>
    <xf numFmtId="0" fontId="6" fillId="9" borderId="0" xfId="0" applyNumberFormat="1" applyFont="1" applyFill="1" applyBorder="1" applyAlignment="1"/>
    <xf numFmtId="6" fontId="6" fillId="9" borderId="0" xfId="0" applyNumberFormat="1" applyFont="1" applyFill="1" applyBorder="1" applyAlignment="1"/>
    <xf numFmtId="0" fontId="21" fillId="9" borderId="0" xfId="0" applyNumberFormat="1" applyFont="1" applyFill="1" applyBorder="1" applyAlignment="1">
      <alignment horizontal="center"/>
    </xf>
    <xf numFmtId="0" fontId="6" fillId="9" borderId="0" xfId="0" applyNumberFormat="1" applyFont="1" applyFill="1" applyAlignment="1"/>
    <xf numFmtId="0" fontId="0" fillId="0" borderId="0" xfId="0" applyNumberFormat="1" applyAlignment="1"/>
    <xf numFmtId="0" fontId="25" fillId="0" borderId="0" xfId="0" applyFont="1" applyFill="1" applyAlignment="1">
      <alignment horizontal="center"/>
    </xf>
    <xf numFmtId="0" fontId="0" fillId="0" borderId="0" xfId="0" applyFill="1"/>
    <xf numFmtId="3" fontId="3" fillId="9" borderId="1" xfId="0" applyNumberFormat="1" applyFont="1" applyFill="1" applyBorder="1" applyAlignment="1">
      <alignment horizontal="left" vertical="center"/>
    </xf>
    <xf numFmtId="3" fontId="4"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6" fillId="2" borderId="4" xfId="0" applyNumberFormat="1" applyFont="1" applyFill="1" applyBorder="1" applyAlignment="1">
      <alignment vertical="center"/>
    </xf>
    <xf numFmtId="0" fontId="6" fillId="0" borderId="4" xfId="0" applyNumberFormat="1" applyFont="1" applyFill="1" applyBorder="1" applyAlignment="1">
      <alignment vertical="center"/>
    </xf>
    <xf numFmtId="9" fontId="3" fillId="2" borderId="5" xfId="2" applyFont="1" applyFill="1" applyBorder="1" applyAlignment="1">
      <alignment horizontal="center"/>
    </xf>
    <xf numFmtId="0" fontId="34" fillId="0" borderId="0" xfId="3" applyNumberFormat="1" applyFont="1" applyBorder="1" applyAlignment="1" applyProtection="1">
      <alignment vertical="center"/>
    </xf>
    <xf numFmtId="9" fontId="35" fillId="2" borderId="5" xfId="2" applyFont="1" applyFill="1" applyBorder="1" applyAlignment="1">
      <alignment horizontal="center"/>
    </xf>
    <xf numFmtId="0" fontId="4" fillId="0" borderId="0" xfId="0" applyNumberFormat="1" applyFont="1" applyFill="1" applyBorder="1" applyAlignment="1">
      <alignment horizontal="center"/>
    </xf>
    <xf numFmtId="9" fontId="6" fillId="2" borderId="5" xfId="2" applyFont="1" applyFill="1" applyBorder="1" applyAlignment="1">
      <alignment horizontal="center" vertical="center"/>
    </xf>
    <xf numFmtId="166" fontId="11" fillId="0" borderId="0" xfId="0" applyNumberFormat="1" applyFont="1" applyFill="1" applyBorder="1" applyAlignment="1">
      <alignment horizontal="center"/>
    </xf>
    <xf numFmtId="0" fontId="4" fillId="0" borderId="0" xfId="0" applyNumberFormat="1" applyFont="1" applyAlignment="1">
      <alignment horizontal="center"/>
    </xf>
    <xf numFmtId="0" fontId="4" fillId="0" borderId="9" xfId="0" applyNumberFormat="1" applyFont="1" applyFill="1" applyBorder="1" applyAlignment="1">
      <alignment horizontal="center"/>
    </xf>
    <xf numFmtId="0" fontId="21" fillId="0" borderId="0" xfId="0" applyNumberFormat="1" applyFont="1" applyAlignment="1">
      <alignment horizontal="center"/>
    </xf>
    <xf numFmtId="0" fontId="4" fillId="0" borderId="0" xfId="0" applyNumberFormat="1" applyFont="1" applyFill="1" applyAlignment="1">
      <alignment horizontal="center"/>
    </xf>
    <xf numFmtId="172" fontId="6" fillId="0" borderId="0" xfId="0" applyNumberFormat="1" applyFont="1" applyFill="1" applyAlignment="1">
      <alignment horizontal="center"/>
    </xf>
    <xf numFmtId="6" fontId="6" fillId="0" borderId="0" xfId="0" applyNumberFormat="1" applyFont="1" applyBorder="1" applyAlignment="1"/>
    <xf numFmtId="10" fontId="6" fillId="0" borderId="0" xfId="2" applyNumberFormat="1" applyFont="1" applyAlignment="1"/>
    <xf numFmtId="9" fontId="6" fillId="0" borderId="0" xfId="0" applyNumberFormat="1" applyFont="1" applyAlignment="1"/>
    <xf numFmtId="41" fontId="6" fillId="0" borderId="0" xfId="0" applyNumberFormat="1" applyFont="1" applyAlignment="1"/>
    <xf numFmtId="2" fontId="31" fillId="0" borderId="0" xfId="0" applyNumberFormat="1" applyFont="1" applyFill="1" applyAlignment="1">
      <alignment horizontal="center"/>
    </xf>
    <xf numFmtId="0" fontId="6" fillId="9" borderId="22" xfId="0" applyNumberFormat="1" applyFont="1" applyFill="1" applyBorder="1" applyAlignment="1"/>
    <xf numFmtId="2" fontId="4" fillId="0" borderId="0" xfId="0" applyNumberFormat="1" applyFont="1" applyBorder="1" applyAlignment="1"/>
    <xf numFmtId="0" fontId="24" fillId="6" borderId="3" xfId="0" applyFont="1" applyFill="1" applyBorder="1" applyAlignment="1">
      <alignment horizontal="center" vertical="center" wrapText="1"/>
    </xf>
    <xf numFmtId="0" fontId="4" fillId="0" borderId="0" xfId="0" applyNumberFormat="1" applyFont="1" applyBorder="1" applyAlignment="1">
      <alignment horizontal="center"/>
    </xf>
    <xf numFmtId="0" fontId="6" fillId="0" borderId="22" xfId="0" applyFont="1" applyFill="1" applyBorder="1"/>
    <xf numFmtId="8" fontId="4" fillId="0" borderId="0" xfId="0" applyNumberFormat="1" applyFont="1" applyFill="1" applyBorder="1" applyAlignment="1">
      <alignment horizontal="center"/>
    </xf>
    <xf numFmtId="0" fontId="38" fillId="4" borderId="1" xfId="0" applyFont="1" applyFill="1" applyBorder="1" applyAlignment="1">
      <alignment horizontal="left" vertical="center"/>
    </xf>
    <xf numFmtId="0" fontId="25" fillId="4" borderId="2" xfId="0" applyFont="1" applyFill="1" applyBorder="1" applyAlignment="1">
      <alignment horizontal="center"/>
    </xf>
    <xf numFmtId="0" fontId="39" fillId="6" borderId="1" xfId="0" applyFont="1" applyFill="1" applyBorder="1"/>
    <xf numFmtId="0" fontId="40" fillId="6" borderId="2" xfId="0" applyFont="1" applyFill="1" applyBorder="1"/>
    <xf numFmtId="0" fontId="41" fillId="6" borderId="2" xfId="0" applyFont="1" applyFill="1" applyBorder="1" applyAlignment="1">
      <alignment horizontal="center"/>
    </xf>
    <xf numFmtId="9" fontId="24" fillId="0" borderId="4" xfId="0" applyNumberFormat="1" applyFont="1" applyFill="1" applyBorder="1" applyAlignment="1">
      <alignment horizontal="center"/>
    </xf>
    <xf numFmtId="0" fontId="4" fillId="4" borderId="3" xfId="0" applyNumberFormat="1" applyFont="1" applyFill="1" applyBorder="1" applyAlignment="1">
      <alignment horizontal="center" vertical="center"/>
    </xf>
    <xf numFmtId="9" fontId="6" fillId="0" borderId="0" xfId="2" applyFont="1" applyFill="1" applyBorder="1" applyAlignment="1">
      <alignment horizontal="center" vertical="center"/>
    </xf>
    <xf numFmtId="0" fontId="21" fillId="4" borderId="1" xfId="0" applyFont="1" applyFill="1" applyBorder="1"/>
    <xf numFmtId="0" fontId="6" fillId="4" borderId="2" xfId="0" applyFont="1" applyFill="1" applyBorder="1"/>
    <xf numFmtId="0" fontId="6" fillId="4" borderId="3" xfId="0" applyFont="1" applyFill="1" applyBorder="1"/>
    <xf numFmtId="0" fontId="40" fillId="6" borderId="3" xfId="0" applyFont="1" applyFill="1" applyBorder="1"/>
    <xf numFmtId="0" fontId="6" fillId="2" borderId="5" xfId="0" applyNumberFormat="1" applyFont="1" applyFill="1" applyBorder="1" applyAlignment="1">
      <alignment vertical="center"/>
    </xf>
    <xf numFmtId="169" fontId="6" fillId="0" borderId="5" xfId="1" applyNumberFormat="1" applyFont="1" applyBorder="1" applyAlignment="1">
      <alignment horizontal="center" vertical="center"/>
    </xf>
    <xf numFmtId="0" fontId="0" fillId="0" borderId="4" xfId="0" applyFill="1" applyBorder="1"/>
    <xf numFmtId="0" fontId="8" fillId="0" borderId="1" xfId="0" applyFont="1" applyFill="1" applyBorder="1" applyAlignment="1">
      <alignment horizontal="left" vertical="center"/>
    </xf>
    <xf numFmtId="0" fontId="4" fillId="9" borderId="29" xfId="0" applyNumberFormat="1" applyFont="1" applyFill="1" applyBorder="1" applyAlignment="1">
      <alignment horizontal="center" vertical="center"/>
    </xf>
    <xf numFmtId="0" fontId="4" fillId="9" borderId="29" xfId="0" applyNumberFormat="1" applyFont="1" applyFill="1" applyBorder="1" applyAlignment="1">
      <alignment horizontal="center" vertical="center" wrapText="1"/>
    </xf>
    <xf numFmtId="0" fontId="33" fillId="2" borderId="0" xfId="0" applyNumberFormat="1" applyFont="1" applyFill="1" applyBorder="1" applyAlignment="1">
      <alignment vertical="center"/>
    </xf>
    <xf numFmtId="9" fontId="7" fillId="2" borderId="0" xfId="2" applyFont="1" applyFill="1" applyBorder="1" applyAlignment="1">
      <alignment horizontal="center" vertical="center"/>
    </xf>
    <xf numFmtId="9" fontId="24" fillId="0" borderId="0" xfId="0" applyNumberFormat="1" applyFont="1" applyFill="1" applyBorder="1" applyAlignment="1">
      <alignment horizontal="center"/>
    </xf>
    <xf numFmtId="0" fontId="6" fillId="0" borderId="0" xfId="0" applyNumberFormat="1" applyFont="1" applyFill="1" applyBorder="1" applyAlignment="1">
      <alignment vertical="center"/>
    </xf>
    <xf numFmtId="169" fontId="6" fillId="0" borderId="0" xfId="1" applyNumberFormat="1" applyFont="1" applyFill="1" applyBorder="1" applyAlignment="1">
      <alignment horizontal="center" vertical="center"/>
    </xf>
    <xf numFmtId="0" fontId="33" fillId="0" borderId="0" xfId="0" applyNumberFormat="1" applyFont="1" applyFill="1" applyBorder="1" applyAlignment="1">
      <alignment vertical="center"/>
    </xf>
    <xf numFmtId="169" fontId="7" fillId="0" borderId="0" xfId="1" applyNumberFormat="1" applyFont="1" applyFill="1" applyBorder="1" applyAlignment="1">
      <alignment horizontal="center" vertical="center"/>
    </xf>
    <xf numFmtId="9" fontId="7" fillId="0" borderId="0" xfId="2" applyFont="1" applyFill="1" applyBorder="1" applyAlignment="1">
      <alignment horizontal="center" vertical="center"/>
    </xf>
    <xf numFmtId="0" fontId="3" fillId="9" borderId="30" xfId="0" applyNumberFormat="1" applyFont="1" applyFill="1" applyBorder="1" applyAlignment="1">
      <alignment vertical="center"/>
    </xf>
    <xf numFmtId="169" fontId="6" fillId="0" borderId="4" xfId="0" applyNumberFormat="1" applyFont="1" applyFill="1" applyBorder="1" applyAlignment="1">
      <alignment vertical="center"/>
    </xf>
    <xf numFmtId="0" fontId="3" fillId="0" borderId="5" xfId="0" applyNumberFormat="1" applyFont="1" applyFill="1" applyBorder="1" applyAlignment="1">
      <alignment vertical="center"/>
    </xf>
    <xf numFmtId="0" fontId="6" fillId="0" borderId="5" xfId="0" applyNumberFormat="1" applyFont="1" applyFill="1" applyBorder="1" applyAlignment="1">
      <alignment vertical="center"/>
    </xf>
    <xf numFmtId="0" fontId="6" fillId="0" borderId="28" xfId="0" applyNumberFormat="1" applyFont="1" applyFill="1" applyBorder="1" applyAlignment="1">
      <alignment vertical="center"/>
    </xf>
    <xf numFmtId="6" fontId="6" fillId="0" borderId="28" xfId="0" applyNumberFormat="1" applyFont="1" applyFill="1" applyBorder="1" applyAlignment="1">
      <alignment vertical="center"/>
    </xf>
    <xf numFmtId="169" fontId="6" fillId="0" borderId="5" xfId="0" applyNumberFormat="1" applyFont="1" applyFill="1" applyBorder="1" applyAlignment="1">
      <alignment vertical="center"/>
    </xf>
    <xf numFmtId="169" fontId="3" fillId="0" borderId="5" xfId="0" applyNumberFormat="1" applyFont="1" applyFill="1" applyBorder="1" applyAlignment="1">
      <alignment vertical="center"/>
    </xf>
    <xf numFmtId="169" fontId="6" fillId="0" borderId="4" xfId="2" applyNumberFormat="1" applyFont="1" applyFill="1" applyBorder="1" applyAlignment="1">
      <alignment vertical="center"/>
    </xf>
    <xf numFmtId="9" fontId="35" fillId="0" borderId="0" xfId="2" applyFont="1" applyFill="1" applyBorder="1" applyAlignment="1">
      <alignment horizontal="center"/>
    </xf>
    <xf numFmtId="165" fontId="7" fillId="0" borderId="0" xfId="1" applyNumberFormat="1" applyFont="1" applyBorder="1" applyAlignment="1">
      <alignment horizontal="center" vertical="center"/>
    </xf>
    <xf numFmtId="169" fontId="6" fillId="0" borderId="4" xfId="1" applyNumberFormat="1" applyFont="1" applyBorder="1" applyAlignment="1">
      <alignment horizontal="center" vertical="center"/>
    </xf>
    <xf numFmtId="0" fontId="6" fillId="2" borderId="28" xfId="0" applyNumberFormat="1" applyFont="1" applyFill="1" applyBorder="1" applyAlignment="1">
      <alignment vertical="center"/>
    </xf>
    <xf numFmtId="169" fontId="6" fillId="0" borderId="28" xfId="1" applyNumberFormat="1" applyFont="1" applyBorder="1" applyAlignment="1">
      <alignment horizontal="center" vertical="center"/>
    </xf>
    <xf numFmtId="169" fontId="6" fillId="0" borderId="28" xfId="2" applyNumberFormat="1" applyFont="1" applyFill="1" applyBorder="1" applyAlignment="1">
      <alignment vertical="center"/>
    </xf>
    <xf numFmtId="0" fontId="4"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xf>
    <xf numFmtId="169" fontId="6" fillId="0" borderId="28" xfId="0" applyNumberFormat="1" applyFont="1" applyFill="1" applyBorder="1" applyAlignment="1">
      <alignment vertical="center"/>
    </xf>
    <xf numFmtId="0" fontId="6" fillId="0" borderId="4" xfId="0" applyNumberFormat="1" applyFont="1" applyFill="1" applyBorder="1" applyAlignment="1">
      <alignment horizontal="right" vertical="center"/>
    </xf>
    <xf numFmtId="0" fontId="6" fillId="0" borderId="28" xfId="0" applyNumberFormat="1" applyFont="1" applyFill="1" applyBorder="1" applyAlignment="1">
      <alignment horizontal="right" vertical="center"/>
    </xf>
    <xf numFmtId="169" fontId="6" fillId="0" borderId="5" xfId="2" applyNumberFormat="1" applyFont="1" applyFill="1" applyBorder="1" applyAlignment="1">
      <alignment vertical="center"/>
    </xf>
    <xf numFmtId="0" fontId="6" fillId="0" borderId="5" xfId="0" applyNumberFormat="1" applyFont="1" applyFill="1" applyBorder="1" applyAlignment="1">
      <alignment horizontal="right" vertical="center"/>
    </xf>
    <xf numFmtId="0" fontId="4" fillId="9" borderId="31" xfId="0" applyNumberFormat="1" applyFont="1" applyFill="1" applyBorder="1" applyAlignment="1">
      <alignment horizontal="center" vertical="center" wrapText="1"/>
    </xf>
    <xf numFmtId="0" fontId="42" fillId="2" borderId="5" xfId="0" applyNumberFormat="1" applyFont="1" applyFill="1" applyBorder="1" applyAlignment="1">
      <alignment vertical="center"/>
    </xf>
    <xf numFmtId="169" fontId="24" fillId="0" borderId="5" xfId="1" applyNumberFormat="1" applyFont="1" applyBorder="1" applyAlignment="1">
      <alignment horizontal="center" vertical="center"/>
    </xf>
    <xf numFmtId="9" fontId="24" fillId="2" borderId="5" xfId="2" applyFont="1" applyFill="1" applyBorder="1" applyAlignment="1">
      <alignment horizontal="center" vertical="center"/>
    </xf>
    <xf numFmtId="0" fontId="42" fillId="2" borderId="4" xfId="0" applyNumberFormat="1" applyFont="1" applyFill="1" applyBorder="1" applyAlignment="1">
      <alignment vertical="center"/>
    </xf>
    <xf numFmtId="169" fontId="24" fillId="0" borderId="4" xfId="1" applyNumberFormat="1" applyFont="1" applyBorder="1" applyAlignment="1">
      <alignment horizontal="center" vertical="center"/>
    </xf>
    <xf numFmtId="0" fontId="42" fillId="2" borderId="28" xfId="0" applyNumberFormat="1" applyFont="1" applyFill="1" applyBorder="1" applyAlignment="1">
      <alignment vertical="center"/>
    </xf>
    <xf numFmtId="169" fontId="24" fillId="0" borderId="28" xfId="1" applyNumberFormat="1" applyFont="1" applyBorder="1" applyAlignment="1">
      <alignment horizontal="center" vertical="center"/>
    </xf>
    <xf numFmtId="9" fontId="24" fillId="2" borderId="28" xfId="2" applyFont="1" applyFill="1" applyBorder="1" applyAlignment="1">
      <alignment horizontal="center" vertical="center"/>
    </xf>
    <xf numFmtId="0" fontId="24" fillId="0" borderId="0" xfId="0" applyFont="1" applyFill="1" applyBorder="1" applyAlignment="1">
      <alignment horizontal="center" vertical="center"/>
    </xf>
    <xf numFmtId="0" fontId="43" fillId="0" borderId="0" xfId="0" applyFont="1" applyFill="1" applyBorder="1" applyAlignment="1">
      <alignment horizontal="left"/>
    </xf>
    <xf numFmtId="0" fontId="43" fillId="0" borderId="0" xfId="0" applyFont="1" applyFill="1" applyBorder="1"/>
    <xf numFmtId="169" fontId="6" fillId="0" borderId="9" xfId="0" applyNumberFormat="1" applyFont="1" applyFill="1" applyBorder="1" applyAlignment="1"/>
    <xf numFmtId="0" fontId="46" fillId="0" borderId="0" xfId="0" applyFont="1" applyBorder="1"/>
    <xf numFmtId="0" fontId="47" fillId="0" borderId="0" xfId="0" applyFont="1" applyBorder="1"/>
    <xf numFmtId="0" fontId="45" fillId="0" borderId="0" xfId="0" applyFont="1" applyBorder="1" applyAlignment="1">
      <alignment vertical="center"/>
    </xf>
    <xf numFmtId="0" fontId="29" fillId="0" borderId="0" xfId="0" applyFont="1" applyBorder="1" applyAlignment="1">
      <alignment vertical="center"/>
    </xf>
    <xf numFmtId="0" fontId="45" fillId="0" borderId="0" xfId="0" applyFont="1" applyBorder="1" applyAlignment="1">
      <alignment vertical="center" wrapText="1"/>
    </xf>
    <xf numFmtId="0" fontId="45" fillId="0" borderId="0" xfId="0" applyFont="1" applyBorder="1" applyAlignment="1"/>
    <xf numFmtId="0" fontId="45" fillId="0" borderId="0" xfId="0" applyFont="1" applyBorder="1" applyAlignment="1">
      <alignment wrapText="1"/>
    </xf>
    <xf numFmtId="0" fontId="45" fillId="0" borderId="0" xfId="0" applyFont="1" applyBorder="1"/>
    <xf numFmtId="0" fontId="45" fillId="0" borderId="0" xfId="0" applyFont="1" applyFill="1" applyBorder="1" applyAlignment="1">
      <alignment wrapText="1"/>
    </xf>
    <xf numFmtId="0" fontId="45" fillId="0" borderId="0" xfId="0" applyFont="1" applyFill="1" applyBorder="1" applyAlignment="1"/>
    <xf numFmtId="0" fontId="29" fillId="0" borderId="0" xfId="0" applyFont="1" applyBorder="1" applyAlignment="1">
      <alignment wrapText="1"/>
    </xf>
    <xf numFmtId="0" fontId="49" fillId="0" borderId="0" xfId="0" applyFont="1"/>
    <xf numFmtId="0" fontId="49" fillId="0" borderId="0" xfId="0" applyFont="1" applyAlignment="1">
      <alignment horizontal="center"/>
    </xf>
    <xf numFmtId="0" fontId="49" fillId="0" borderId="0" xfId="0" applyFont="1" applyAlignment="1">
      <alignment horizontal="center" vertical="center"/>
    </xf>
    <xf numFmtId="0" fontId="51" fillId="5" borderId="19" xfId="0" applyFont="1" applyFill="1" applyBorder="1" applyAlignment="1">
      <alignment horizontal="center" wrapText="1"/>
    </xf>
    <xf numFmtId="0" fontId="51" fillId="5" borderId="11" xfId="0" applyFont="1" applyFill="1" applyBorder="1" applyAlignment="1">
      <alignment horizontal="center" wrapText="1"/>
    </xf>
    <xf numFmtId="0" fontId="51" fillId="5" borderId="20" xfId="0" applyFont="1" applyFill="1" applyBorder="1" applyAlignment="1">
      <alignment horizontal="center" wrapText="1"/>
    </xf>
    <xf numFmtId="0" fontId="51" fillId="5" borderId="17" xfId="0" applyFont="1" applyFill="1" applyBorder="1" applyAlignment="1">
      <alignment horizontal="center"/>
    </xf>
    <xf numFmtId="0" fontId="51" fillId="5" borderId="0" xfId="0" applyFont="1" applyFill="1" applyBorder="1" applyAlignment="1">
      <alignment horizontal="center"/>
    </xf>
    <xf numFmtId="0" fontId="51" fillId="5" borderId="9" xfId="0" applyFont="1" applyFill="1" applyBorder="1" applyAlignment="1">
      <alignment horizontal="center"/>
    </xf>
    <xf numFmtId="0" fontId="51" fillId="5" borderId="18" xfId="0" applyFont="1" applyFill="1" applyBorder="1" applyAlignment="1">
      <alignment horizontal="center"/>
    </xf>
    <xf numFmtId="0" fontId="49" fillId="0" borderId="19" xfId="0" applyFont="1" applyBorder="1" applyAlignment="1">
      <alignment horizontal="center"/>
    </xf>
    <xf numFmtId="0" fontId="49" fillId="0" borderId="11" xfId="0" applyFont="1" applyBorder="1" applyAlignment="1">
      <alignment horizontal="center"/>
    </xf>
    <xf numFmtId="0" fontId="49" fillId="0" borderId="11" xfId="0" applyFont="1" applyBorder="1"/>
    <xf numFmtId="6" fontId="49" fillId="0" borderId="0" xfId="0" applyNumberFormat="1" applyFont="1" applyBorder="1" applyAlignment="1">
      <alignment horizontal="center" wrapText="1"/>
    </xf>
    <xf numFmtId="0" fontId="49" fillId="0" borderId="0" xfId="0" applyFont="1" applyFill="1" applyBorder="1"/>
    <xf numFmtId="0" fontId="49" fillId="0" borderId="17" xfId="0" applyFont="1" applyBorder="1" applyAlignment="1">
      <alignment horizontal="center"/>
    </xf>
    <xf numFmtId="2" fontId="49" fillId="0" borderId="0" xfId="0" applyNumberFormat="1" applyFont="1" applyBorder="1" applyAlignment="1">
      <alignment horizontal="center" wrapText="1"/>
    </xf>
    <xf numFmtId="10" fontId="49" fillId="0" borderId="0" xfId="2" applyNumberFormat="1" applyFont="1" applyBorder="1" applyAlignment="1">
      <alignment horizontal="center" wrapText="1"/>
    </xf>
    <xf numFmtId="2" fontId="49" fillId="0" borderId="18" xfId="2" applyNumberFormat="1" applyFont="1" applyBorder="1" applyAlignment="1">
      <alignment horizontal="center" wrapText="1"/>
    </xf>
    <xf numFmtId="0" fontId="49" fillId="0" borderId="0" xfId="0" applyFont="1" applyFill="1" applyBorder="1" applyAlignment="1">
      <alignment wrapText="1"/>
    </xf>
    <xf numFmtId="0" fontId="49" fillId="0" borderId="0" xfId="0" applyFont="1" applyAlignment="1">
      <alignment wrapText="1"/>
    </xf>
    <xf numFmtId="0" fontId="49" fillId="0" borderId="17" xfId="0" applyFont="1" applyBorder="1" applyAlignment="1">
      <alignment horizontal="center" wrapText="1"/>
    </xf>
    <xf numFmtId="0" fontId="49" fillId="0" borderId="15" xfId="0" applyFont="1" applyBorder="1"/>
    <xf numFmtId="0" fontId="49" fillId="0" borderId="9" xfId="0" applyFont="1" applyBorder="1"/>
    <xf numFmtId="0" fontId="51" fillId="4" borderId="1" xfId="0" applyFont="1" applyFill="1" applyBorder="1" applyAlignment="1">
      <alignment horizontal="left" vertical="center"/>
    </xf>
    <xf numFmtId="0" fontId="49" fillId="4" borderId="2" xfId="0" applyFont="1" applyFill="1" applyBorder="1" applyAlignment="1">
      <alignment horizontal="left" vertical="center"/>
    </xf>
    <xf numFmtId="0" fontId="52" fillId="4" borderId="2" xfId="0" applyFont="1" applyFill="1" applyBorder="1" applyAlignment="1">
      <alignment horizontal="left" vertical="center"/>
    </xf>
    <xf numFmtId="167" fontId="52" fillId="4" borderId="2" xfId="0" applyNumberFormat="1" applyFont="1" applyFill="1" applyBorder="1" applyAlignment="1">
      <alignment horizontal="left" vertical="center"/>
    </xf>
    <xf numFmtId="0" fontId="52" fillId="4" borderId="3" xfId="0" applyFont="1" applyFill="1" applyBorder="1" applyAlignment="1">
      <alignment horizontal="left" vertical="center"/>
    </xf>
    <xf numFmtId="0" fontId="52" fillId="0" borderId="0" xfId="0" applyFont="1" applyFill="1" applyBorder="1" applyAlignment="1">
      <alignment horizontal="center"/>
    </xf>
    <xf numFmtId="169" fontId="52" fillId="0" borderId="0" xfId="0" applyNumberFormat="1" applyFont="1" applyFill="1" applyBorder="1" applyAlignment="1">
      <alignment horizontal="center"/>
    </xf>
    <xf numFmtId="0" fontId="52" fillId="0" borderId="0" xfId="0" applyFont="1" applyFill="1" applyBorder="1"/>
    <xf numFmtId="0" fontId="53" fillId="0" borderId="11" xfId="0" applyFont="1" applyFill="1" applyBorder="1"/>
    <xf numFmtId="0" fontId="53" fillId="0" borderId="20" xfId="0" applyFont="1" applyFill="1" applyBorder="1"/>
    <xf numFmtId="6" fontId="54" fillId="0" borderId="9" xfId="0" applyNumberFormat="1" applyFont="1" applyFill="1" applyBorder="1" applyAlignment="1">
      <alignment horizontal="center" wrapText="1"/>
    </xf>
    <xf numFmtId="6" fontId="54" fillId="0" borderId="16" xfId="0" applyNumberFormat="1" applyFont="1" applyFill="1" applyBorder="1" applyAlignment="1">
      <alignment horizontal="center" wrapText="1"/>
    </xf>
    <xf numFmtId="6" fontId="54" fillId="0" borderId="0" xfId="0" applyNumberFormat="1" applyFont="1" applyFill="1" applyBorder="1" applyAlignment="1">
      <alignment horizontal="center" wrapText="1"/>
    </xf>
    <xf numFmtId="0" fontId="50" fillId="8" borderId="12" xfId="0" applyFont="1" applyFill="1" applyBorder="1" applyAlignment="1">
      <alignment vertical="center"/>
    </xf>
    <xf numFmtId="0" fontId="50" fillId="8" borderId="13" xfId="0" applyFont="1" applyFill="1" applyBorder="1" applyAlignment="1">
      <alignment vertical="center"/>
    </xf>
    <xf numFmtId="0" fontId="50" fillId="8" borderId="14" xfId="0" applyFont="1" applyFill="1" applyBorder="1" applyAlignment="1">
      <alignment vertical="center"/>
    </xf>
    <xf numFmtId="0" fontId="51" fillId="0" borderId="17" xfId="0" applyFont="1" applyBorder="1"/>
    <xf numFmtId="0" fontId="55" fillId="0" borderId="0" xfId="0" applyFont="1" applyBorder="1" applyAlignment="1">
      <alignment horizontal="center"/>
    </xf>
    <xf numFmtId="0" fontId="51" fillId="0" borderId="15" xfId="0" applyFont="1" applyBorder="1"/>
    <xf numFmtId="0" fontId="55" fillId="0" borderId="9" xfId="0" applyFont="1" applyBorder="1" applyAlignment="1">
      <alignment horizontal="center"/>
    </xf>
    <xf numFmtId="0" fontId="55" fillId="0" borderId="0" xfId="0" applyFont="1" applyAlignment="1">
      <alignment horizontal="center" wrapText="1"/>
    </xf>
    <xf numFmtId="0" fontId="49" fillId="0" borderId="0" xfId="0" applyFont="1" applyBorder="1" applyAlignment="1">
      <alignment wrapText="1"/>
    </xf>
    <xf numFmtId="0" fontId="44" fillId="5" borderId="12" xfId="0" applyFont="1" applyFill="1" applyBorder="1"/>
    <xf numFmtId="0" fontId="49" fillId="0" borderId="0" xfId="0" applyFont="1" applyFill="1" applyBorder="1" applyAlignment="1">
      <alignment horizontal="center"/>
    </xf>
    <xf numFmtId="0" fontId="49" fillId="0" borderId="0" xfId="0" applyFont="1" applyBorder="1" applyAlignment="1">
      <alignment horizontal="center"/>
    </xf>
    <xf numFmtId="167" fontId="49" fillId="0" borderId="0" xfId="0" applyNumberFormat="1" applyFont="1" applyFill="1" applyBorder="1" applyAlignment="1">
      <alignment horizontal="center"/>
    </xf>
    <xf numFmtId="164" fontId="49" fillId="0" borderId="21" xfId="2" applyNumberFormat="1" applyFont="1" applyBorder="1" applyAlignment="1">
      <alignment horizontal="center"/>
    </xf>
    <xf numFmtId="164" fontId="49" fillId="0" borderId="0" xfId="2" applyNumberFormat="1" applyFont="1" applyFill="1" applyBorder="1" applyAlignment="1">
      <alignment horizontal="center"/>
    </xf>
    <xf numFmtId="0" fontId="49" fillId="0" borderId="21" xfId="0" applyFont="1" applyBorder="1" applyAlignment="1">
      <alignment horizontal="center"/>
    </xf>
    <xf numFmtId="169" fontId="49" fillId="0" borderId="21" xfId="0" applyNumberFormat="1" applyFont="1" applyBorder="1" applyAlignment="1">
      <alignment horizontal="center"/>
    </xf>
    <xf numFmtId="169" fontId="49" fillId="0" borderId="0" xfId="0" applyNumberFormat="1" applyFont="1" applyFill="1" applyBorder="1" applyAlignment="1">
      <alignment horizontal="center"/>
    </xf>
    <xf numFmtId="0" fontId="55" fillId="0" borderId="0" xfId="0" applyFont="1" applyBorder="1" applyAlignment="1">
      <alignment horizontal="center" wrapText="1"/>
    </xf>
    <xf numFmtId="171" fontId="49" fillId="0" borderId="21" xfId="0" applyNumberFormat="1" applyFont="1" applyBorder="1" applyAlignment="1">
      <alignment horizontal="center"/>
    </xf>
    <xf numFmtId="171" fontId="49" fillId="0" borderId="0" xfId="0" applyNumberFormat="1" applyFont="1" applyFill="1" applyBorder="1" applyAlignment="1">
      <alignment horizontal="center"/>
    </xf>
    <xf numFmtId="9" fontId="49" fillId="0" borderId="21" xfId="0" applyNumberFormat="1" applyFont="1" applyBorder="1" applyAlignment="1">
      <alignment horizontal="center"/>
    </xf>
    <xf numFmtId="9" fontId="49" fillId="0" borderId="0" xfId="0" applyNumberFormat="1" applyFont="1" applyFill="1" applyBorder="1" applyAlignment="1">
      <alignment horizontal="center"/>
    </xf>
    <xf numFmtId="9" fontId="49" fillId="0" borderId="0" xfId="0" applyNumberFormat="1" applyFont="1" applyBorder="1" applyAlignment="1">
      <alignment horizontal="center"/>
    </xf>
    <xf numFmtId="0" fontId="49" fillId="0" borderId="0" xfId="0" applyFont="1" applyBorder="1"/>
    <xf numFmtId="0" fontId="30" fillId="5" borderId="23" xfId="0" applyFont="1" applyFill="1" applyBorder="1" applyAlignment="1">
      <alignment vertical="center"/>
    </xf>
    <xf numFmtId="0" fontId="30" fillId="5" borderId="10" xfId="0" applyFont="1" applyFill="1" applyBorder="1" applyAlignment="1">
      <alignment vertical="center"/>
    </xf>
    <xf numFmtId="0" fontId="45" fillId="5" borderId="24" xfId="0" applyFont="1" applyFill="1" applyBorder="1" applyAlignment="1">
      <alignment vertical="center"/>
    </xf>
    <xf numFmtId="0" fontId="29" fillId="8" borderId="8" xfId="0" applyFont="1" applyFill="1" applyBorder="1" applyAlignment="1">
      <alignment vertical="center"/>
    </xf>
    <xf numFmtId="0" fontId="29" fillId="8" borderId="0" xfId="0" applyFont="1" applyFill="1" applyBorder="1" applyAlignment="1">
      <alignment vertical="center"/>
    </xf>
    <xf numFmtId="0" fontId="29" fillId="8" borderId="25" xfId="0" applyFont="1" applyFill="1" applyBorder="1" applyAlignment="1">
      <alignment vertical="center"/>
    </xf>
    <xf numFmtId="0" fontId="29" fillId="8" borderId="8" xfId="0" applyFont="1" applyFill="1" applyBorder="1" applyAlignment="1">
      <alignment horizontal="left" vertical="top" wrapText="1"/>
    </xf>
    <xf numFmtId="0" fontId="45" fillId="8" borderId="0" xfId="0" applyFont="1" applyFill="1" applyBorder="1" applyAlignment="1">
      <alignment vertical="center" wrapText="1"/>
    </xf>
    <xf numFmtId="0" fontId="45" fillId="8" borderId="25" xfId="0" applyFont="1" applyFill="1" applyBorder="1" applyAlignment="1">
      <alignment vertical="center" wrapText="1"/>
    </xf>
    <xf numFmtId="0" fontId="45" fillId="8" borderId="8" xfId="0" applyFont="1" applyFill="1" applyBorder="1" applyAlignment="1"/>
    <xf numFmtId="0" fontId="45" fillId="8" borderId="0" xfId="0" applyFont="1" applyFill="1" applyBorder="1" applyAlignment="1"/>
    <xf numFmtId="0" fontId="45" fillId="8" borderId="25" xfId="0" applyFont="1" applyFill="1" applyBorder="1" applyAlignment="1"/>
    <xf numFmtId="0" fontId="29" fillId="8" borderId="8" xfId="0" applyFont="1" applyFill="1" applyBorder="1" applyAlignment="1">
      <alignment vertical="top" wrapText="1"/>
    </xf>
    <xf numFmtId="0" fontId="45" fillId="8" borderId="0" xfId="0" applyFont="1" applyFill="1" applyBorder="1" applyAlignment="1">
      <alignment wrapText="1"/>
    </xf>
    <xf numFmtId="0" fontId="45" fillId="8" borderId="25" xfId="0" applyFont="1" applyFill="1" applyBorder="1" applyAlignment="1">
      <alignment wrapText="1"/>
    </xf>
    <xf numFmtId="0" fontId="46" fillId="8" borderId="0" xfId="0" applyFont="1" applyFill="1" applyBorder="1" applyAlignment="1">
      <alignment vertical="center"/>
    </xf>
    <xf numFmtId="0" fontId="29" fillId="8" borderId="25" xfId="0" applyFont="1" applyFill="1" applyBorder="1" applyAlignment="1">
      <alignment wrapText="1"/>
    </xf>
    <xf numFmtId="0" fontId="45" fillId="8" borderId="26" xfId="0" applyFont="1" applyFill="1" applyBorder="1" applyAlignment="1"/>
    <xf numFmtId="0" fontId="45" fillId="8" borderId="22" xfId="0" applyFont="1" applyFill="1" applyBorder="1" applyAlignment="1"/>
    <xf numFmtId="0" fontId="45" fillId="8" borderId="27" xfId="0" applyFont="1" applyFill="1" applyBorder="1" applyAlignment="1"/>
    <xf numFmtId="2" fontId="49" fillId="0" borderId="0" xfId="0" applyNumberFormat="1" applyFont="1" applyBorder="1"/>
    <xf numFmtId="9" fontId="57" fillId="0" borderId="0" xfId="0" applyNumberFormat="1" applyFont="1" applyBorder="1" applyAlignment="1">
      <alignment horizontal="center"/>
    </xf>
    <xf numFmtId="0" fontId="57" fillId="0" borderId="0" xfId="0" applyFont="1" applyBorder="1" applyAlignment="1">
      <alignment horizontal="center"/>
    </xf>
    <xf numFmtId="0" fontId="50" fillId="0" borderId="0" xfId="0" applyFont="1" applyFill="1" applyBorder="1" applyAlignment="1">
      <alignment vertical="center"/>
    </xf>
    <xf numFmtId="0" fontId="49" fillId="0" borderId="0" xfId="0" applyFont="1" applyFill="1"/>
    <xf numFmtId="9" fontId="50" fillId="0" borderId="0" xfId="0" applyNumberFormat="1" applyFont="1" applyFill="1" applyBorder="1" applyAlignment="1">
      <alignment vertical="center"/>
    </xf>
    <xf numFmtId="0" fontId="49" fillId="0" borderId="0" xfId="0" applyFont="1" applyBorder="1" applyAlignment="1"/>
    <xf numFmtId="0" fontId="6" fillId="0" borderId="0" xfId="0" applyFont="1" applyFill="1" applyBorder="1" applyAlignment="1">
      <alignment horizontal="right"/>
    </xf>
    <xf numFmtId="0" fontId="36" fillId="0" borderId="0" xfId="0" applyNumberFormat="1" applyFont="1" applyAlignment="1">
      <alignment horizontal="center"/>
    </xf>
    <xf numFmtId="0" fontId="6" fillId="0" borderId="0" xfId="0" applyNumberFormat="1" applyFont="1" applyFill="1" applyBorder="1" applyAlignment="1">
      <alignment horizontal="left" vertical="center"/>
    </xf>
    <xf numFmtId="9" fontId="28" fillId="0" borderId="0" xfId="0" applyNumberFormat="1" applyFont="1" applyAlignment="1">
      <alignment horizontal="center"/>
    </xf>
    <xf numFmtId="0" fontId="49" fillId="0" borderId="17" xfId="0" applyFont="1" applyFill="1" applyBorder="1"/>
    <xf numFmtId="0" fontId="4" fillId="0" borderId="4" xfId="0" applyNumberFormat="1" applyFont="1" applyBorder="1" applyAlignment="1">
      <alignment horizontal="center"/>
    </xf>
    <xf numFmtId="0" fontId="3" fillId="8" borderId="0" xfId="0" applyNumberFormat="1" applyFont="1" applyFill="1" applyAlignment="1"/>
    <xf numFmtId="0" fontId="6" fillId="8" borderId="0" xfId="0" applyNumberFormat="1" applyFont="1" applyFill="1" applyAlignment="1"/>
    <xf numFmtId="0" fontId="6" fillId="8" borderId="0" xfId="0" applyNumberFormat="1" applyFont="1" applyFill="1" applyAlignment="1">
      <alignment horizontal="center"/>
    </xf>
    <xf numFmtId="0" fontId="37" fillId="8" borderId="0" xfId="0" applyNumberFormat="1" applyFont="1" applyFill="1" applyAlignment="1"/>
    <xf numFmtId="0" fontId="22" fillId="8" borderId="0" xfId="0" applyNumberFormat="1" applyFont="1" applyFill="1" applyAlignment="1">
      <alignment horizontal="center"/>
    </xf>
    <xf numFmtId="169" fontId="6" fillId="8" borderId="0" xfId="0" applyNumberFormat="1" applyFont="1" applyFill="1" applyAlignment="1">
      <alignment horizontal="center"/>
    </xf>
    <xf numFmtId="0" fontId="7" fillId="8" borderId="0" xfId="0" applyNumberFormat="1" applyFont="1" applyFill="1" applyAlignment="1"/>
    <xf numFmtId="10" fontId="12" fillId="8" borderId="0" xfId="2" applyNumberFormat="1" applyFont="1" applyFill="1"/>
    <xf numFmtId="10" fontId="6" fillId="8" borderId="0" xfId="2" applyNumberFormat="1" applyFont="1" applyFill="1"/>
    <xf numFmtId="169" fontId="36" fillId="8" borderId="0" xfId="0" applyNumberFormat="1" applyFont="1" applyFill="1" applyAlignment="1">
      <alignment horizontal="center"/>
    </xf>
    <xf numFmtId="169" fontId="6" fillId="8" borderId="0" xfId="0" applyNumberFormat="1" applyFont="1" applyFill="1" applyAlignment="1"/>
    <xf numFmtId="169" fontId="6" fillId="8" borderId="0" xfId="0" applyNumberFormat="1" applyFont="1" applyFill="1" applyBorder="1" applyAlignment="1"/>
    <xf numFmtId="169" fontId="6" fillId="8" borderId="0" xfId="2" applyNumberFormat="1" applyFont="1" applyFill="1"/>
    <xf numFmtId="169" fontId="6" fillId="8" borderId="0" xfId="2" applyNumberFormat="1" applyFont="1" applyFill="1" applyBorder="1"/>
    <xf numFmtId="0" fontId="6" fillId="8" borderId="9" xfId="0" applyNumberFormat="1" applyFont="1" applyFill="1" applyBorder="1" applyAlignment="1"/>
    <xf numFmtId="169" fontId="6" fillId="8" borderId="9" xfId="0" applyNumberFormat="1" applyFont="1" applyFill="1" applyBorder="1" applyAlignment="1"/>
    <xf numFmtId="0" fontId="6" fillId="8" borderId="0" xfId="0" applyNumberFormat="1" applyFont="1" applyFill="1" applyBorder="1" applyAlignment="1"/>
    <xf numFmtId="169" fontId="4" fillId="8" borderId="0" xfId="0" applyNumberFormat="1" applyFont="1" applyFill="1" applyBorder="1" applyAlignment="1">
      <alignment horizontal="center" vertical="center"/>
    </xf>
    <xf numFmtId="1" fontId="6" fillId="8" borderId="0" xfId="2" applyNumberFormat="1" applyFont="1" applyFill="1" applyBorder="1"/>
    <xf numFmtId="169" fontId="6" fillId="8" borderId="0" xfId="0" applyNumberFormat="1" applyFont="1" applyFill="1" applyBorder="1" applyAlignment="1">
      <alignment horizontal="right"/>
    </xf>
    <xf numFmtId="0" fontId="6" fillId="8" borderId="0" xfId="0" applyNumberFormat="1" applyFont="1" applyFill="1" applyAlignment="1">
      <alignment horizontal="left" indent="1"/>
    </xf>
    <xf numFmtId="6" fontId="6" fillId="8" borderId="0" xfId="0" applyNumberFormat="1" applyFont="1" applyFill="1" applyBorder="1" applyAlignment="1">
      <alignment horizontal="right"/>
    </xf>
    <xf numFmtId="0" fontId="4" fillId="8" borderId="22" xfId="0" applyNumberFormat="1" applyFont="1" applyFill="1" applyBorder="1" applyAlignment="1">
      <alignment horizontal="right"/>
    </xf>
    <xf numFmtId="0" fontId="6" fillId="8" borderId="22" xfId="0" applyNumberFormat="1" applyFont="1" applyFill="1" applyBorder="1" applyAlignment="1"/>
    <xf numFmtId="0" fontId="3" fillId="8" borderId="22" xfId="0" applyNumberFormat="1" applyFont="1" applyFill="1" applyBorder="1" applyAlignment="1">
      <alignment horizontal="center"/>
    </xf>
    <xf numFmtId="10" fontId="6" fillId="8" borderId="22" xfId="2" applyNumberFormat="1" applyFont="1" applyFill="1" applyBorder="1" applyAlignment="1">
      <alignment horizontal="right"/>
    </xf>
    <xf numFmtId="0" fontId="3" fillId="8" borderId="0" xfId="0" applyNumberFormat="1" applyFont="1" applyFill="1" applyBorder="1" applyAlignment="1">
      <alignment horizontal="center"/>
    </xf>
    <xf numFmtId="10" fontId="6" fillId="8" borderId="0" xfId="2" applyNumberFormat="1" applyFont="1" applyFill="1" applyBorder="1" applyAlignment="1">
      <alignment horizontal="right"/>
    </xf>
    <xf numFmtId="175" fontId="3" fillId="8" borderId="0" xfId="0" applyNumberFormat="1" applyFont="1" applyFill="1" applyAlignment="1">
      <alignment horizontal="left"/>
    </xf>
    <xf numFmtId="175" fontId="6" fillId="8" borderId="0" xfId="0" applyNumberFormat="1" applyFont="1" applyFill="1" applyAlignment="1">
      <alignment horizontal="left"/>
    </xf>
    <xf numFmtId="41" fontId="6" fillId="8" borderId="0" xfId="0" applyNumberFormat="1" applyFont="1" applyFill="1" applyBorder="1" applyAlignment="1">
      <alignment horizontal="right" wrapText="1"/>
    </xf>
    <xf numFmtId="174" fontId="32" fillId="8" borderId="0" xfId="1" applyNumberFormat="1" applyFont="1" applyFill="1" applyBorder="1" applyAlignment="1">
      <alignment horizontal="right"/>
    </xf>
    <xf numFmtId="9" fontId="6" fillId="8" borderId="0" xfId="0" applyNumberFormat="1" applyFont="1" applyFill="1" applyBorder="1" applyAlignment="1">
      <alignment horizontal="right" wrapText="1"/>
    </xf>
    <xf numFmtId="41" fontId="6" fillId="8" borderId="4" xfId="0" applyNumberFormat="1" applyFont="1" applyFill="1" applyBorder="1" applyAlignment="1">
      <alignment horizontal="right" wrapText="1"/>
    </xf>
    <xf numFmtId="175" fontId="6" fillId="8" borderId="0" xfId="0" applyNumberFormat="1" applyFont="1" applyFill="1" applyAlignment="1">
      <alignment horizontal="left" indent="2"/>
    </xf>
    <xf numFmtId="175" fontId="6" fillId="8" borderId="0" xfId="0" applyNumberFormat="1" applyFont="1" applyFill="1" applyAlignment="1">
      <alignment horizontal="right"/>
    </xf>
    <xf numFmtId="175" fontId="6" fillId="8" borderId="0" xfId="0" applyNumberFormat="1" applyFont="1" applyFill="1" applyAlignment="1">
      <alignment horizontal="left" indent="1"/>
    </xf>
    <xf numFmtId="41" fontId="12" fillId="8" borderId="0" xfId="0" applyNumberFormat="1" applyFont="1" applyFill="1" applyBorder="1" applyAlignment="1">
      <alignment horizontal="right" wrapText="1"/>
    </xf>
    <xf numFmtId="6" fontId="6" fillId="8" borderId="0" xfId="0" applyNumberFormat="1" applyFont="1" applyFill="1" applyAlignment="1">
      <alignment horizontal="right" wrapText="1"/>
    </xf>
    <xf numFmtId="175" fontId="6" fillId="8" borderId="0" xfId="0" applyNumberFormat="1" applyFont="1" applyFill="1" applyBorder="1" applyAlignment="1">
      <alignment horizontal="left" indent="1"/>
    </xf>
    <xf numFmtId="41" fontId="6" fillId="8" borderId="0" xfId="0" applyNumberFormat="1" applyFont="1" applyFill="1" applyAlignment="1">
      <alignment horizontal="right" wrapText="1"/>
    </xf>
    <xf numFmtId="175" fontId="6" fillId="8" borderId="0" xfId="0" applyNumberFormat="1" applyFont="1" applyFill="1" applyAlignment="1">
      <alignment horizontal="right" wrapText="1"/>
    </xf>
    <xf numFmtId="41" fontId="12" fillId="8" borderId="0" xfId="0" applyNumberFormat="1" applyFont="1" applyFill="1" applyAlignment="1">
      <alignment horizontal="right" wrapText="1"/>
    </xf>
    <xf numFmtId="41" fontId="12" fillId="8" borderId="9" xfId="0" applyNumberFormat="1" applyFont="1" applyFill="1" applyBorder="1" applyAlignment="1">
      <alignment horizontal="right" wrapText="1"/>
    </xf>
    <xf numFmtId="6" fontId="6" fillId="8" borderId="9" xfId="0" applyNumberFormat="1" applyFont="1" applyFill="1" applyBorder="1" applyAlignment="1">
      <alignment horizontal="right" wrapText="1"/>
    </xf>
    <xf numFmtId="0" fontId="0" fillId="8" borderId="0" xfId="0" applyNumberFormat="1" applyFill="1" applyAlignment="1"/>
    <xf numFmtId="175" fontId="6" fillId="8" borderId="22" xfId="0" applyNumberFormat="1" applyFont="1" applyFill="1" applyBorder="1" applyAlignment="1">
      <alignment horizontal="left" indent="1"/>
    </xf>
    <xf numFmtId="0" fontId="0" fillId="8" borderId="22" xfId="0" applyNumberFormat="1" applyFill="1" applyBorder="1" applyAlignment="1"/>
    <xf numFmtId="6" fontId="6" fillId="8" borderId="22" xfId="0" applyNumberFormat="1" applyFont="1" applyFill="1" applyBorder="1" applyAlignment="1">
      <alignment horizontal="right" wrapText="1"/>
    </xf>
    <xf numFmtId="169" fontId="58" fillId="8" borderId="0" xfId="0" applyNumberFormat="1" applyFont="1" applyFill="1" applyBorder="1" applyAlignment="1"/>
    <xf numFmtId="9" fontId="59" fillId="0" borderId="0" xfId="0" applyNumberFormat="1" applyFont="1" applyFill="1" applyBorder="1" applyAlignment="1">
      <alignment horizontal="center"/>
    </xf>
    <xf numFmtId="0" fontId="45" fillId="8" borderId="0" xfId="0" applyFont="1" applyFill="1" applyBorder="1" applyAlignment="1">
      <alignment vertical="top" wrapText="1"/>
    </xf>
    <xf numFmtId="0" fontId="30" fillId="5" borderId="8" xfId="0" applyFont="1" applyFill="1" applyBorder="1" applyAlignment="1">
      <alignment vertical="center"/>
    </xf>
    <xf numFmtId="0" fontId="30" fillId="5" borderId="0" xfId="0" applyFont="1" applyFill="1" applyBorder="1" applyAlignment="1">
      <alignment vertical="center"/>
    </xf>
    <xf numFmtId="0" fontId="45" fillId="5" borderId="25" xfId="0" applyFont="1" applyFill="1" applyBorder="1" applyAlignment="1">
      <alignment vertical="center"/>
    </xf>
    <xf numFmtId="0" fontId="45" fillId="8" borderId="0" xfId="0" applyFont="1" applyFill="1" applyBorder="1" applyAlignment="1">
      <alignment horizontal="left" vertical="center"/>
    </xf>
    <xf numFmtId="0" fontId="45" fillId="8" borderId="0" xfId="0" applyFont="1" applyFill="1" applyBorder="1" applyAlignment="1">
      <alignment horizontal="left" vertical="center" wrapText="1"/>
    </xf>
    <xf numFmtId="165" fontId="0" fillId="0" borderId="0" xfId="1" applyNumberFormat="1" applyFont="1"/>
    <xf numFmtId="9" fontId="24" fillId="6" borderId="5" xfId="0" applyNumberFormat="1" applyFont="1" applyFill="1" applyBorder="1" applyAlignment="1">
      <alignment horizontal="center"/>
    </xf>
    <xf numFmtId="0" fontId="42" fillId="2" borderId="6" xfId="0" applyNumberFormat="1" applyFont="1" applyFill="1" applyBorder="1" applyAlignment="1">
      <alignment vertical="center"/>
    </xf>
    <xf numFmtId="169" fontId="24" fillId="0" borderId="6" xfId="1" applyNumberFormat="1" applyFont="1" applyBorder="1" applyAlignment="1">
      <alignment horizontal="center" vertical="center"/>
    </xf>
    <xf numFmtId="2" fontId="6" fillId="0" borderId="0" xfId="0" applyNumberFormat="1" applyFont="1" applyFill="1" applyAlignment="1">
      <alignment horizontal="right"/>
    </xf>
    <xf numFmtId="6" fontId="6" fillId="8" borderId="0" xfId="0" applyNumberFormat="1" applyFont="1" applyFill="1" applyAlignment="1">
      <alignment horizontal="right" vertical="center" wrapText="1"/>
    </xf>
    <xf numFmtId="0" fontId="56" fillId="0" borderId="0" xfId="0" applyFont="1" applyBorder="1" applyAlignment="1">
      <alignment horizontal="center" vertical="center" wrapText="1"/>
    </xf>
    <xf numFmtId="164" fontId="51" fillId="0" borderId="17" xfId="2" applyNumberFormat="1" applyFont="1" applyFill="1" applyBorder="1" applyAlignment="1">
      <alignment horizontal="center"/>
    </xf>
    <xf numFmtId="10" fontId="49" fillId="0" borderId="21" xfId="0" applyNumberFormat="1" applyFont="1" applyBorder="1" applyAlignment="1">
      <alignment horizontal="center"/>
    </xf>
    <xf numFmtId="0" fontId="6" fillId="9" borderId="30" xfId="0" applyNumberFormat="1" applyFont="1" applyFill="1" applyBorder="1" applyAlignment="1">
      <alignment horizontal="center" vertical="center"/>
    </xf>
    <xf numFmtId="0" fontId="6" fillId="9" borderId="7" xfId="0" applyNumberFormat="1" applyFont="1" applyFill="1" applyBorder="1" applyAlignment="1">
      <alignment horizontal="center" vertical="center" wrapText="1"/>
    </xf>
    <xf numFmtId="0" fontId="61" fillId="0" borderId="0" xfId="0" applyFont="1" applyFill="1" applyBorder="1" applyAlignment="1">
      <alignment vertical="center"/>
    </xf>
    <xf numFmtId="0" fontId="0" fillId="0" borderId="22" xfId="0" applyBorder="1"/>
    <xf numFmtId="0" fontId="6" fillId="0" borderId="25" xfId="0" applyFont="1" applyFill="1" applyBorder="1"/>
    <xf numFmtId="0" fontId="62" fillId="0" borderId="0" xfId="0" applyFont="1" applyFill="1" applyBorder="1" applyAlignment="1">
      <alignment vertical="center"/>
    </xf>
    <xf numFmtId="176" fontId="4" fillId="0" borderId="4" xfId="0" applyNumberFormat="1" applyFont="1" applyFill="1" applyBorder="1" applyAlignment="1">
      <alignment horizontal="center"/>
    </xf>
    <xf numFmtId="2" fontId="44" fillId="0" borderId="22" xfId="0" applyNumberFormat="1" applyFont="1" applyFill="1" applyBorder="1" applyAlignment="1">
      <alignment horizontal="center"/>
    </xf>
    <xf numFmtId="6" fontId="63" fillId="0" borderId="0" xfId="0" applyNumberFormat="1" applyFont="1" applyAlignment="1"/>
    <xf numFmtId="6" fontId="63" fillId="0" borderId="9" xfId="0" applyNumberFormat="1" applyFont="1" applyBorder="1" applyAlignment="1"/>
    <xf numFmtId="0" fontId="51" fillId="0" borderId="0" xfId="0" applyFont="1" applyBorder="1"/>
    <xf numFmtId="164" fontId="51" fillId="0" borderId="0" xfId="2" applyNumberFormat="1" applyFont="1" applyFill="1" applyBorder="1" applyAlignment="1">
      <alignment horizontal="center"/>
    </xf>
    <xf numFmtId="0" fontId="51" fillId="0" borderId="9" xfId="0" applyFont="1" applyFill="1" applyBorder="1" applyAlignment="1">
      <alignment horizontal="center"/>
    </xf>
    <xf numFmtId="0" fontId="55" fillId="5" borderId="14" xfId="0" applyFont="1" applyFill="1" applyBorder="1" applyAlignment="1">
      <alignment horizontal="center"/>
    </xf>
    <xf numFmtId="0" fontId="6" fillId="0" borderId="0" xfId="0" applyNumberFormat="1" applyFont="1" applyAlignment="1">
      <alignment wrapText="1"/>
    </xf>
    <xf numFmtId="9" fontId="6" fillId="0" borderId="9" xfId="0" applyNumberFormat="1" applyFont="1" applyBorder="1" applyAlignment="1"/>
    <xf numFmtId="9" fontId="64" fillId="0" borderId="0" xfId="0" applyNumberFormat="1" applyFont="1" applyAlignment="1"/>
    <xf numFmtId="6" fontId="6" fillId="8" borderId="0" xfId="0" applyNumberFormat="1" applyFont="1" applyFill="1" applyBorder="1" applyAlignment="1"/>
    <xf numFmtId="0" fontId="22" fillId="8" borderId="0" xfId="0" applyNumberFormat="1" applyFont="1" applyFill="1" applyAlignment="1"/>
    <xf numFmtId="0" fontId="8" fillId="0" borderId="10" xfId="0" applyFont="1" applyFill="1" applyBorder="1" applyAlignment="1">
      <alignment horizontal="center"/>
    </xf>
    <xf numFmtId="0" fontId="6" fillId="0" borderId="10" xfId="0" applyFont="1" applyFill="1" applyBorder="1"/>
    <xf numFmtId="6" fontId="3" fillId="0" borderId="22" xfId="0" applyNumberFormat="1" applyFont="1" applyBorder="1" applyAlignment="1"/>
    <xf numFmtId="1" fontId="24" fillId="0" borderId="0" xfId="0" applyNumberFormat="1" applyFont="1" applyFill="1" applyBorder="1" applyAlignment="1">
      <alignment horizontal="right"/>
    </xf>
    <xf numFmtId="164" fontId="24" fillId="0" borderId="0" xfId="2" applyNumberFormat="1" applyFont="1" applyFill="1" applyBorder="1" applyAlignment="1">
      <alignment horizontal="right"/>
    </xf>
    <xf numFmtId="3" fontId="6" fillId="0" borderId="0" xfId="0" applyNumberFormat="1" applyFont="1" applyFill="1" applyBorder="1" applyAlignment="1">
      <alignment horizontal="right"/>
    </xf>
    <xf numFmtId="0" fontId="24" fillId="0" borderId="0" xfId="0" applyFont="1" applyFill="1" applyBorder="1" applyAlignment="1">
      <alignment horizontal="right"/>
    </xf>
    <xf numFmtId="171" fontId="24" fillId="0" borderId="0" xfId="1" applyNumberFormat="1" applyFont="1" applyFill="1" applyBorder="1" applyAlignment="1">
      <alignment horizontal="right"/>
    </xf>
    <xf numFmtId="6" fontId="24"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9" fontId="6" fillId="0" borderId="0" xfId="1" applyNumberFormat="1" applyFont="1" applyFill="1" applyBorder="1" applyAlignment="1">
      <alignment horizontal="right"/>
    </xf>
    <xf numFmtId="2" fontId="24" fillId="0" borderId="0" xfId="2" applyNumberFormat="1" applyFont="1" applyFill="1" applyBorder="1" applyAlignment="1">
      <alignment horizontal="right"/>
    </xf>
    <xf numFmtId="2" fontId="6" fillId="0" borderId="0" xfId="2" applyNumberFormat="1" applyFont="1" applyFill="1" applyBorder="1" applyAlignment="1">
      <alignment horizontal="right"/>
    </xf>
    <xf numFmtId="2" fontId="24" fillId="0" borderId="0" xfId="0" applyNumberFormat="1" applyFont="1" applyFill="1" applyBorder="1" applyAlignment="1">
      <alignment horizontal="center"/>
    </xf>
    <xf numFmtId="9" fontId="24" fillId="0" borderId="0" xfId="2" applyFont="1" applyFill="1" applyBorder="1" applyAlignment="1">
      <alignment horizontal="center"/>
    </xf>
    <xf numFmtId="164" fontId="5" fillId="0" borderId="0" xfId="2" applyNumberFormat="1" applyFont="1" applyFill="1" applyBorder="1" applyAlignment="1">
      <alignment horizontal="center"/>
    </xf>
    <xf numFmtId="171" fontId="6" fillId="0" borderId="0" xfId="1" applyNumberFormat="1" applyFont="1" applyFill="1" applyBorder="1" applyAlignment="1">
      <alignment horizontal="right"/>
    </xf>
    <xf numFmtId="170" fontId="4" fillId="0" borderId="0" xfId="0" applyNumberFormat="1" applyFont="1" applyFill="1" applyBorder="1" applyAlignment="1">
      <alignment horizontal="center"/>
    </xf>
    <xf numFmtId="171" fontId="24" fillId="0" borderId="0" xfId="0" applyNumberFormat="1" applyFont="1" applyFill="1" applyBorder="1" applyAlignment="1">
      <alignment horizontal="right"/>
    </xf>
    <xf numFmtId="2" fontId="24" fillId="0" borderId="0" xfId="0" applyNumberFormat="1" applyFont="1" applyFill="1" applyBorder="1" applyAlignment="1">
      <alignment horizontal="right"/>
    </xf>
    <xf numFmtId="169" fontId="24" fillId="0" borderId="0" xfId="0" applyNumberFormat="1" applyFont="1" applyFill="1" applyBorder="1" applyAlignment="1">
      <alignment horizontal="right"/>
    </xf>
    <xf numFmtId="9" fontId="12" fillId="0" borderId="0" xfId="2" applyFont="1" applyFill="1" applyBorder="1" applyAlignment="1">
      <alignment horizontal="right"/>
    </xf>
    <xf numFmtId="9" fontId="24" fillId="0" borderId="0" xfId="2" applyNumberFormat="1" applyFont="1" applyFill="1" applyBorder="1" applyAlignment="1">
      <alignment horizontal="right"/>
    </xf>
    <xf numFmtId="10" fontId="24" fillId="0" borderId="0" xfId="2" applyNumberFormat="1" applyFont="1" applyFill="1" applyBorder="1" applyAlignment="1">
      <alignment horizontal="right"/>
    </xf>
    <xf numFmtId="9" fontId="6" fillId="0" borderId="0" xfId="2" applyNumberFormat="1" applyFont="1" applyFill="1" applyBorder="1" applyAlignment="1">
      <alignment horizontal="right"/>
    </xf>
    <xf numFmtId="9" fontId="5" fillId="0" borderId="0" xfId="2" applyFont="1" applyFill="1" applyBorder="1" applyAlignment="1">
      <alignment horizontal="right"/>
    </xf>
    <xf numFmtId="0" fontId="15" fillId="0" borderId="32" xfId="0" applyFont="1" applyFill="1" applyBorder="1" applyAlignment="1">
      <alignment horizontal="center"/>
    </xf>
    <xf numFmtId="10" fontId="4" fillId="0" borderId="0" xfId="2" applyNumberFormat="1" applyFont="1" applyFill="1" applyBorder="1" applyAlignment="1">
      <alignment horizontal="right"/>
    </xf>
    <xf numFmtId="0" fontId="6" fillId="0" borderId="26" xfId="0" applyFont="1" applyFill="1" applyBorder="1"/>
    <xf numFmtId="0" fontId="6" fillId="0" borderId="24" xfId="0" applyFont="1" applyFill="1" applyBorder="1"/>
    <xf numFmtId="0" fontId="3" fillId="0" borderId="8" xfId="0" applyFont="1" applyFill="1" applyBorder="1" applyAlignment="1">
      <alignment horizontal="center"/>
    </xf>
    <xf numFmtId="164" fontId="4" fillId="0" borderId="0" xfId="2" applyNumberFormat="1" applyFont="1" applyAlignment="1">
      <alignment horizontal="center"/>
    </xf>
    <xf numFmtId="174" fontId="3" fillId="0" borderId="0" xfId="5" applyNumberFormat="1" applyFont="1" applyFill="1" applyBorder="1" applyAlignment="1">
      <alignment horizontal="center"/>
    </xf>
    <xf numFmtId="2" fontId="0" fillId="0" borderId="0" xfId="0" applyNumberFormat="1"/>
    <xf numFmtId="9" fontId="4" fillId="0" borderId="0" xfId="2" applyFont="1" applyAlignment="1">
      <alignment horizontal="center"/>
    </xf>
    <xf numFmtId="9" fontId="4" fillId="0" borderId="0" xfId="0" applyNumberFormat="1" applyFont="1" applyAlignment="1">
      <alignment horizontal="center"/>
    </xf>
    <xf numFmtId="0" fontId="22" fillId="0" borderId="0" xfId="0" applyNumberFormat="1" applyFont="1" applyFill="1" applyBorder="1" applyAlignment="1"/>
    <xf numFmtId="2" fontId="36" fillId="0" borderId="0" xfId="0" applyNumberFormat="1" applyFont="1" applyBorder="1" applyAlignment="1"/>
    <xf numFmtId="0" fontId="6" fillId="0" borderId="27" xfId="0" applyFont="1" applyFill="1" applyBorder="1"/>
    <xf numFmtId="0" fontId="3" fillId="0" borderId="22" xfId="0" applyFont="1" applyFill="1" applyBorder="1" applyAlignment="1">
      <alignment horizontal="center"/>
    </xf>
    <xf numFmtId="0" fontId="6" fillId="0" borderId="9" xfId="0" applyNumberFormat="1" applyFont="1" applyBorder="1" applyAlignment="1">
      <alignment wrapText="1"/>
    </xf>
    <xf numFmtId="0" fontId="66" fillId="0" borderId="19" xfId="0" applyFont="1" applyBorder="1"/>
    <xf numFmtId="0" fontId="66" fillId="0" borderId="20" xfId="0" applyFont="1" applyBorder="1"/>
    <xf numFmtId="6" fontId="66" fillId="0" borderId="17" xfId="0" applyNumberFormat="1" applyFont="1" applyBorder="1" applyAlignment="1">
      <alignment horizontal="center" wrapText="1"/>
    </xf>
    <xf numFmtId="6" fontId="66" fillId="0" borderId="18" xfId="0" applyNumberFormat="1" applyFont="1" applyBorder="1" applyAlignment="1">
      <alignment horizontal="center" wrapText="1"/>
    </xf>
    <xf numFmtId="0" fontId="66" fillId="0" borderId="15" xfId="0" applyFont="1" applyBorder="1"/>
    <xf numFmtId="0" fontId="66" fillId="0" borderId="16" xfId="0" applyFont="1" applyBorder="1"/>
    <xf numFmtId="6" fontId="67" fillId="0" borderId="0" xfId="0" applyNumberFormat="1" applyFont="1" applyAlignment="1"/>
    <xf numFmtId="6" fontId="15" fillId="0" borderId="0" xfId="0" applyNumberFormat="1" applyFont="1" applyFill="1" applyAlignment="1"/>
    <xf numFmtId="0" fontId="60" fillId="5" borderId="1" xfId="0" applyFont="1" applyFill="1" applyBorder="1"/>
    <xf numFmtId="0" fontId="6" fillId="5" borderId="3" xfId="0" applyFont="1" applyFill="1" applyBorder="1"/>
    <xf numFmtId="170" fontId="4" fillId="3" borderId="0" xfId="0" applyNumberFormat="1" applyFont="1" applyFill="1" applyBorder="1" applyAlignment="1">
      <alignment horizontal="center"/>
    </xf>
    <xf numFmtId="0" fontId="6" fillId="3" borderId="0" xfId="0" applyFont="1" applyFill="1" applyBorder="1"/>
    <xf numFmtId="14" fontId="6" fillId="3" borderId="0" xfId="0" applyNumberFormat="1" applyFont="1" applyFill="1" applyBorder="1" applyAlignment="1">
      <alignment horizontal="center"/>
    </xf>
    <xf numFmtId="168" fontId="5" fillId="0" borderId="0" xfId="0" applyNumberFormat="1" applyFont="1" applyFill="1" applyBorder="1" applyAlignment="1">
      <alignment horizontal="center"/>
    </xf>
    <xf numFmtId="167" fontId="5" fillId="0" borderId="0" xfId="0" applyNumberFormat="1" applyFont="1" applyFill="1" applyBorder="1" applyAlignment="1">
      <alignment horizontal="center"/>
    </xf>
    <xf numFmtId="169" fontId="5" fillId="0" borderId="0" xfId="1" applyNumberFormat="1" applyFont="1" applyFill="1" applyBorder="1" applyAlignment="1">
      <alignment horizontal="center"/>
    </xf>
    <xf numFmtId="169" fontId="6" fillId="0" borderId="0" xfId="1" applyNumberFormat="1" applyFont="1" applyFill="1" applyBorder="1" applyAlignment="1">
      <alignment horizontal="center"/>
    </xf>
    <xf numFmtId="171" fontId="5" fillId="0" borderId="0" xfId="1" applyNumberFormat="1" applyFont="1" applyFill="1" applyBorder="1" applyAlignment="1">
      <alignment horizontal="center"/>
    </xf>
    <xf numFmtId="164" fontId="5" fillId="3" borderId="0" xfId="2" applyNumberFormat="1" applyFont="1" applyFill="1" applyBorder="1" applyAlignment="1">
      <alignment horizontal="center"/>
    </xf>
    <xf numFmtId="0" fontId="3" fillId="3" borderId="0" xfId="0" applyFont="1" applyFill="1" applyBorder="1" applyAlignment="1">
      <alignment horizontal="center"/>
    </xf>
    <xf numFmtId="9" fontId="5" fillId="0" borderId="0" xfId="2" applyFont="1" applyFill="1" applyBorder="1" applyAlignment="1">
      <alignment horizontal="center"/>
    </xf>
    <xf numFmtId="0" fontId="8" fillId="5" borderId="10" xfId="0" applyFont="1" applyFill="1" applyBorder="1" applyAlignment="1">
      <alignment vertical="center"/>
    </xf>
    <xf numFmtId="0" fontId="62" fillId="5" borderId="10" xfId="0" applyFont="1" applyFill="1" applyBorder="1" applyAlignment="1">
      <alignment vertical="center"/>
    </xf>
    <xf numFmtId="0" fontId="62" fillId="5" borderId="24" xfId="0" applyFont="1" applyFill="1" applyBorder="1" applyAlignment="1">
      <alignment vertical="center"/>
    </xf>
    <xf numFmtId="0" fontId="49" fillId="0" borderId="6" xfId="0" applyFont="1" applyBorder="1" applyAlignment="1">
      <alignment horizontal="center"/>
    </xf>
    <xf numFmtId="1" fontId="0" fillId="0" borderId="0" xfId="0" applyNumberFormat="1" applyAlignment="1"/>
    <xf numFmtId="10" fontId="6" fillId="8" borderId="0" xfId="2" applyNumberFormat="1" applyFont="1" applyFill="1" applyAlignment="1">
      <alignment horizontal="right" wrapText="1"/>
    </xf>
    <xf numFmtId="6" fontId="22" fillId="8" borderId="0" xfId="0" applyNumberFormat="1" applyFont="1" applyFill="1" applyAlignment="1">
      <alignment horizontal="center" wrapText="1"/>
    </xf>
    <xf numFmtId="178" fontId="6" fillId="8" borderId="0" xfId="0" applyNumberFormat="1" applyFont="1" applyFill="1" applyAlignment="1">
      <alignment horizontal="center" wrapText="1"/>
    </xf>
    <xf numFmtId="1" fontId="24" fillId="8" borderId="0" xfId="0" applyNumberFormat="1" applyFont="1" applyFill="1" applyAlignment="1">
      <alignment horizontal="right" wrapText="1"/>
    </xf>
    <xf numFmtId="178" fontId="6" fillId="8" borderId="0" xfId="0" applyNumberFormat="1" applyFont="1" applyFill="1" applyAlignment="1">
      <alignment horizontal="right" wrapText="1"/>
    </xf>
    <xf numFmtId="0" fontId="0" fillId="0" borderId="0" xfId="0" applyNumberFormat="1" applyFill="1" applyAlignment="1"/>
    <xf numFmtId="1" fontId="0" fillId="0" borderId="0" xfId="0" applyNumberFormat="1" applyFill="1" applyAlignment="1"/>
    <xf numFmtId="1" fontId="0" fillId="8" borderId="22" xfId="0" applyNumberFormat="1" applyFill="1" applyBorder="1" applyAlignment="1"/>
    <xf numFmtId="175" fontId="3" fillId="8" borderId="0" xfId="0" applyNumberFormat="1" applyFont="1" applyFill="1" applyAlignment="1">
      <alignment horizontal="left" indent="1"/>
    </xf>
    <xf numFmtId="176" fontId="4" fillId="0" borderId="0" xfId="0" applyNumberFormat="1" applyFont="1" applyFill="1" applyAlignment="1">
      <alignment horizontal="center"/>
    </xf>
    <xf numFmtId="1" fontId="43" fillId="0" borderId="0" xfId="0" applyNumberFormat="1" applyFont="1" applyFill="1" applyBorder="1" applyAlignment="1">
      <alignment horizontal="center"/>
    </xf>
    <xf numFmtId="0" fontId="69" fillId="5" borderId="4" xfId="0" applyNumberFormat="1" applyFont="1" applyFill="1" applyBorder="1" applyAlignment="1">
      <alignment horizontal="center"/>
    </xf>
    <xf numFmtId="0" fontId="69" fillId="5" borderId="6" xfId="0" applyNumberFormat="1" applyFont="1" applyFill="1" applyBorder="1" applyAlignment="1">
      <alignment horizontal="center"/>
    </xf>
    <xf numFmtId="2" fontId="16" fillId="5" borderId="5" xfId="0" applyNumberFormat="1" applyFont="1" applyFill="1" applyBorder="1" applyAlignment="1">
      <alignment horizontal="center"/>
    </xf>
    <xf numFmtId="0" fontId="70" fillId="0" borderId="0" xfId="0" applyFont="1" applyFill="1" applyBorder="1"/>
    <xf numFmtId="0" fontId="21" fillId="5" borderId="2" xfId="0" applyNumberFormat="1" applyFont="1" applyFill="1" applyBorder="1" applyAlignment="1">
      <alignment horizontal="center"/>
    </xf>
    <xf numFmtId="0" fontId="22" fillId="0" borderId="0" xfId="0" applyFont="1" applyFill="1" applyBorder="1" applyAlignment="1">
      <alignment horizontal="center"/>
    </xf>
    <xf numFmtId="0" fontId="6" fillId="4" borderId="0" xfId="0" applyFont="1" applyFill="1" applyBorder="1"/>
    <xf numFmtId="0" fontId="3" fillId="4" borderId="0" xfId="0" applyFont="1" applyFill="1" applyBorder="1" applyAlignment="1">
      <alignment horizontal="center"/>
    </xf>
    <xf numFmtId="0" fontId="6" fillId="4" borderId="23" xfId="0" applyFont="1" applyFill="1" applyBorder="1"/>
    <xf numFmtId="0" fontId="6" fillId="4" borderId="10" xfId="0" applyFont="1" applyFill="1" applyBorder="1"/>
    <xf numFmtId="0" fontId="3" fillId="4" borderId="10" xfId="0" applyFont="1" applyFill="1" applyBorder="1" applyAlignment="1">
      <alignment horizontal="center"/>
    </xf>
    <xf numFmtId="0" fontId="6" fillId="4" borderId="24" xfId="0" applyFont="1" applyFill="1" applyBorder="1"/>
    <xf numFmtId="0" fontId="6" fillId="4" borderId="8" xfId="0" applyFont="1" applyFill="1" applyBorder="1"/>
    <xf numFmtId="0" fontId="71" fillId="4" borderId="0" xfId="0" applyFont="1" applyFill="1" applyBorder="1" applyAlignment="1"/>
    <xf numFmtId="0" fontId="6" fillId="4" borderId="25" xfId="0" applyFont="1" applyFill="1" applyBorder="1"/>
    <xf numFmtId="0" fontId="6" fillId="4" borderId="26" xfId="0" applyFont="1" applyFill="1" applyBorder="1"/>
    <xf numFmtId="0" fontId="6" fillId="4" borderId="22" xfId="0" applyFont="1" applyFill="1" applyBorder="1"/>
    <xf numFmtId="0" fontId="71" fillId="4" borderId="22" xfId="0" applyFont="1" applyFill="1" applyBorder="1" applyAlignment="1"/>
    <xf numFmtId="0" fontId="3" fillId="4" borderId="22" xfId="0" applyFont="1" applyFill="1" applyBorder="1" applyAlignment="1">
      <alignment horizontal="center"/>
    </xf>
    <xf numFmtId="0" fontId="6" fillId="4" borderId="27" xfId="0" applyFont="1" applyFill="1" applyBorder="1"/>
    <xf numFmtId="0" fontId="60" fillId="4" borderId="10" xfId="0" applyNumberFormat="1" applyFont="1" applyFill="1" applyBorder="1" applyAlignment="1"/>
    <xf numFmtId="9" fontId="9" fillId="0" borderId="0" xfId="0" applyNumberFormat="1" applyFont="1" applyFill="1" applyBorder="1" applyAlignment="1">
      <alignment horizontal="left"/>
    </xf>
    <xf numFmtId="0" fontId="16" fillId="5" borderId="4" xfId="0" applyFont="1" applyFill="1" applyBorder="1" applyAlignment="1">
      <alignment horizontal="center"/>
    </xf>
    <xf numFmtId="164" fontId="24" fillId="0" borderId="4" xfId="2" applyNumberFormat="1" applyFont="1" applyFill="1" applyBorder="1" applyAlignment="1">
      <alignment horizontal="center"/>
    </xf>
    <xf numFmtId="164" fontId="16" fillId="5" borderId="6" xfId="2" applyNumberFormat="1" applyFont="1" applyFill="1" applyBorder="1" applyAlignment="1">
      <alignment horizontal="center"/>
    </xf>
    <xf numFmtId="0" fontId="6" fillId="12" borderId="0" xfId="0" applyFont="1" applyFill="1" applyBorder="1"/>
    <xf numFmtId="169" fontId="6" fillId="12" borderId="0" xfId="0" applyNumberFormat="1" applyFont="1" applyFill="1" applyBorder="1" applyAlignment="1">
      <alignment horizontal="center"/>
    </xf>
    <xf numFmtId="170" fontId="4" fillId="12" borderId="0" xfId="0" applyNumberFormat="1" applyFont="1" applyFill="1" applyBorder="1" applyAlignment="1">
      <alignment horizontal="center"/>
    </xf>
    <xf numFmtId="9" fontId="5" fillId="12" borderId="0" xfId="2" applyFont="1" applyFill="1" applyBorder="1" applyAlignment="1">
      <alignment horizontal="center"/>
    </xf>
    <xf numFmtId="169" fontId="5" fillId="12" borderId="0" xfId="2" applyNumberFormat="1" applyFont="1" applyFill="1" applyBorder="1" applyAlignment="1">
      <alignment horizontal="center"/>
    </xf>
    <xf numFmtId="0" fontId="15" fillId="12" borderId="0" xfId="0" applyFont="1" applyFill="1" applyBorder="1" applyAlignment="1">
      <alignment horizontal="center"/>
    </xf>
    <xf numFmtId="0" fontId="3" fillId="12" borderId="0" xfId="0" applyFont="1" applyFill="1" applyBorder="1" applyAlignment="1">
      <alignment horizontal="center"/>
    </xf>
    <xf numFmtId="0" fontId="5" fillId="12" borderId="0" xfId="0" applyNumberFormat="1" applyFont="1" applyFill="1" applyBorder="1" applyAlignment="1">
      <alignment horizontal="center"/>
    </xf>
    <xf numFmtId="2" fontId="0" fillId="8" borderId="0" xfId="0" applyNumberFormat="1" applyFill="1" applyAlignment="1"/>
    <xf numFmtId="6" fontId="3" fillId="0" borderId="0" xfId="0" applyNumberFormat="1" applyFont="1" applyFill="1" applyBorder="1" applyAlignment="1">
      <alignment horizontal="center"/>
    </xf>
    <xf numFmtId="0" fontId="3" fillId="0" borderId="33" xfId="0" applyNumberFormat="1" applyFont="1" applyBorder="1" applyAlignment="1">
      <alignment horizontal="center"/>
    </xf>
    <xf numFmtId="2" fontId="44" fillId="10" borderId="35" xfId="0" applyNumberFormat="1" applyFont="1" applyFill="1" applyBorder="1" applyAlignment="1">
      <alignment horizontal="center"/>
    </xf>
    <xf numFmtId="0" fontId="21" fillId="0" borderId="35" xfId="0" applyNumberFormat="1" applyFont="1" applyBorder="1" applyAlignment="1">
      <alignment horizontal="center"/>
    </xf>
    <xf numFmtId="0" fontId="55" fillId="0" borderId="13" xfId="0" applyFont="1" applyBorder="1" applyAlignment="1">
      <alignment horizontal="center"/>
    </xf>
    <xf numFmtId="164" fontId="72" fillId="0" borderId="14" xfId="2" applyNumberFormat="1" applyFont="1" applyFill="1" applyBorder="1" applyAlignment="1">
      <alignment horizontal="center"/>
    </xf>
    <xf numFmtId="0" fontId="77" fillId="0" borderId="12" xfId="0" applyFont="1" applyBorder="1"/>
    <xf numFmtId="2" fontId="3" fillId="0" borderId="0" xfId="0" applyNumberFormat="1" applyFont="1" applyFill="1" applyBorder="1" applyAlignment="1">
      <alignment horizontal="center"/>
    </xf>
    <xf numFmtId="1" fontId="81" fillId="0" borderId="0" xfId="0" applyNumberFormat="1" applyFont="1" applyFill="1" applyBorder="1" applyAlignment="1">
      <alignment horizontal="center"/>
    </xf>
    <xf numFmtId="6" fontId="27" fillId="0" borderId="0" xfId="0" applyNumberFormat="1" applyFont="1" applyFill="1" applyBorder="1" applyAlignment="1">
      <alignment horizontal="center"/>
    </xf>
    <xf numFmtId="6" fontId="80" fillId="0" borderId="0" xfId="0" applyNumberFormat="1" applyFont="1" applyFill="1" applyBorder="1" applyAlignment="1"/>
    <xf numFmtId="6" fontId="80" fillId="0" borderId="0" xfId="0" applyNumberFormat="1" applyFont="1" applyFill="1" applyBorder="1" applyAlignment="1">
      <alignment horizontal="center"/>
    </xf>
    <xf numFmtId="1" fontId="80" fillId="0" borderId="0" xfId="0" applyNumberFormat="1" applyFont="1" applyFill="1" applyBorder="1" applyAlignment="1">
      <alignment horizontal="center"/>
    </xf>
    <xf numFmtId="0" fontId="81" fillId="0" borderId="0" xfId="0" applyNumberFormat="1" applyFont="1" applyFill="1" applyBorder="1" applyAlignment="1"/>
    <xf numFmtId="0" fontId="6" fillId="0" borderId="18" xfId="0" applyFont="1" applyFill="1" applyBorder="1"/>
    <xf numFmtId="0" fontId="8" fillId="0" borderId="17" xfId="0" applyFont="1" applyFill="1" applyBorder="1" applyAlignment="1">
      <alignment horizontal="center"/>
    </xf>
    <xf numFmtId="0" fontId="6" fillId="0" borderId="34" xfId="0" applyFont="1" applyFill="1" applyBorder="1"/>
    <xf numFmtId="0" fontId="4" fillId="0" borderId="34" xfId="0" applyFont="1" applyFill="1" applyBorder="1" applyAlignment="1">
      <alignment horizontal="center"/>
    </xf>
    <xf numFmtId="0" fontId="4" fillId="0" borderId="22" xfId="0" applyFont="1" applyFill="1" applyBorder="1" applyAlignment="1">
      <alignment horizontal="center"/>
    </xf>
    <xf numFmtId="0" fontId="15" fillId="0" borderId="34" xfId="0" applyFont="1" applyFill="1" applyBorder="1" applyAlignment="1">
      <alignment horizontal="center"/>
    </xf>
    <xf numFmtId="0" fontId="51" fillId="5" borderId="1" xfId="0" applyFont="1" applyFill="1" applyBorder="1"/>
    <xf numFmtId="0" fontId="55" fillId="5" borderId="2" xfId="0" applyFont="1" applyFill="1" applyBorder="1" applyAlignment="1">
      <alignment horizontal="center"/>
    </xf>
    <xf numFmtId="0" fontId="72" fillId="7" borderId="7" xfId="0" applyFont="1" applyFill="1" applyBorder="1" applyAlignment="1">
      <alignment horizontal="center"/>
    </xf>
    <xf numFmtId="1" fontId="28" fillId="0" borderId="5" xfId="0" applyNumberFormat="1" applyFont="1" applyBorder="1" applyAlignment="1">
      <alignment horizontal="center"/>
    </xf>
    <xf numFmtId="2" fontId="24" fillId="0" borderId="5" xfId="0" applyNumberFormat="1" applyFont="1" applyBorder="1" applyAlignment="1">
      <alignment horizontal="center"/>
    </xf>
    <xf numFmtId="1" fontId="28" fillId="0" borderId="4" xfId="0" applyNumberFormat="1" applyFont="1" applyBorder="1" applyAlignment="1">
      <alignment horizontal="center"/>
    </xf>
    <xf numFmtId="2" fontId="24" fillId="0" borderId="4" xfId="0" applyNumberFormat="1" applyFont="1" applyBorder="1" applyAlignment="1">
      <alignment horizontal="center"/>
    </xf>
    <xf numFmtId="164" fontId="82" fillId="3" borderId="6" xfId="2" applyNumberFormat="1" applyFont="1" applyFill="1" applyBorder="1" applyAlignment="1">
      <alignment horizontal="center" vertical="center" wrapText="1"/>
    </xf>
    <xf numFmtId="3" fontId="3" fillId="5" borderId="6" xfId="0" applyNumberFormat="1" applyFont="1" applyFill="1" applyBorder="1" applyAlignment="1">
      <alignment horizontal="left"/>
    </xf>
    <xf numFmtId="0" fontId="6" fillId="0" borderId="23" xfId="0" applyFont="1" applyFill="1" applyBorder="1"/>
    <xf numFmtId="0" fontId="59" fillId="0" borderId="10" xfId="0" applyFont="1" applyFill="1" applyBorder="1" applyAlignment="1">
      <alignment horizontal="center" vertical="center" wrapText="1"/>
    </xf>
    <xf numFmtId="0" fontId="3" fillId="0" borderId="10" xfId="0" applyFont="1" applyFill="1" applyBorder="1" applyAlignment="1">
      <alignment horizontal="center"/>
    </xf>
    <xf numFmtId="0" fontId="6" fillId="12" borderId="10" xfId="0" applyFont="1" applyFill="1" applyBorder="1"/>
    <xf numFmtId="0" fontId="24" fillId="0" borderId="10" xfId="0" applyFont="1" applyFill="1" applyBorder="1" applyAlignment="1">
      <alignment horizontal="center" vertical="center" wrapText="1"/>
    </xf>
    <xf numFmtId="0" fontId="24" fillId="0" borderId="24" xfId="0" applyFont="1" applyFill="1" applyBorder="1" applyAlignment="1">
      <alignment horizontal="center" vertical="center" wrapText="1"/>
    </xf>
    <xf numFmtId="0" fontId="24" fillId="0" borderId="25" xfId="0" applyFont="1" applyFill="1" applyBorder="1" applyAlignment="1">
      <alignment horizontal="center" vertical="center"/>
    </xf>
    <xf numFmtId="166" fontId="11" fillId="0" borderId="25" xfId="0" applyNumberFormat="1" applyFont="1" applyFill="1" applyBorder="1" applyAlignment="1">
      <alignment horizontal="center"/>
    </xf>
    <xf numFmtId="1" fontId="43" fillId="0" borderId="25" xfId="0" applyNumberFormat="1" applyFont="1" applyFill="1" applyBorder="1" applyAlignment="1">
      <alignment horizontal="center"/>
    </xf>
    <xf numFmtId="1" fontId="43" fillId="0" borderId="25" xfId="0" applyNumberFormat="1" applyFont="1" applyFill="1" applyBorder="1" applyAlignment="1">
      <alignment horizontal="left"/>
    </xf>
    <xf numFmtId="0" fontId="27" fillId="0" borderId="22" xfId="0" applyFont="1" applyFill="1" applyBorder="1" applyAlignment="1"/>
    <xf numFmtId="3" fontId="3" fillId="5" borderId="34" xfId="0" applyNumberFormat="1" applyFont="1" applyFill="1" applyBorder="1" applyAlignment="1">
      <alignment horizontal="left"/>
    </xf>
    <xf numFmtId="2" fontId="6" fillId="0" borderId="0" xfId="0" applyNumberFormat="1" applyFont="1" applyFill="1" applyBorder="1" applyAlignment="1">
      <alignment horizontal="center"/>
    </xf>
    <xf numFmtId="2" fontId="70" fillId="0" borderId="0" xfId="2" applyNumberFormat="1" applyFont="1" applyFill="1" applyBorder="1" applyAlignment="1">
      <alignment horizontal="right"/>
    </xf>
    <xf numFmtId="0" fontId="51" fillId="13" borderId="12" xfId="0" applyFont="1" applyFill="1" applyBorder="1" applyAlignment="1">
      <alignment wrapText="1"/>
    </xf>
    <xf numFmtId="0" fontId="55" fillId="13" borderId="14" xfId="0" applyFont="1" applyFill="1" applyBorder="1" applyAlignment="1">
      <alignment horizontal="center"/>
    </xf>
    <xf numFmtId="0" fontId="51" fillId="13" borderId="17" xfId="0" applyFont="1" applyFill="1" applyBorder="1" applyAlignment="1">
      <alignment wrapText="1"/>
    </xf>
    <xf numFmtId="0" fontId="55" fillId="13" borderId="0" xfId="0" applyFont="1" applyFill="1" applyBorder="1" applyAlignment="1">
      <alignment horizontal="center"/>
    </xf>
    <xf numFmtId="166" fontId="21" fillId="5" borderId="3" xfId="0" applyNumberFormat="1" applyFont="1" applyFill="1" applyBorder="1" applyAlignment="1">
      <alignment horizontal="center"/>
    </xf>
    <xf numFmtId="0" fontId="3" fillId="0" borderId="14" xfId="0" applyFont="1" applyFill="1" applyBorder="1" applyAlignment="1">
      <alignment horizontal="center"/>
    </xf>
    <xf numFmtId="0" fontId="21" fillId="0" borderId="0" xfId="0" applyNumberFormat="1" applyFont="1" applyFill="1" applyAlignment="1">
      <alignment horizontal="center"/>
    </xf>
    <xf numFmtId="169" fontId="4" fillId="8" borderId="0" xfId="0" applyNumberFormat="1" applyFont="1" applyFill="1" applyAlignment="1">
      <alignment horizontal="center"/>
    </xf>
    <xf numFmtId="9" fontId="6" fillId="8" borderId="0" xfId="2" applyFont="1" applyFill="1" applyAlignment="1">
      <alignment horizontal="center"/>
    </xf>
    <xf numFmtId="169" fontId="3" fillId="8" borderId="0" xfId="0" applyNumberFormat="1" applyFont="1" applyFill="1" applyAlignment="1">
      <alignment horizontal="center"/>
    </xf>
    <xf numFmtId="0" fontId="15" fillId="0" borderId="5" xfId="0" applyFont="1" applyFill="1" applyBorder="1" applyAlignment="1">
      <alignment horizontal="center"/>
    </xf>
    <xf numFmtId="0" fontId="21" fillId="5" borderId="1" xfId="0" applyFont="1" applyFill="1" applyBorder="1"/>
    <xf numFmtId="0" fontId="15" fillId="0" borderId="39" xfId="0" applyFont="1" applyFill="1" applyBorder="1" applyAlignment="1">
      <alignment horizontal="center"/>
    </xf>
    <xf numFmtId="3" fontId="3" fillId="5" borderId="6" xfId="0" applyNumberFormat="1" applyFont="1" applyFill="1" applyBorder="1" applyAlignment="1">
      <alignment horizontal="center"/>
    </xf>
    <xf numFmtId="0" fontId="15" fillId="0" borderId="40" xfId="0" applyFont="1" applyFill="1" applyBorder="1" applyAlignment="1">
      <alignment horizontal="center" vertical="center"/>
    </xf>
    <xf numFmtId="10" fontId="3" fillId="11" borderId="3" xfId="2" applyNumberFormat="1" applyFont="1" applyFill="1" applyBorder="1" applyAlignment="1">
      <alignment horizontal="center" vertical="center"/>
    </xf>
    <xf numFmtId="0" fontId="3" fillId="11" borderId="23" xfId="0" applyNumberFormat="1" applyFont="1" applyFill="1" applyBorder="1" applyAlignment="1">
      <alignment horizontal="left" vertical="center" wrapText="1"/>
    </xf>
    <xf numFmtId="0" fontId="3" fillId="11" borderId="24" xfId="0" applyNumberFormat="1" applyFont="1" applyFill="1" applyBorder="1" applyAlignment="1">
      <alignment horizontal="left" vertical="center" wrapText="1"/>
    </xf>
    <xf numFmtId="6" fontId="3" fillId="11" borderId="3" xfId="0" applyNumberFormat="1" applyFont="1" applyFill="1" applyBorder="1" applyAlignment="1">
      <alignment horizontal="center"/>
    </xf>
    <xf numFmtId="0" fontId="6" fillId="0" borderId="0" xfId="0" applyNumberFormat="1" applyFont="1" applyAlignment="1">
      <alignment horizontal="right"/>
    </xf>
    <xf numFmtId="169" fontId="6" fillId="8" borderId="9" xfId="0" applyNumberFormat="1" applyFont="1" applyFill="1" applyBorder="1" applyAlignment="1">
      <alignment horizontal="center"/>
    </xf>
    <xf numFmtId="9" fontId="6" fillId="8" borderId="9" xfId="2" applyFont="1" applyFill="1" applyBorder="1" applyAlignment="1">
      <alignment horizontal="center"/>
    </xf>
    <xf numFmtId="0" fontId="86" fillId="8" borderId="25" xfId="0" applyFont="1" applyFill="1" applyBorder="1" applyAlignment="1">
      <alignment horizontal="center" wrapText="1"/>
    </xf>
    <xf numFmtId="0" fontId="84" fillId="8" borderId="25" xfId="0" applyFont="1" applyFill="1" applyBorder="1" applyAlignment="1">
      <alignment horizontal="center"/>
    </xf>
    <xf numFmtId="0" fontId="45" fillId="8" borderId="25" xfId="0" applyFont="1" applyFill="1" applyBorder="1" applyAlignment="1">
      <alignment horizontal="center" wrapText="1"/>
    </xf>
    <xf numFmtId="0" fontId="45" fillId="12" borderId="25" xfId="0" applyFont="1" applyFill="1" applyBorder="1"/>
    <xf numFmtId="0" fontId="45" fillId="3" borderId="25" xfId="0" applyFont="1" applyFill="1" applyBorder="1"/>
    <xf numFmtId="0" fontId="84" fillId="6" borderId="25" xfId="0" applyFont="1" applyFill="1" applyBorder="1" applyAlignment="1">
      <alignment horizontal="center" wrapText="1"/>
    </xf>
    <xf numFmtId="0" fontId="87" fillId="0" borderId="25" xfId="0" applyFont="1" applyFill="1" applyBorder="1" applyAlignment="1">
      <alignment horizontal="center" vertical="center" wrapText="1"/>
    </xf>
    <xf numFmtId="3" fontId="55" fillId="0" borderId="21" xfId="0" applyNumberFormat="1" applyFont="1" applyBorder="1" applyAlignment="1">
      <alignment horizontal="center"/>
    </xf>
    <xf numFmtId="0" fontId="6" fillId="2" borderId="41" xfId="0" applyNumberFormat="1" applyFont="1" applyFill="1" applyBorder="1" applyAlignment="1"/>
    <xf numFmtId="0" fontId="4" fillId="2" borderId="40" xfId="0" applyNumberFormat="1" applyFont="1" applyFill="1" applyBorder="1" applyAlignment="1">
      <alignment horizontal="center"/>
    </xf>
    <xf numFmtId="174" fontId="24" fillId="0" borderId="42" xfId="5" applyNumberFormat="1" applyFont="1" applyFill="1" applyBorder="1" applyAlignment="1">
      <alignment horizontal="right"/>
    </xf>
    <xf numFmtId="0" fontId="6" fillId="0" borderId="43" xfId="0" applyFont="1" applyFill="1" applyBorder="1"/>
    <xf numFmtId="164" fontId="24" fillId="0" borderId="32" xfId="2" applyNumberFormat="1" applyFont="1" applyFill="1" applyBorder="1" applyAlignment="1">
      <alignment horizontal="right"/>
    </xf>
    <xf numFmtId="0" fontId="6" fillId="2" borderId="44" xfId="0" applyNumberFormat="1" applyFont="1" applyFill="1" applyBorder="1" applyAlignment="1"/>
    <xf numFmtId="1" fontId="24" fillId="0" borderId="45" xfId="0" applyNumberFormat="1" applyFont="1" applyFill="1" applyBorder="1" applyAlignment="1">
      <alignment horizontal="right"/>
    </xf>
    <xf numFmtId="0" fontId="6" fillId="0" borderId="43" xfId="0" applyFont="1" applyBorder="1"/>
    <xf numFmtId="3" fontId="6" fillId="0" borderId="32" xfId="0" applyNumberFormat="1" applyFont="1" applyFill="1" applyBorder="1" applyAlignment="1">
      <alignment horizontal="right"/>
    </xf>
    <xf numFmtId="0" fontId="6" fillId="2" borderId="43" xfId="0" applyNumberFormat="1" applyFont="1" applyFill="1" applyBorder="1" applyAlignment="1"/>
    <xf numFmtId="0" fontId="6" fillId="0" borderId="46" xfId="0" applyFont="1" applyFill="1" applyBorder="1"/>
    <xf numFmtId="0" fontId="4" fillId="2" borderId="34" xfId="0" applyNumberFormat="1" applyFont="1" applyFill="1" applyBorder="1" applyAlignment="1">
      <alignment horizontal="center"/>
    </xf>
    <xf numFmtId="0" fontId="24" fillId="0" borderId="39" xfId="0" applyFont="1" applyFill="1" applyBorder="1" applyAlignment="1">
      <alignment horizontal="right"/>
    </xf>
    <xf numFmtId="0" fontId="6" fillId="0" borderId="30" xfId="0" applyFont="1" applyBorder="1"/>
    <xf numFmtId="0" fontId="4" fillId="2" borderId="29" xfId="0" applyNumberFormat="1" applyFont="1" applyFill="1" applyBorder="1" applyAlignment="1">
      <alignment horizontal="center"/>
    </xf>
    <xf numFmtId="2" fontId="24" fillId="6" borderId="31" xfId="0" applyNumberFormat="1" applyFont="1" applyFill="1" applyBorder="1" applyAlignment="1">
      <alignment horizontal="center"/>
    </xf>
    <xf numFmtId="0" fontId="68" fillId="5" borderId="43" xfId="0" applyFont="1" applyFill="1" applyBorder="1" applyAlignment="1">
      <alignment horizontal="left" indent="1"/>
    </xf>
    <xf numFmtId="6" fontId="16" fillId="5" borderId="32" xfId="0" applyNumberFormat="1" applyFont="1" applyFill="1" applyBorder="1" applyAlignment="1">
      <alignment horizontal="right"/>
    </xf>
    <xf numFmtId="0" fontId="68" fillId="5" borderId="43" xfId="0" applyNumberFormat="1" applyFont="1" applyFill="1" applyBorder="1" applyAlignment="1">
      <alignment horizontal="left" indent="1"/>
    </xf>
    <xf numFmtId="169" fontId="68" fillId="5" borderId="45" xfId="0" applyNumberFormat="1" applyFont="1" applyFill="1" applyBorder="1" applyAlignment="1">
      <alignment horizontal="right"/>
    </xf>
    <xf numFmtId="0" fontId="73" fillId="5" borderId="46" xfId="3" applyFont="1" applyFill="1" applyBorder="1" applyAlignment="1" applyProtection="1"/>
    <xf numFmtId="0" fontId="69" fillId="5" borderId="34" xfId="0" applyNumberFormat="1" applyFont="1" applyFill="1" applyBorder="1" applyAlignment="1">
      <alignment horizontal="center"/>
    </xf>
    <xf numFmtId="169" fontId="6" fillId="5" borderId="39" xfId="1" applyNumberFormat="1" applyFont="1" applyFill="1" applyBorder="1" applyAlignment="1">
      <alignment horizontal="right"/>
    </xf>
    <xf numFmtId="0" fontId="6" fillId="0" borderId="41" xfId="0" applyFont="1" applyBorder="1"/>
    <xf numFmtId="169" fontId="6" fillId="0" borderId="42" xfId="1" applyNumberFormat="1" applyFont="1" applyFill="1" applyBorder="1" applyAlignment="1">
      <alignment horizontal="right"/>
    </xf>
    <xf numFmtId="0" fontId="6" fillId="0" borderId="46" xfId="0" applyNumberFormat="1" applyFont="1" applyFill="1" applyBorder="1" applyAlignment="1"/>
    <xf numFmtId="0" fontId="4" fillId="0" borderId="34" xfId="0" applyNumberFormat="1" applyFont="1" applyFill="1" applyBorder="1" applyAlignment="1">
      <alignment horizontal="center"/>
    </xf>
    <xf numFmtId="171" fontId="6" fillId="0" borderId="39" xfId="1" applyNumberFormat="1" applyFont="1" applyBorder="1" applyAlignment="1">
      <alignment horizontal="right"/>
    </xf>
    <xf numFmtId="0" fontId="4" fillId="0" borderId="40" xfId="0" applyFont="1" applyBorder="1" applyAlignment="1">
      <alignment horizontal="center"/>
    </xf>
    <xf numFmtId="171" fontId="24" fillId="2" borderId="42" xfId="0" applyNumberFormat="1" applyFont="1" applyFill="1" applyBorder="1" applyAlignment="1">
      <alignment horizontal="right"/>
    </xf>
    <xf numFmtId="2" fontId="24" fillId="2" borderId="45" xfId="0" applyNumberFormat="1" applyFont="1" applyFill="1" applyBorder="1" applyAlignment="1">
      <alignment horizontal="right"/>
    </xf>
    <xf numFmtId="0" fontId="6" fillId="0" borderId="43" xfId="0" applyFont="1" applyFill="1" applyBorder="1" applyAlignment="1">
      <alignment horizontal="left"/>
    </xf>
    <xf numFmtId="164" fontId="24" fillId="2" borderId="32" xfId="2" applyNumberFormat="1" applyFont="1" applyFill="1" applyBorder="1" applyAlignment="1">
      <alignment horizontal="right"/>
    </xf>
    <xf numFmtId="0" fontId="24" fillId="0" borderId="32" xfId="0" applyFont="1" applyFill="1" applyBorder="1" applyAlignment="1">
      <alignment horizontal="right"/>
    </xf>
    <xf numFmtId="0" fontId="6" fillId="0" borderId="46" xfId="0" applyFont="1" applyFill="1" applyBorder="1" applyAlignment="1">
      <alignment horizontal="left"/>
    </xf>
    <xf numFmtId="164" fontId="24" fillId="0" borderId="39" xfId="0" applyNumberFormat="1" applyFont="1" applyFill="1" applyBorder="1" applyAlignment="1">
      <alignment horizontal="right"/>
    </xf>
    <xf numFmtId="0" fontId="6" fillId="0" borderId="41" xfId="0" applyFont="1" applyFill="1" applyBorder="1"/>
    <xf numFmtId="164" fontId="24" fillId="2" borderId="42" xfId="2" applyNumberFormat="1" applyFont="1" applyFill="1" applyBorder="1" applyAlignment="1">
      <alignment horizontal="right"/>
    </xf>
    <xf numFmtId="169" fontId="6" fillId="0" borderId="32" xfId="0" applyNumberFormat="1" applyFont="1" applyFill="1" applyBorder="1" applyAlignment="1">
      <alignment horizontal="right"/>
    </xf>
    <xf numFmtId="169" fontId="24" fillId="2" borderId="45" xfId="0" applyNumberFormat="1" applyFont="1" applyFill="1" applyBorder="1" applyAlignment="1">
      <alignment horizontal="right"/>
    </xf>
    <xf numFmtId="164" fontId="24" fillId="2" borderId="45" xfId="2" applyNumberFormat="1" applyFont="1" applyFill="1" applyBorder="1" applyAlignment="1">
      <alignment horizontal="right"/>
    </xf>
    <xf numFmtId="169" fontId="6" fillId="0" borderId="39" xfId="0" applyNumberFormat="1" applyFont="1" applyFill="1" applyBorder="1" applyAlignment="1">
      <alignment horizontal="right"/>
    </xf>
    <xf numFmtId="0" fontId="6" fillId="0" borderId="41" xfId="0" applyFont="1" applyFill="1" applyBorder="1" applyAlignment="1">
      <alignment horizontal="left"/>
    </xf>
    <xf numFmtId="0" fontId="24" fillId="0" borderId="42" xfId="0" applyFont="1" applyFill="1" applyBorder="1" applyAlignment="1">
      <alignment horizontal="right"/>
    </xf>
    <xf numFmtId="9" fontId="24" fillId="2" borderId="42" xfId="2" applyNumberFormat="1" applyFont="1" applyFill="1" applyBorder="1" applyAlignment="1">
      <alignment horizontal="right"/>
    </xf>
    <xf numFmtId="10" fontId="24" fillId="2" borderId="45" xfId="2" applyNumberFormat="1" applyFont="1" applyFill="1" applyBorder="1" applyAlignment="1">
      <alignment horizontal="right"/>
    </xf>
    <xf numFmtId="0" fontId="6" fillId="2" borderId="46" xfId="0" applyNumberFormat="1" applyFont="1" applyFill="1" applyBorder="1" applyAlignment="1"/>
    <xf numFmtId="164" fontId="24" fillId="2" borderId="47" xfId="2" applyNumberFormat="1" applyFont="1" applyFill="1" applyBorder="1" applyAlignment="1">
      <alignment horizontal="right"/>
    </xf>
    <xf numFmtId="0" fontId="6" fillId="0" borderId="41" xfId="0" applyNumberFormat="1" applyFont="1" applyFill="1" applyBorder="1" applyAlignment="1"/>
    <xf numFmtId="0" fontId="4" fillId="0" borderId="40" xfId="0" applyNumberFormat="1" applyFont="1" applyFill="1" applyBorder="1" applyAlignment="1">
      <alignment horizontal="center"/>
    </xf>
    <xf numFmtId="2" fontId="24" fillId="0" borderId="42" xfId="2" applyNumberFormat="1" applyFont="1" applyFill="1" applyBorder="1" applyAlignment="1">
      <alignment horizontal="right"/>
    </xf>
    <xf numFmtId="0" fontId="6" fillId="0" borderId="43" xfId="0" applyNumberFormat="1" applyFont="1" applyFill="1" applyBorder="1" applyAlignment="1"/>
    <xf numFmtId="2" fontId="6" fillId="0" borderId="32" xfId="2" applyNumberFormat="1" applyFont="1" applyFill="1" applyBorder="1" applyAlignment="1">
      <alignment horizontal="right"/>
    </xf>
    <xf numFmtId="2" fontId="3" fillId="12" borderId="32" xfId="2" applyNumberFormat="1" applyFont="1" applyFill="1" applyBorder="1" applyAlignment="1">
      <alignment horizontal="right"/>
    </xf>
    <xf numFmtId="2" fontId="24" fillId="0" borderId="32" xfId="2" applyNumberFormat="1" applyFont="1" applyFill="1" applyBorder="1" applyAlignment="1">
      <alignment horizontal="right"/>
    </xf>
    <xf numFmtId="2" fontId="3" fillId="12" borderId="39" xfId="2" applyNumberFormat="1" applyFont="1" applyFill="1" applyBorder="1" applyAlignment="1">
      <alignment horizontal="right"/>
    </xf>
    <xf numFmtId="9" fontId="6" fillId="2" borderId="42" xfId="2" applyNumberFormat="1" applyFont="1" applyFill="1" applyBorder="1" applyAlignment="1">
      <alignment horizontal="right"/>
    </xf>
    <xf numFmtId="0" fontId="6" fillId="0" borderId="48" xfId="0" applyFont="1" applyFill="1" applyBorder="1"/>
    <xf numFmtId="10" fontId="24" fillId="2" borderId="47" xfId="2" applyNumberFormat="1" applyFont="1" applyFill="1" applyBorder="1" applyAlignment="1">
      <alignment horizontal="right"/>
    </xf>
    <xf numFmtId="10" fontId="6" fillId="2" borderId="42" xfId="2" applyNumberFormat="1" applyFont="1" applyFill="1" applyBorder="1" applyAlignment="1">
      <alignment horizontal="right"/>
    </xf>
    <xf numFmtId="169" fontId="24" fillId="2" borderId="39" xfId="0" applyNumberFormat="1" applyFont="1" applyFill="1" applyBorder="1" applyAlignment="1">
      <alignment horizontal="right"/>
    </xf>
    <xf numFmtId="169" fontId="6" fillId="0" borderId="42" xfId="0" applyNumberFormat="1" applyFont="1" applyFill="1" applyBorder="1" applyAlignment="1">
      <alignment horizontal="right"/>
    </xf>
    <xf numFmtId="0" fontId="6" fillId="2" borderId="49" xfId="0" applyNumberFormat="1" applyFont="1" applyFill="1" applyBorder="1" applyAlignment="1"/>
    <xf numFmtId="0" fontId="3" fillId="0" borderId="48" xfId="0" applyFont="1" applyFill="1" applyBorder="1"/>
    <xf numFmtId="0" fontId="4" fillId="2" borderId="51" xfId="0" applyNumberFormat="1" applyFont="1" applyFill="1" applyBorder="1" applyAlignment="1">
      <alignment horizontal="center"/>
    </xf>
    <xf numFmtId="169" fontId="3" fillId="0" borderId="47" xfId="0" applyNumberFormat="1" applyFont="1" applyFill="1" applyBorder="1"/>
    <xf numFmtId="0" fontId="6" fillId="0" borderId="29" xfId="0" applyFont="1" applyBorder="1"/>
    <xf numFmtId="9" fontId="24" fillId="6" borderId="31" xfId="2" applyFont="1" applyFill="1" applyBorder="1" applyAlignment="1">
      <alignment horizontal="center"/>
    </xf>
    <xf numFmtId="164" fontId="24" fillId="0" borderId="42" xfId="2" applyNumberFormat="1" applyFont="1" applyFill="1" applyBorder="1" applyAlignment="1">
      <alignment horizontal="right"/>
    </xf>
    <xf numFmtId="0" fontId="6" fillId="0" borderId="52" xfId="0" applyFont="1" applyFill="1" applyBorder="1"/>
    <xf numFmtId="0" fontId="6" fillId="0" borderId="38" xfId="0" applyFont="1" applyFill="1" applyBorder="1"/>
    <xf numFmtId="9" fontId="24" fillId="6" borderId="47" xfId="2" applyFont="1" applyFill="1" applyBorder="1" applyAlignment="1">
      <alignment horizontal="center"/>
    </xf>
    <xf numFmtId="0" fontId="6" fillId="0" borderId="53" xfId="0" applyFont="1" applyFill="1" applyBorder="1"/>
    <xf numFmtId="0" fontId="4" fillId="2" borderId="54" xfId="0" applyNumberFormat="1" applyFont="1" applyFill="1" applyBorder="1" applyAlignment="1">
      <alignment horizontal="center"/>
    </xf>
    <xf numFmtId="10" fontId="4" fillId="0" borderId="55" xfId="2" applyNumberFormat="1" applyFont="1" applyFill="1" applyBorder="1" applyAlignment="1">
      <alignment horizontal="right"/>
    </xf>
    <xf numFmtId="0" fontId="4" fillId="0" borderId="39" xfId="0" applyFont="1" applyFill="1" applyBorder="1" applyAlignment="1">
      <alignment horizontal="center"/>
    </xf>
    <xf numFmtId="0" fontId="6" fillId="2" borderId="48" xfId="0" applyNumberFormat="1" applyFont="1" applyFill="1" applyBorder="1" applyAlignment="1"/>
    <xf numFmtId="164" fontId="24" fillId="0" borderId="39" xfId="2" applyNumberFormat="1" applyFont="1" applyFill="1" applyBorder="1" applyAlignment="1">
      <alignment horizontal="right"/>
    </xf>
    <xf numFmtId="0" fontId="68" fillId="5" borderId="41" xfId="0" applyFont="1" applyFill="1" applyBorder="1"/>
    <xf numFmtId="0" fontId="68" fillId="5" borderId="40" xfId="0" applyFont="1" applyFill="1" applyBorder="1"/>
    <xf numFmtId="2" fontId="16" fillId="5" borderId="42" xfId="0" applyNumberFormat="1" applyFont="1" applyFill="1" applyBorder="1" applyAlignment="1">
      <alignment horizontal="center"/>
    </xf>
    <xf numFmtId="0" fontId="68" fillId="5" borderId="43" xfId="0" applyFont="1" applyFill="1" applyBorder="1"/>
    <xf numFmtId="2" fontId="16" fillId="5" borderId="45" xfId="0" applyNumberFormat="1" applyFont="1" applyFill="1" applyBorder="1" applyAlignment="1">
      <alignment horizontal="right"/>
    </xf>
    <xf numFmtId="0" fontId="68" fillId="5" borderId="56" xfId="0" applyFont="1" applyFill="1" applyBorder="1"/>
    <xf numFmtId="164" fontId="16" fillId="5" borderId="57" xfId="2" applyNumberFormat="1" applyFont="1" applyFill="1" applyBorder="1" applyAlignment="1">
      <alignment horizontal="right"/>
    </xf>
    <xf numFmtId="0" fontId="74" fillId="5" borderId="52" xfId="3" applyFont="1" applyFill="1" applyBorder="1" applyAlignment="1" applyProtection="1"/>
    <xf numFmtId="0" fontId="6" fillId="5" borderId="37" xfId="0" applyFont="1" applyFill="1" applyBorder="1"/>
    <xf numFmtId="0" fontId="6" fillId="5" borderId="58" xfId="0" applyFont="1" applyFill="1" applyBorder="1"/>
    <xf numFmtId="9" fontId="24" fillId="6" borderId="42" xfId="2" applyFont="1" applyFill="1" applyBorder="1" applyAlignment="1">
      <alignment horizontal="center"/>
    </xf>
    <xf numFmtId="9" fontId="24" fillId="0" borderId="45" xfId="2" applyFont="1" applyFill="1" applyBorder="1" applyAlignment="1">
      <alignment horizontal="right"/>
    </xf>
    <xf numFmtId="169" fontId="6" fillId="0" borderId="47" xfId="2" applyNumberFormat="1" applyFont="1" applyFill="1" applyBorder="1" applyAlignment="1">
      <alignment horizontal="right"/>
    </xf>
    <xf numFmtId="0" fontId="6" fillId="0" borderId="40" xfId="0" applyFont="1" applyFill="1" applyBorder="1"/>
    <xf numFmtId="0" fontId="24" fillId="6" borderId="42" xfId="0" applyFont="1" applyFill="1" applyBorder="1" applyAlignment="1">
      <alignment horizontal="center"/>
    </xf>
    <xf numFmtId="2" fontId="24" fillId="2" borderId="32" xfId="0" applyNumberFormat="1" applyFont="1" applyFill="1" applyBorder="1" applyAlignment="1">
      <alignment horizontal="right"/>
    </xf>
    <xf numFmtId="164" fontId="24" fillId="0" borderId="45" xfId="2" applyNumberFormat="1" applyFont="1" applyFill="1" applyBorder="1" applyAlignment="1">
      <alignment horizontal="right"/>
    </xf>
    <xf numFmtId="0" fontId="3" fillId="0" borderId="41" xfId="0" applyFont="1" applyFill="1" applyBorder="1"/>
    <xf numFmtId="0" fontId="4" fillId="0" borderId="40" xfId="0" applyFont="1" applyFill="1" applyBorder="1" applyAlignment="1">
      <alignment horizontal="center"/>
    </xf>
    <xf numFmtId="6" fontId="24" fillId="0" borderId="42" xfId="0" applyNumberFormat="1" applyFont="1" applyFill="1" applyBorder="1" applyAlignment="1">
      <alignment horizontal="right"/>
    </xf>
    <xf numFmtId="9" fontId="24" fillId="0" borderId="32" xfId="2" applyFont="1" applyFill="1" applyBorder="1" applyAlignment="1">
      <alignment horizontal="right"/>
    </xf>
    <xf numFmtId="0" fontId="24" fillId="6" borderId="32" xfId="0" applyFont="1" applyFill="1" applyBorder="1" applyAlignment="1">
      <alignment horizontal="center"/>
    </xf>
    <xf numFmtId="1" fontId="24" fillId="0" borderId="42" xfId="0" applyNumberFormat="1" applyFont="1" applyFill="1" applyBorder="1" applyAlignment="1">
      <alignment horizontal="right"/>
    </xf>
    <xf numFmtId="177" fontId="24" fillId="2" borderId="45" xfId="0" applyNumberFormat="1" applyFont="1" applyFill="1" applyBorder="1" applyAlignment="1">
      <alignment horizontal="right"/>
    </xf>
    <xf numFmtId="177" fontId="24" fillId="2" borderId="47" xfId="0" applyNumberFormat="1" applyFont="1" applyFill="1" applyBorder="1" applyAlignment="1">
      <alignment horizontal="right"/>
    </xf>
    <xf numFmtId="0" fontId="21" fillId="0" borderId="60" xfId="0" applyFont="1" applyFill="1" applyBorder="1" applyAlignment="1">
      <alignment horizontal="left"/>
    </xf>
    <xf numFmtId="0" fontId="3" fillId="0" borderId="61" xfId="0" applyFont="1" applyFill="1" applyBorder="1" applyAlignment="1">
      <alignment horizontal="center"/>
    </xf>
    <xf numFmtId="0" fontId="3" fillId="0" borderId="62" xfId="0" applyFont="1" applyFill="1" applyBorder="1" applyAlignment="1">
      <alignment horizontal="center"/>
    </xf>
    <xf numFmtId="0" fontId="6" fillId="0" borderId="63" xfId="0" applyFont="1" applyFill="1" applyBorder="1" applyAlignment="1">
      <alignment horizontal="left"/>
    </xf>
    <xf numFmtId="0" fontId="21" fillId="0" borderId="60" xfId="0" applyFont="1" applyFill="1" applyBorder="1"/>
    <xf numFmtId="0" fontId="6" fillId="0" borderId="61" xfId="0" applyFont="1" applyFill="1" applyBorder="1"/>
    <xf numFmtId="0" fontId="6" fillId="0" borderId="62" xfId="0" applyFont="1" applyFill="1" applyBorder="1"/>
    <xf numFmtId="6" fontId="6" fillId="0" borderId="39" xfId="0" applyNumberFormat="1" applyFont="1" applyFill="1" applyBorder="1" applyAlignment="1">
      <alignment horizontal="right"/>
    </xf>
    <xf numFmtId="0" fontId="6" fillId="0" borderId="62" xfId="0" applyFont="1" applyFill="1" applyBorder="1" applyAlignment="1">
      <alignment horizontal="right"/>
    </xf>
    <xf numFmtId="164" fontId="24" fillId="0" borderId="31" xfId="0" applyNumberFormat="1" applyFont="1" applyFill="1" applyBorder="1" applyAlignment="1">
      <alignment horizontal="right"/>
    </xf>
    <xf numFmtId="0" fontId="21" fillId="0" borderId="30" xfId="0" applyFont="1" applyFill="1" applyBorder="1" applyAlignment="1">
      <alignment horizontal="left"/>
    </xf>
    <xf numFmtId="0" fontId="3" fillId="0" borderId="30" xfId="0" applyFont="1" applyFill="1" applyBorder="1" applyAlignment="1">
      <alignment horizontal="left"/>
    </xf>
    <xf numFmtId="0" fontId="22" fillId="0" borderId="29" xfId="0" applyFont="1" applyFill="1" applyBorder="1" applyAlignment="1">
      <alignment horizontal="center"/>
    </xf>
    <xf numFmtId="0" fontId="22" fillId="0" borderId="31" xfId="0" applyFont="1" applyFill="1" applyBorder="1" applyAlignment="1">
      <alignment horizontal="center"/>
    </xf>
    <xf numFmtId="0" fontId="6" fillId="0" borderId="30" xfId="0" applyFont="1" applyFill="1" applyBorder="1" applyAlignment="1">
      <alignment horizontal="left" indent="1"/>
    </xf>
    <xf numFmtId="164" fontId="24" fillId="0" borderId="29" xfId="2" applyNumberFormat="1" applyFont="1" applyFill="1" applyBorder="1" applyAlignment="1">
      <alignment horizontal="center"/>
    </xf>
    <xf numFmtId="164" fontId="24" fillId="0" borderId="31" xfId="2" applyNumberFormat="1" applyFont="1" applyFill="1" applyBorder="1" applyAlignment="1">
      <alignment horizontal="center"/>
    </xf>
    <xf numFmtId="0" fontId="6" fillId="0" borderId="41" xfId="0" applyFont="1" applyFill="1" applyBorder="1" applyAlignment="1">
      <alignment horizontal="left" indent="1"/>
    </xf>
    <xf numFmtId="164" fontId="24" fillId="0" borderId="40" xfId="2" applyNumberFormat="1" applyFont="1" applyFill="1" applyBorder="1" applyAlignment="1">
      <alignment horizontal="center"/>
    </xf>
    <xf numFmtId="164" fontId="24" fillId="0" borderId="42" xfId="2" applyNumberFormat="1" applyFont="1" applyFill="1" applyBorder="1" applyAlignment="1">
      <alignment horizontal="center"/>
    </xf>
    <xf numFmtId="0" fontId="6" fillId="0" borderId="43" xfId="0" applyFont="1" applyFill="1" applyBorder="1" applyAlignment="1">
      <alignment horizontal="left" indent="1"/>
    </xf>
    <xf numFmtId="164" fontId="24" fillId="0" borderId="32" xfId="2" applyNumberFormat="1" applyFont="1" applyFill="1" applyBorder="1" applyAlignment="1">
      <alignment horizontal="center"/>
    </xf>
    <xf numFmtId="0" fontId="6" fillId="0" borderId="46" xfId="0" applyFont="1" applyFill="1" applyBorder="1" applyAlignment="1">
      <alignment horizontal="left" indent="1"/>
    </xf>
    <xf numFmtId="164" fontId="24" fillId="0" borderId="34" xfId="2" applyNumberFormat="1" applyFont="1" applyFill="1" applyBorder="1" applyAlignment="1">
      <alignment horizontal="center"/>
    </xf>
    <xf numFmtId="164" fontId="24" fillId="0" borderId="39" xfId="2" applyNumberFormat="1" applyFont="1" applyFill="1" applyBorder="1" applyAlignment="1">
      <alignment horizontal="center"/>
    </xf>
    <xf numFmtId="0" fontId="75" fillId="0" borderId="30" xfId="3" applyFont="1" applyFill="1" applyBorder="1" applyAlignment="1" applyProtection="1"/>
    <xf numFmtId="0" fontId="3" fillId="0" borderId="29" xfId="0" applyFont="1" applyFill="1" applyBorder="1"/>
    <xf numFmtId="0" fontId="3" fillId="0" borderId="64" xfId="0" applyFont="1" applyFill="1" applyBorder="1"/>
    <xf numFmtId="0" fontId="3" fillId="0" borderId="31" xfId="0" applyFont="1" applyFill="1" applyBorder="1"/>
    <xf numFmtId="0" fontId="29" fillId="8" borderId="8" xfId="0" applyFont="1" applyFill="1" applyBorder="1" applyAlignment="1">
      <alignment horizontal="left" vertical="center" wrapText="1"/>
    </xf>
    <xf numFmtId="0" fontId="88" fillId="8" borderId="0" xfId="3" applyFont="1" applyFill="1" applyBorder="1" applyAlignment="1" applyProtection="1"/>
    <xf numFmtId="0" fontId="29" fillId="8" borderId="23" xfId="0" applyFont="1" applyFill="1" applyBorder="1" applyAlignment="1">
      <alignment vertical="center" wrapText="1"/>
    </xf>
    <xf numFmtId="0" fontId="45" fillId="8" borderId="10" xfId="0" applyFont="1" applyFill="1" applyBorder="1" applyAlignment="1">
      <alignment vertical="center" wrapText="1"/>
    </xf>
    <xf numFmtId="0" fontId="45" fillId="8" borderId="24" xfId="0" applyFont="1" applyFill="1" applyBorder="1" applyAlignment="1">
      <alignment vertical="center"/>
    </xf>
    <xf numFmtId="166" fontId="21" fillId="5" borderId="2" xfId="0" applyNumberFormat="1" applyFont="1" applyFill="1" applyBorder="1" applyAlignment="1">
      <alignment horizontal="center"/>
    </xf>
    <xf numFmtId="0" fontId="90" fillId="8" borderId="0" xfId="3" applyFont="1" applyFill="1" applyBorder="1" applyAlignment="1" applyProtection="1"/>
    <xf numFmtId="0" fontId="6" fillId="14" borderId="0" xfId="0" applyFont="1" applyFill="1" applyBorder="1"/>
    <xf numFmtId="0" fontId="60" fillId="14" borderId="0" xfId="0" applyFont="1" applyFill="1" applyBorder="1"/>
    <xf numFmtId="0" fontId="89" fillId="14" borderId="0" xfId="0" applyFont="1" applyFill="1" applyBorder="1"/>
    <xf numFmtId="0" fontId="53" fillId="14" borderId="0" xfId="0" applyFont="1" applyFill="1" applyBorder="1"/>
    <xf numFmtId="0" fontId="17" fillId="14" borderId="0" xfId="3" applyFill="1" applyBorder="1" applyAlignment="1" applyProtection="1"/>
    <xf numFmtId="0" fontId="8" fillId="0" borderId="8" xfId="0" applyFont="1" applyFill="1" applyBorder="1" applyAlignment="1">
      <alignment horizontal="center"/>
    </xf>
    <xf numFmtId="0" fontId="62" fillId="5" borderId="1" xfId="0" applyFont="1" applyFill="1" applyBorder="1" applyAlignment="1">
      <alignment vertical="center"/>
    </xf>
    <xf numFmtId="9" fontId="24" fillId="0" borderId="39" xfId="0" applyNumberFormat="1" applyFont="1" applyFill="1" applyBorder="1" applyAlignment="1">
      <alignment horizontal="center"/>
    </xf>
    <xf numFmtId="0" fontId="3" fillId="0" borderId="23" xfId="0" applyFont="1" applyFill="1" applyBorder="1"/>
    <xf numFmtId="0" fontId="6" fillId="0" borderId="67" xfId="0" applyFont="1" applyFill="1" applyBorder="1"/>
    <xf numFmtId="0" fontId="24" fillId="6" borderId="55" xfId="0" applyFont="1" applyFill="1" applyBorder="1" applyAlignment="1">
      <alignment horizontal="center"/>
    </xf>
    <xf numFmtId="0" fontId="6" fillId="0" borderId="44" xfId="0" applyFont="1" applyFill="1" applyBorder="1"/>
    <xf numFmtId="0" fontId="24" fillId="6" borderId="45" xfId="0" applyFont="1" applyFill="1" applyBorder="1" applyAlignment="1">
      <alignment horizontal="center"/>
    </xf>
    <xf numFmtId="6" fontId="6" fillId="0" borderId="39" xfId="0" applyNumberFormat="1" applyFont="1" applyFill="1" applyBorder="1"/>
    <xf numFmtId="9" fontId="4" fillId="2" borderId="4" xfId="2" applyFont="1" applyFill="1" applyBorder="1" applyAlignment="1">
      <alignment horizontal="center"/>
    </xf>
    <xf numFmtId="9" fontId="4" fillId="2" borderId="54" xfId="2" applyFont="1" applyFill="1" applyBorder="1" applyAlignment="1">
      <alignment horizontal="center"/>
    </xf>
    <xf numFmtId="9" fontId="4" fillId="2" borderId="28" xfId="2" applyFont="1" applyFill="1" applyBorder="1" applyAlignment="1">
      <alignment horizontal="center"/>
    </xf>
    <xf numFmtId="0" fontId="90" fillId="8" borderId="0" xfId="3" applyFont="1" applyFill="1" applyBorder="1" applyAlignment="1" applyProtection="1">
      <alignment vertical="center" wrapText="1"/>
    </xf>
    <xf numFmtId="0" fontId="91" fillId="8" borderId="0" xfId="0" applyFont="1" applyFill="1" applyBorder="1" applyAlignment="1">
      <alignment wrapText="1"/>
    </xf>
    <xf numFmtId="0" fontId="29" fillId="8" borderId="8" xfId="0" applyFont="1" applyFill="1" applyBorder="1" applyAlignment="1">
      <alignment vertical="center" wrapText="1"/>
    </xf>
    <xf numFmtId="0" fontId="45" fillId="8" borderId="25" xfId="0" applyFont="1" applyFill="1" applyBorder="1" applyAlignment="1">
      <alignment vertical="center"/>
    </xf>
    <xf numFmtId="6" fontId="6" fillId="0" borderId="50" xfId="0" applyNumberFormat="1" applyFont="1" applyFill="1" applyBorder="1" applyAlignment="1">
      <alignment horizontal="right"/>
    </xf>
    <xf numFmtId="0" fontId="68" fillId="5" borderId="41" xfId="0" applyFont="1" applyFill="1" applyBorder="1" applyAlignment="1">
      <alignment horizontal="left" indent="1"/>
    </xf>
    <xf numFmtId="0" fontId="69" fillId="5" borderId="40" xfId="0" applyFont="1" applyFill="1" applyBorder="1" applyAlignment="1">
      <alignment horizontal="center"/>
    </xf>
    <xf numFmtId="171" fontId="16" fillId="5" borderId="42" xfId="0" applyNumberFormat="1" applyFont="1" applyFill="1" applyBorder="1" applyAlignment="1">
      <alignment horizontal="right"/>
    </xf>
    <xf numFmtId="0" fontId="6" fillId="0" borderId="46" xfId="0" applyFont="1" applyBorder="1"/>
    <xf numFmtId="0" fontId="6" fillId="0" borderId="14" xfId="0" applyFont="1" applyFill="1" applyBorder="1"/>
    <xf numFmtId="0" fontId="93" fillId="0" borderId="21" xfId="0" applyFont="1" applyBorder="1" applyAlignment="1">
      <alignment horizontal="center"/>
    </xf>
    <xf numFmtId="0" fontId="93" fillId="0" borderId="5" xfId="0" applyFont="1" applyBorder="1" applyAlignment="1">
      <alignment horizontal="center"/>
    </xf>
    <xf numFmtId="0" fontId="6" fillId="0" borderId="13" xfId="0" applyFont="1" applyFill="1" applyBorder="1"/>
    <xf numFmtId="164" fontId="29" fillId="0" borderId="6" xfId="0" applyNumberFormat="1" applyFont="1" applyBorder="1" applyAlignment="1">
      <alignment horizontal="center" vertical="center" wrapText="1"/>
    </xf>
    <xf numFmtId="164" fontId="92" fillId="0" borderId="5" xfId="0" applyNumberFormat="1" applyFont="1" applyBorder="1" applyAlignment="1">
      <alignment horizontal="center"/>
    </xf>
    <xf numFmtId="164" fontId="92" fillId="0" borderId="6" xfId="0" applyNumberFormat="1" applyFont="1" applyBorder="1" applyAlignment="1">
      <alignment horizontal="center"/>
    </xf>
    <xf numFmtId="164" fontId="92" fillId="0" borderId="21" xfId="0" applyNumberFormat="1" applyFont="1" applyBorder="1" applyAlignment="1">
      <alignment horizontal="center"/>
    </xf>
    <xf numFmtId="0" fontId="49" fillId="0" borderId="0" xfId="0" applyFont="1" applyBorder="1" applyAlignment="1">
      <alignment horizontal="center"/>
    </xf>
    <xf numFmtId="40" fontId="4" fillId="0" borderId="0" xfId="0" applyNumberFormat="1" applyFont="1" applyAlignment="1">
      <alignment horizontal="center"/>
    </xf>
    <xf numFmtId="0" fontId="55" fillId="0" borderId="0" xfId="0" applyFont="1" applyBorder="1" applyAlignment="1">
      <alignment horizontal="right"/>
    </xf>
    <xf numFmtId="40" fontId="49" fillId="0" borderId="21" xfId="0" applyNumberFormat="1" applyFont="1" applyBorder="1" applyAlignment="1">
      <alignment horizontal="center"/>
    </xf>
    <xf numFmtId="0" fontId="95" fillId="0" borderId="17" xfId="0" applyFont="1" applyBorder="1"/>
    <xf numFmtId="9" fontId="49" fillId="0" borderId="21" xfId="2" applyFont="1" applyBorder="1" applyAlignment="1">
      <alignment horizontal="center"/>
    </xf>
    <xf numFmtId="0" fontId="51" fillId="0" borderId="15" xfId="0" applyFont="1" applyBorder="1" applyAlignment="1">
      <alignment vertical="center"/>
    </xf>
    <xf numFmtId="0" fontId="49" fillId="0" borderId="16" xfId="0" applyFont="1" applyBorder="1"/>
    <xf numFmtId="0" fontId="49" fillId="0" borderId="5" xfId="0" applyFont="1" applyBorder="1"/>
    <xf numFmtId="0" fontId="51" fillId="0" borderId="9" xfId="0" applyFont="1" applyBorder="1"/>
    <xf numFmtId="6" fontId="49" fillId="0" borderId="21" xfId="0" applyNumberFormat="1" applyFont="1" applyBorder="1" applyAlignment="1">
      <alignment horizontal="center"/>
    </xf>
    <xf numFmtId="9" fontId="49" fillId="0" borderId="5" xfId="0" applyNumberFormat="1" applyFont="1" applyBorder="1" applyAlignment="1">
      <alignment horizontal="center"/>
    </xf>
    <xf numFmtId="0" fontId="7" fillId="0" borderId="0" xfId="0" applyFont="1" applyFill="1" applyBorder="1"/>
    <xf numFmtId="0" fontId="8" fillId="0" borderId="25" xfId="0" applyFont="1" applyFill="1" applyBorder="1" applyAlignment="1">
      <alignment horizontal="center"/>
    </xf>
    <xf numFmtId="0" fontId="3" fillId="0" borderId="25" xfId="0" applyFont="1" applyFill="1" applyBorder="1" applyAlignment="1">
      <alignment horizontal="center"/>
    </xf>
    <xf numFmtId="0" fontId="8" fillId="0" borderId="24" xfId="0" applyFont="1" applyFill="1" applyBorder="1" applyAlignment="1">
      <alignment horizontal="center"/>
    </xf>
    <xf numFmtId="0" fontId="59" fillId="0" borderId="0" xfId="0" applyFont="1" applyFill="1" applyBorder="1" applyAlignment="1">
      <alignment horizontal="center"/>
    </xf>
    <xf numFmtId="0" fontId="3" fillId="0" borderId="53" xfId="0" applyFont="1" applyFill="1" applyBorder="1"/>
    <xf numFmtId="8" fontId="24" fillId="0" borderId="55" xfId="0" applyNumberFormat="1" applyFont="1" applyFill="1" applyBorder="1" applyAlignment="1">
      <alignment horizontal="right"/>
    </xf>
    <xf numFmtId="6" fontId="24" fillId="0" borderId="32" xfId="0" applyNumberFormat="1" applyFont="1" applyFill="1" applyBorder="1" applyAlignment="1">
      <alignment horizontal="right"/>
    </xf>
    <xf numFmtId="5" fontId="24" fillId="2" borderId="32" xfId="1" applyNumberFormat="1" applyFont="1" applyFill="1" applyBorder="1" applyAlignment="1">
      <alignment horizontal="right"/>
    </xf>
    <xf numFmtId="0" fontId="6" fillId="0" borderId="63" xfId="0" applyFont="1" applyFill="1" applyBorder="1"/>
    <xf numFmtId="0" fontId="9" fillId="6" borderId="32" xfId="0" applyFont="1" applyFill="1" applyBorder="1" applyAlignment="1">
      <alignment horizontal="center"/>
    </xf>
    <xf numFmtId="164" fontId="29" fillId="0" borderId="4" xfId="0" applyNumberFormat="1" applyFont="1" applyFill="1" applyBorder="1" applyAlignment="1">
      <alignment horizontal="center" wrapText="1"/>
    </xf>
    <xf numFmtId="9" fontId="24" fillId="6" borderId="32" xfId="2" applyFont="1" applyFill="1" applyBorder="1" applyAlignment="1">
      <alignment horizontal="center"/>
    </xf>
    <xf numFmtId="0" fontId="50" fillId="0" borderId="17" xfId="0" applyFont="1" applyBorder="1" applyAlignment="1">
      <alignment horizontal="center" vertical="center"/>
    </xf>
    <xf numFmtId="0" fontId="98" fillId="0" borderId="0" xfId="0" applyFont="1" applyBorder="1" applyAlignment="1">
      <alignment horizontal="center" vertical="center"/>
    </xf>
    <xf numFmtId="2" fontId="50" fillId="0" borderId="17" xfId="0" applyNumberFormat="1" applyFont="1" applyFill="1" applyBorder="1" applyAlignment="1">
      <alignment horizontal="center" vertical="center"/>
    </xf>
    <xf numFmtId="0" fontId="99" fillId="0" borderId="17" xfId="0" applyFont="1" applyFill="1" applyBorder="1" applyAlignment="1">
      <alignment horizontal="center" vertical="center"/>
    </xf>
    <xf numFmtId="0" fontId="99" fillId="0" borderId="0" xfId="0" applyFont="1" applyAlignment="1">
      <alignment horizontal="center" vertical="center"/>
    </xf>
    <xf numFmtId="0" fontId="50" fillId="0" borderId="12" xfId="0" applyFont="1" applyBorder="1" applyAlignment="1">
      <alignment horizontal="center" vertical="center"/>
    </xf>
    <xf numFmtId="0" fontId="98" fillId="0" borderId="14" xfId="0" applyFont="1" applyBorder="1" applyAlignment="1">
      <alignment horizontal="center" vertical="center"/>
    </xf>
    <xf numFmtId="2" fontId="50" fillId="0" borderId="4" xfId="0" applyNumberFormat="1" applyFont="1" applyFill="1" applyBorder="1" applyAlignment="1">
      <alignment horizontal="center" vertical="center"/>
    </xf>
    <xf numFmtId="0" fontId="99" fillId="0" borderId="0" xfId="0" applyFont="1" applyFill="1" applyBorder="1" applyAlignment="1">
      <alignment horizontal="center" vertical="center"/>
    </xf>
    <xf numFmtId="164" fontId="53" fillId="0" borderId="32" xfId="2" applyNumberFormat="1" applyFont="1" applyFill="1" applyBorder="1" applyAlignment="1">
      <alignment horizontal="right"/>
    </xf>
    <xf numFmtId="164" fontId="6" fillId="0" borderId="0" xfId="2" applyNumberFormat="1" applyFont="1" applyFill="1" applyBorder="1"/>
    <xf numFmtId="0" fontId="93" fillId="0" borderId="0" xfId="0" applyFont="1" applyBorder="1" applyAlignment="1">
      <alignment horizontal="center"/>
    </xf>
    <xf numFmtId="164" fontId="92" fillId="0" borderId="0" xfId="0" applyNumberFormat="1" applyFont="1" applyBorder="1" applyAlignment="1">
      <alignment horizontal="center"/>
    </xf>
    <xf numFmtId="164" fontId="24" fillId="0" borderId="12" xfId="2" applyNumberFormat="1" applyFont="1" applyFill="1" applyBorder="1" applyAlignment="1">
      <alignment horizontal="center"/>
    </xf>
    <xf numFmtId="164" fontId="24" fillId="0" borderId="36" xfId="2" applyNumberFormat="1" applyFont="1" applyFill="1" applyBorder="1" applyAlignment="1">
      <alignment horizontal="center"/>
    </xf>
    <xf numFmtId="0" fontId="22" fillId="0" borderId="64" xfId="0" applyFont="1" applyFill="1" applyBorder="1" applyAlignment="1">
      <alignment horizontal="center"/>
    </xf>
    <xf numFmtId="164" fontId="24" fillId="0" borderId="64" xfId="2" applyNumberFormat="1" applyFont="1" applyFill="1" applyBorder="1" applyAlignment="1">
      <alignment horizontal="center"/>
    </xf>
    <xf numFmtId="164" fontId="24" fillId="0" borderId="65" xfId="2" applyNumberFormat="1" applyFont="1" applyFill="1" applyBorder="1" applyAlignment="1">
      <alignment horizontal="center"/>
    </xf>
    <xf numFmtId="164" fontId="82" fillId="0" borderId="6" xfId="2" applyNumberFormat="1" applyFont="1" applyFill="1" applyBorder="1" applyAlignment="1">
      <alignment horizontal="center" vertical="center" wrapText="1"/>
    </xf>
    <xf numFmtId="0" fontId="87" fillId="5" borderId="8" xfId="0" applyFont="1" applyFill="1" applyBorder="1" applyAlignment="1">
      <alignment vertical="center"/>
    </xf>
    <xf numFmtId="0" fontId="87" fillId="5" borderId="0" xfId="0" applyFont="1" applyFill="1" applyBorder="1" applyAlignment="1">
      <alignment vertical="center" wrapText="1"/>
    </xf>
    <xf numFmtId="0" fontId="6" fillId="0" borderId="11" xfId="0" applyFont="1" applyFill="1" applyBorder="1"/>
    <xf numFmtId="0" fontId="6" fillId="0" borderId="20" xfId="0" applyFont="1" applyFill="1" applyBorder="1" applyAlignment="1">
      <alignment horizontal="center"/>
    </xf>
    <xf numFmtId="0" fontId="6" fillId="0" borderId="9" xfId="0" applyFont="1" applyFill="1" applyBorder="1"/>
    <xf numFmtId="0" fontId="24" fillId="0" borderId="45" xfId="0" applyFont="1" applyFill="1" applyBorder="1" applyAlignment="1">
      <alignment horizontal="right"/>
    </xf>
    <xf numFmtId="9" fontId="3" fillId="0" borderId="25" xfId="0" applyNumberFormat="1" applyFont="1" applyFill="1" applyBorder="1" applyAlignment="1">
      <alignment horizontal="center"/>
    </xf>
    <xf numFmtId="164" fontId="24" fillId="0" borderId="12" xfId="2" applyNumberFormat="1" applyFont="1" applyFill="1" applyBorder="1" applyAlignment="1">
      <alignment horizontal="center"/>
    </xf>
    <xf numFmtId="164" fontId="24" fillId="0" borderId="13" xfId="2" applyNumberFormat="1" applyFont="1" applyFill="1" applyBorder="1" applyAlignment="1">
      <alignment horizontal="center"/>
    </xf>
    <xf numFmtId="164" fontId="24" fillId="0" borderId="14" xfId="2" applyNumberFormat="1" applyFont="1" applyFill="1" applyBorder="1" applyAlignment="1">
      <alignment horizontal="center"/>
    </xf>
    <xf numFmtId="164" fontId="24" fillId="0" borderId="36" xfId="2" applyNumberFormat="1" applyFont="1" applyFill="1" applyBorder="1" applyAlignment="1">
      <alignment horizontal="center"/>
    </xf>
    <xf numFmtId="164" fontId="24" fillId="0" borderId="37" xfId="2" applyNumberFormat="1" applyFont="1" applyFill="1" applyBorder="1" applyAlignment="1">
      <alignment horizontal="center"/>
    </xf>
    <xf numFmtId="164" fontId="24" fillId="0" borderId="38" xfId="2" applyNumberFormat="1" applyFont="1" applyFill="1" applyBorder="1" applyAlignment="1">
      <alignment horizontal="center"/>
    </xf>
    <xf numFmtId="0" fontId="3" fillId="0" borderId="64" xfId="0" applyFont="1" applyFill="1" applyBorder="1" applyAlignment="1">
      <alignment horizontal="center"/>
    </xf>
    <xf numFmtId="0" fontId="3" fillId="0" borderId="2" xfId="0" applyFont="1" applyFill="1" applyBorder="1" applyAlignment="1">
      <alignment horizontal="center"/>
    </xf>
    <xf numFmtId="0" fontId="3" fillId="0" borderId="59" xfId="0" applyFont="1" applyFill="1" applyBorder="1" applyAlignment="1">
      <alignment horizontal="center"/>
    </xf>
    <xf numFmtId="164" fontId="29" fillId="5" borderId="19" xfId="0" applyNumberFormat="1" applyFont="1" applyFill="1" applyBorder="1" applyAlignment="1">
      <alignment horizontal="center" vertical="center" wrapText="1"/>
    </xf>
    <xf numFmtId="164" fontId="29" fillId="5" borderId="20" xfId="0" applyNumberFormat="1" applyFont="1" applyFill="1" applyBorder="1" applyAlignment="1">
      <alignment horizontal="center" vertical="center" wrapText="1"/>
    </xf>
    <xf numFmtId="164" fontId="29" fillId="5" borderId="15" xfId="0" applyNumberFormat="1" applyFont="1" applyFill="1" applyBorder="1" applyAlignment="1">
      <alignment horizontal="center" vertical="center" wrapText="1"/>
    </xf>
    <xf numFmtId="164" fontId="29" fillId="5" borderId="16" xfId="0" applyNumberFormat="1" applyFont="1" applyFill="1" applyBorder="1" applyAlignment="1">
      <alignment horizontal="center" vertical="center" wrapText="1"/>
    </xf>
    <xf numFmtId="0" fontId="65" fillId="0" borderId="22" xfId="0" applyFont="1" applyFill="1" applyBorder="1" applyAlignment="1">
      <alignment horizontal="center"/>
    </xf>
    <xf numFmtId="0" fontId="8" fillId="5" borderId="2" xfId="0" applyFont="1" applyFill="1" applyBorder="1" applyAlignment="1">
      <alignment horizontal="center" vertical="center"/>
    </xf>
    <xf numFmtId="0" fontId="22" fillId="0" borderId="64" xfId="0" applyFont="1" applyFill="1" applyBorder="1" applyAlignment="1">
      <alignment horizontal="center"/>
    </xf>
    <xf numFmtId="0" fontId="22" fillId="0" borderId="2" xfId="0" applyFont="1" applyFill="1" applyBorder="1" applyAlignment="1">
      <alignment horizontal="center"/>
    </xf>
    <xf numFmtId="0" fontId="22" fillId="0" borderId="59" xfId="0" applyFont="1" applyFill="1" applyBorder="1" applyAlignment="1">
      <alignment horizontal="center"/>
    </xf>
    <xf numFmtId="164" fontId="24" fillId="0" borderId="64" xfId="2" applyNumberFormat="1" applyFont="1" applyFill="1" applyBorder="1" applyAlignment="1">
      <alignment horizontal="center"/>
    </xf>
    <xf numFmtId="164" fontId="24" fillId="0" borderId="2" xfId="2" applyNumberFormat="1" applyFont="1" applyFill="1" applyBorder="1" applyAlignment="1">
      <alignment horizontal="center"/>
    </xf>
    <xf numFmtId="164" fontId="24" fillId="0" borderId="59" xfId="2" applyNumberFormat="1" applyFont="1" applyFill="1" applyBorder="1" applyAlignment="1">
      <alignment horizontal="center"/>
    </xf>
    <xf numFmtId="164" fontId="24" fillId="0" borderId="65" xfId="2" applyNumberFormat="1" applyFont="1" applyFill="1" applyBorder="1" applyAlignment="1">
      <alignment horizontal="center"/>
    </xf>
    <xf numFmtId="164" fontId="24" fillId="0" borderId="61" xfId="2" applyNumberFormat="1" applyFont="1" applyFill="1" applyBorder="1" applyAlignment="1">
      <alignment horizontal="center"/>
    </xf>
    <xf numFmtId="164" fontId="24" fillId="0" borderId="66" xfId="2" applyNumberFormat="1" applyFont="1" applyFill="1" applyBorder="1" applyAlignment="1">
      <alignment horizontal="center"/>
    </xf>
    <xf numFmtId="0" fontId="54" fillId="0" borderId="12" xfId="0" applyFont="1" applyBorder="1" applyAlignment="1">
      <alignment horizontal="center" vertical="center" wrapText="1"/>
    </xf>
    <xf numFmtId="0" fontId="54" fillId="0" borderId="13" xfId="0" applyFont="1" applyBorder="1" applyAlignment="1">
      <alignment horizontal="center" vertical="center" wrapText="1"/>
    </xf>
    <xf numFmtId="0" fontId="54" fillId="0" borderId="14" xfId="0" applyFont="1" applyBorder="1" applyAlignment="1">
      <alignment horizontal="center" vertical="center" wrapText="1"/>
    </xf>
    <xf numFmtId="0" fontId="49" fillId="0" borderId="0" xfId="0" applyFont="1" applyBorder="1" applyAlignment="1">
      <alignment horizontal="center" vertical="center"/>
    </xf>
    <xf numFmtId="0" fontId="49" fillId="0" borderId="0" xfId="0" applyFont="1" applyBorder="1" applyAlignment="1">
      <alignment horizontal="center"/>
    </xf>
    <xf numFmtId="0" fontId="56" fillId="6" borderId="1" xfId="0" applyFont="1" applyFill="1" applyBorder="1" applyAlignment="1">
      <alignment horizontal="center" vertical="center" wrapText="1"/>
    </xf>
    <xf numFmtId="0" fontId="56" fillId="6" borderId="2" xfId="0" applyFont="1" applyFill="1" applyBorder="1" applyAlignment="1">
      <alignment horizontal="center" vertical="center" wrapText="1"/>
    </xf>
    <xf numFmtId="0" fontId="56" fillId="6" borderId="3" xfId="0" applyFont="1" applyFill="1" applyBorder="1" applyAlignment="1">
      <alignment horizontal="center" vertical="center" wrapText="1"/>
    </xf>
    <xf numFmtId="0" fontId="66" fillId="0" borderId="19"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16" xfId="0" applyFont="1" applyBorder="1" applyAlignment="1">
      <alignment horizontal="center" vertical="center" wrapText="1"/>
    </xf>
    <xf numFmtId="0" fontId="66" fillId="0" borderId="12" xfId="0" applyFont="1" applyBorder="1" applyAlignment="1">
      <alignment horizontal="center"/>
    </xf>
    <xf numFmtId="0" fontId="66" fillId="0" borderId="14" xfId="0" applyFont="1" applyBorder="1" applyAlignment="1">
      <alignment horizontal="center"/>
    </xf>
    <xf numFmtId="0" fontId="3" fillId="8" borderId="0" xfId="0" applyNumberFormat="1" applyFont="1" applyFill="1" applyAlignment="1">
      <alignment horizontal="center"/>
    </xf>
    <xf numFmtId="0" fontId="3" fillId="11" borderId="1" xfId="0" applyNumberFormat="1" applyFont="1" applyFill="1" applyBorder="1" applyAlignment="1">
      <alignment horizontal="left" vertical="center" wrapText="1"/>
    </xf>
    <xf numFmtId="0" fontId="3" fillId="11" borderId="3" xfId="0" applyNumberFormat="1" applyFont="1" applyFill="1" applyBorder="1" applyAlignment="1">
      <alignment horizontal="left" vertical="center" wrapText="1"/>
    </xf>
    <xf numFmtId="179" fontId="3" fillId="11" borderId="1" xfId="0" applyNumberFormat="1" applyFont="1" applyFill="1" applyBorder="1" applyAlignment="1">
      <alignment horizontal="left"/>
    </xf>
    <xf numFmtId="179" fontId="3" fillId="11" borderId="3" xfId="0" applyNumberFormat="1" applyFont="1" applyFill="1" applyBorder="1" applyAlignment="1">
      <alignment horizontal="left"/>
    </xf>
    <xf numFmtId="0" fontId="38" fillId="4" borderId="1" xfId="0" applyFont="1" applyFill="1" applyBorder="1" applyAlignment="1">
      <alignment horizontal="center" vertical="center" wrapText="1"/>
    </xf>
    <xf numFmtId="0" fontId="38" fillId="4" borderId="2" xfId="0" applyFont="1" applyFill="1" applyBorder="1" applyAlignment="1">
      <alignment horizontal="center" vertical="center" wrapText="1"/>
    </xf>
    <xf numFmtId="0" fontId="38" fillId="4" borderId="3" xfId="0" applyFont="1" applyFill="1" applyBorder="1" applyAlignment="1">
      <alignment horizontal="center" vertical="center" wrapText="1"/>
    </xf>
    <xf numFmtId="0" fontId="28" fillId="0" borderId="12" xfId="0" applyFont="1" applyBorder="1" applyAlignment="1">
      <alignment horizontal="left" wrapText="1"/>
    </xf>
    <xf numFmtId="0" fontId="28" fillId="0" borderId="14" xfId="0" applyFont="1" applyBorder="1" applyAlignment="1">
      <alignment horizontal="left" wrapText="1"/>
    </xf>
  </cellXfs>
  <cellStyles count="6">
    <cellStyle name="Comma" xfId="5" builtinId="3"/>
    <cellStyle name="Currency" xfId="1" builtinId="4"/>
    <cellStyle name="Hyperlink" xfId="3" builtinId="8"/>
    <cellStyle name="Normal" xfId="0" builtinId="0"/>
    <cellStyle name="Percent" xfId="2" builtinId="5"/>
    <cellStyle name="Percent 2" xfId="4" xr:uid="{00000000-0005-0000-0000-000005000000}"/>
  </cellStyles>
  <dxfs count="146">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itle>
    <c:autoTitleDeleted val="0"/>
    <c:plotArea>
      <c:layout/>
      <c:lineChart>
        <c:grouping val="standard"/>
        <c:varyColors val="0"/>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-4239914.239275042</c:v>
                </c:pt>
                <c:pt idx="1">
                  <c:v>-2275858.5851798072</c:v>
                </c:pt>
                <c:pt idx="2">
                  <c:v>-1672158.2860143487</c:v>
                </c:pt>
                <c:pt idx="3">
                  <c:v>-1206197.207751974</c:v>
                </c:pt>
                <c:pt idx="4">
                  <c:v>-824785.29443206999</c:v>
                </c:pt>
                <c:pt idx="5">
                  <c:v>-447976.83863212995</c:v>
                </c:pt>
                <c:pt idx="6">
                  <c:v>-136349.77427324688</c:v>
                </c:pt>
                <c:pt idx="7">
                  <c:v>110093.55940963022</c:v>
                </c:pt>
                <c:pt idx="8">
                  <c:v>351530.45686697972</c:v>
                </c:pt>
                <c:pt idx="9">
                  <c:v>587544.53843334189</c:v>
                </c:pt>
                <c:pt idx="10">
                  <c:v>904890.86506538698</c:v>
                </c:pt>
                <c:pt idx="11">
                  <c:v>1183472.3952763407</c:v>
                </c:pt>
                <c:pt idx="12">
                  <c:v>1430889.1342611122</c:v>
                </c:pt>
                <c:pt idx="13">
                  <c:v>1656477.2208343074</c:v>
                </c:pt>
                <c:pt idx="14">
                  <c:v>1874366.1232807431</c:v>
                </c:pt>
                <c:pt idx="15">
                  <c:v>2073114.6999772168</c:v>
                </c:pt>
                <c:pt idx="16">
                  <c:v>2241693.8074069857</c:v>
                </c:pt>
                <c:pt idx="17">
                  <c:v>2390548.12050814</c:v>
                </c:pt>
                <c:pt idx="18">
                  <c:v>2529605.1479756557</c:v>
                </c:pt>
                <c:pt idx="19">
                  <c:v>3127064.1720988583</c:v>
                </c:pt>
                <c:pt idx="20">
                  <c:v>3652092.1310486789</c:v>
                </c:pt>
                <c:pt idx="21">
                  <c:v>4192788.5774236065</c:v>
                </c:pt>
                <c:pt idx="22">
                  <c:v>4704676.2896748185</c:v>
                </c:pt>
                <c:pt idx="23">
                  <c:v>5199069.8523329999</c:v>
                </c:pt>
                <c:pt idx="24">
                  <c:v>5690567.7598822173</c:v>
                </c:pt>
                <c:pt idx="25">
                  <c:v>6219206.7583730202</c:v>
                </c:pt>
                <c:pt idx="26">
                  <c:v>6219206.7583730202</c:v>
                </c:pt>
                <c:pt idx="27">
                  <c:v>6219206.7583730202</c:v>
                </c:pt>
                <c:pt idx="28">
                  <c:v>6219206.7583730202</c:v>
                </c:pt>
                <c:pt idx="29">
                  <c:v>6219206.7583730202</c:v>
                </c:pt>
                <c:pt idx="30">
                  <c:v>6219206.7583730202</c:v>
                </c:pt>
              </c:numCache>
            </c:numRef>
          </c:val>
          <c:smooth val="0"/>
          <c:extLst>
            <c:ext xmlns:c16="http://schemas.microsoft.com/office/drawing/2014/chart" uri="{C3380CC4-5D6E-409C-BE32-E72D297353CC}">
              <c16:uniqueId val="{00000000-EC18-CF48-A421-37725181AD50}"/>
            </c:ext>
          </c:extLst>
        </c:ser>
        <c:dLbls>
          <c:showLegendKey val="0"/>
          <c:showVal val="0"/>
          <c:showCatName val="0"/>
          <c:showSerName val="0"/>
          <c:showPercent val="0"/>
          <c:showBubbleSize val="0"/>
        </c:dLbls>
        <c:smooth val="0"/>
        <c:axId val="109747584"/>
        <c:axId val="109795584"/>
      </c:lineChart>
      <c:catAx>
        <c:axId val="109747584"/>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09795584"/>
        <c:crosses val="autoZero"/>
        <c:auto val="1"/>
        <c:lblAlgn val="ctr"/>
        <c:lblOffset val="100"/>
        <c:tickLblSkip val="5"/>
        <c:noMultiLvlLbl val="0"/>
      </c:catAx>
      <c:valAx>
        <c:axId val="109795584"/>
        <c:scaling>
          <c:orientation val="minMax"/>
        </c:scaling>
        <c:delete val="0"/>
        <c:axPos val="l"/>
        <c:title>
          <c:tx>
            <c:rich>
              <a:bodyPr rot="-5400000" vert="horz"/>
              <a:lstStyle/>
              <a:p>
                <a:pPr>
                  <a:defRPr sz="1100" b="1"/>
                </a:pPr>
                <a:r>
                  <a:rPr lang="en-US" sz="1100" b="1"/>
                  <a:t>Cumulative Cash Flow ($)</a:t>
                </a:r>
              </a:p>
            </c:rich>
          </c:tx>
          <c:overlay val="0"/>
        </c:title>
        <c:numFmt formatCode="&quot;$&quot;#,##0_);[Red]\(&quot;$&quot;#,##0\)" sourceLinked="1"/>
        <c:majorTickMark val="out"/>
        <c:minorTickMark val="none"/>
        <c:tickLblPos val="nextTo"/>
        <c:crossAx val="109747584"/>
        <c:crosses val="autoZero"/>
        <c:crossBetween val="between"/>
      </c:valAx>
      <c:spPr>
        <a:solidFill>
          <a:srgbClr val="FFFF99"/>
        </a:solidFill>
      </c:spPr>
    </c:plotArea>
    <c:plotVisOnly val="1"/>
    <c:dispBlanksAs val="gap"/>
    <c:showDLblsOverMax val="0"/>
  </c:chart>
  <c:spPr>
    <a:solidFill>
      <a:srgbClr val="FFFF99"/>
    </a:solidFill>
  </c:spPr>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Revenue + Tax Benefits / (Liability) v. </a:t>
            </a:r>
          </a:p>
          <a:p>
            <a:pPr>
              <a:defRPr/>
            </a:pPr>
            <a:r>
              <a:rPr lang="en-US"/>
              <a:t>Expenses + Cash Obligations</a:t>
            </a:r>
          </a:p>
        </c:rich>
      </c:tx>
      <c:overlay val="1"/>
    </c:title>
    <c:autoTitleDeleted val="0"/>
    <c:plotArea>
      <c:layout/>
      <c:areaChart>
        <c:grouping val="standard"/>
        <c:varyColors val="0"/>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491191.43575607857</c:v>
                </c:pt>
                <c:pt idx="2">
                  <c:v>486778.33816452848</c:v>
                </c:pt>
                <c:pt idx="3">
                  <c:v>482877.76206093607</c:v>
                </c:pt>
                <c:pt idx="4">
                  <c:v>479439.89213386166</c:v>
                </c:pt>
                <c:pt idx="5">
                  <c:v>476419.91610515874</c:v>
                </c:pt>
                <c:pt idx="6">
                  <c:v>473777.5247781151</c:v>
                </c:pt>
                <c:pt idx="7">
                  <c:v>471476.46208636661</c:v>
                </c:pt>
                <c:pt idx="8">
                  <c:v>469484.1201435955</c:v>
                </c:pt>
                <c:pt idx="9">
                  <c:v>467771.17479402502</c:v>
                </c:pt>
                <c:pt idx="10">
                  <c:v>414089.03539150301</c:v>
                </c:pt>
                <c:pt idx="11">
                  <c:v>465080.66071773996</c:v>
                </c:pt>
                <c:pt idx="12">
                  <c:v>464058.07109255122</c:v>
                </c:pt>
                <c:pt idx="13">
                  <c:v>463224.33150144224</c:v>
                </c:pt>
                <c:pt idx="14">
                  <c:v>462562.22530556831</c:v>
                </c:pt>
                <c:pt idx="15">
                  <c:v>462056.28280926519</c:v>
                </c:pt>
                <c:pt idx="16">
                  <c:v>461692.60697727266</c:v>
                </c:pt>
                <c:pt idx="17">
                  <c:v>461458.71658678388</c:v>
                </c:pt>
                <c:pt idx="18">
                  <c:v>461343.40507094644</c:v>
                </c:pt>
                <c:pt idx="19">
                  <c:v>-8387.9293509886193</c:v>
                </c:pt>
                <c:pt idx="20">
                  <c:v>96057.398735261915</c:v>
                </c:pt>
                <c:pt idx="21">
                  <c:v>96241.500481208321</c:v>
                </c:pt>
                <c:pt idx="22">
                  <c:v>96509.74386790274</c:v>
                </c:pt>
                <c:pt idx="23">
                  <c:v>96855.625988568703</c:v>
                </c:pt>
                <c:pt idx="24">
                  <c:v>97273.323455082893</c:v>
                </c:pt>
                <c:pt idx="25">
                  <c:v>46418.233257396423</c:v>
                </c:pt>
                <c:pt idx="26">
                  <c:v>0</c:v>
                </c:pt>
                <c:pt idx="27">
                  <c:v>0</c:v>
                </c:pt>
                <c:pt idx="28">
                  <c:v>0</c:v>
                </c:pt>
                <c:pt idx="29">
                  <c:v>0</c:v>
                </c:pt>
                <c:pt idx="30">
                  <c:v>0</c:v>
                </c:pt>
              </c:numCache>
            </c:numRef>
          </c:val>
          <c:extLst>
            <c:ext xmlns:c16="http://schemas.microsoft.com/office/drawing/2014/chart" uri="{C3380CC4-5D6E-409C-BE32-E72D297353CC}">
              <c16:uniqueId val="{00000000-9691-B940-9B26-CD7E60166CE5}"/>
            </c:ext>
          </c:extLst>
        </c:ser>
        <c:dLbls>
          <c:showLegendKey val="0"/>
          <c:showVal val="0"/>
          <c:showCatName val="0"/>
          <c:showSerName val="0"/>
          <c:showPercent val="0"/>
          <c:showBubbleSize val="0"/>
        </c:dLbls>
        <c:axId val="140103680"/>
        <c:axId val="140107136"/>
      </c:areaChart>
      <c:lineChart>
        <c:grouping val="standard"/>
        <c:varyColors val="0"/>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2455247.0898513133</c:v>
                </c:pt>
                <c:pt idx="2">
                  <c:v>1090478.637329987</c:v>
                </c:pt>
                <c:pt idx="3">
                  <c:v>948838.84032331093</c:v>
                </c:pt>
                <c:pt idx="4">
                  <c:v>860851.80545376567</c:v>
                </c:pt>
                <c:pt idx="5">
                  <c:v>853228.37190509879</c:v>
                </c:pt>
                <c:pt idx="6">
                  <c:v>785404.58913699817</c:v>
                </c:pt>
                <c:pt idx="7">
                  <c:v>717919.79576924373</c:v>
                </c:pt>
                <c:pt idx="8">
                  <c:v>710921.01760094496</c:v>
                </c:pt>
                <c:pt idx="9">
                  <c:v>703785.25636038731</c:v>
                </c:pt>
                <c:pt idx="10">
                  <c:v>731435.36202354811</c:v>
                </c:pt>
                <c:pt idx="11">
                  <c:v>743662.19092869363</c:v>
                </c:pt>
                <c:pt idx="12">
                  <c:v>711474.81007732276</c:v>
                </c:pt>
                <c:pt idx="13">
                  <c:v>688812.41807463754</c:v>
                </c:pt>
                <c:pt idx="14">
                  <c:v>680451.12775200419</c:v>
                </c:pt>
                <c:pt idx="15">
                  <c:v>660804.85950573883</c:v>
                </c:pt>
                <c:pt idx="16">
                  <c:v>630271.71440704167</c:v>
                </c:pt>
                <c:pt idx="17">
                  <c:v>610313.02968793816</c:v>
                </c:pt>
                <c:pt idx="18">
                  <c:v>600400.4325384621</c:v>
                </c:pt>
                <c:pt idx="19">
                  <c:v>589071.09477221384</c:v>
                </c:pt>
                <c:pt idx="20">
                  <c:v>621085.35768508224</c:v>
                </c:pt>
                <c:pt idx="21">
                  <c:v>636937.94685613597</c:v>
                </c:pt>
                <c:pt idx="22">
                  <c:v>608397.4561191143</c:v>
                </c:pt>
                <c:pt idx="23">
                  <c:v>591249.18864675018</c:v>
                </c:pt>
                <c:pt idx="24">
                  <c:v>588771.23100429983</c:v>
                </c:pt>
                <c:pt idx="25">
                  <c:v>575057.23174819967</c:v>
                </c:pt>
                <c:pt idx="26">
                  <c:v>0</c:v>
                </c:pt>
                <c:pt idx="27">
                  <c:v>0</c:v>
                </c:pt>
                <c:pt idx="28">
                  <c:v>0</c:v>
                </c:pt>
                <c:pt idx="29">
                  <c:v>0</c:v>
                </c:pt>
                <c:pt idx="30">
                  <c:v>0</c:v>
                </c:pt>
              </c:numCache>
            </c:numRef>
          </c:val>
          <c:smooth val="0"/>
          <c:extLst>
            <c:ext xmlns:c16="http://schemas.microsoft.com/office/drawing/2014/chart" uri="{C3380CC4-5D6E-409C-BE32-E72D297353CC}">
              <c16:uniqueId val="{00000001-9691-B940-9B26-CD7E60166CE5}"/>
            </c:ext>
          </c:extLst>
        </c:ser>
        <c:dLbls>
          <c:showLegendKey val="0"/>
          <c:showVal val="0"/>
          <c:showCatName val="0"/>
          <c:showSerName val="0"/>
          <c:showPercent val="0"/>
          <c:showBubbleSize val="0"/>
        </c:dLbls>
        <c:marker val="1"/>
        <c:smooth val="0"/>
        <c:axId val="140103680"/>
        <c:axId val="140107136"/>
      </c:lineChart>
      <c:catAx>
        <c:axId val="140103680"/>
        <c:scaling>
          <c:orientation val="minMax"/>
        </c:scaling>
        <c:delete val="0"/>
        <c:axPos val="b"/>
        <c:title>
          <c:tx>
            <c:rich>
              <a:bodyPr/>
              <a:lstStyle/>
              <a:p>
                <a:pPr>
                  <a:defRPr sz="1100"/>
                </a:pPr>
                <a:r>
                  <a:rPr lang="en-US" sz="1100"/>
                  <a:t>Project Year</a:t>
                </a:r>
              </a:p>
            </c:rich>
          </c:tx>
          <c:overlay val="0"/>
        </c:title>
        <c:numFmt formatCode="General" sourceLinked="1"/>
        <c:majorTickMark val="out"/>
        <c:minorTickMark val="none"/>
        <c:tickLblPos val="nextTo"/>
        <c:crossAx val="140107136"/>
        <c:crosses val="autoZero"/>
        <c:auto val="1"/>
        <c:lblAlgn val="ctr"/>
        <c:lblOffset val="100"/>
        <c:tickLblSkip val="5"/>
        <c:noMultiLvlLbl val="0"/>
      </c:catAx>
      <c:valAx>
        <c:axId val="140107136"/>
        <c:scaling>
          <c:orientation val="minMax"/>
        </c:scaling>
        <c:delete val="0"/>
        <c:axPos val="l"/>
        <c:title>
          <c:tx>
            <c:rich>
              <a:bodyPr rot="-5400000" vert="horz"/>
              <a:lstStyle/>
              <a:p>
                <a:pPr>
                  <a:defRPr sz="1100" b="1"/>
                </a:pPr>
                <a:r>
                  <a:rPr lang="en-US" sz="1100" b="1"/>
                  <a:t>( $)</a:t>
                </a:r>
              </a:p>
            </c:rich>
          </c:tx>
          <c:overlay val="0"/>
        </c:title>
        <c:numFmt formatCode="&quot;$&quot;#,##0" sourceLinked="0"/>
        <c:majorTickMark val="out"/>
        <c:minorTickMark val="none"/>
        <c:tickLblPos val="nextTo"/>
        <c:crossAx val="140103680"/>
        <c:crosses val="autoZero"/>
        <c:crossBetween val="between"/>
      </c:valAx>
      <c:spPr>
        <a:solidFill>
          <a:srgbClr val="FFFF99"/>
        </a:solidFill>
      </c:spPr>
    </c:plotArea>
    <c:legend>
      <c:legendPos val="r"/>
      <c:overlay val="1"/>
    </c:legend>
    <c:plotVisOnly val="1"/>
    <c:dispBlanksAs val="gap"/>
    <c:showDLblsOverMax val="0"/>
  </c:chart>
  <c:spPr>
    <a:solidFill>
      <a:srgbClr val="FFFF99"/>
    </a:solidFill>
  </c:spPr>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R45"/>
  <sheetViews>
    <sheetView showGridLines="0" tabSelected="1" zoomScale="80" zoomScaleNormal="80" workbookViewId="0">
      <pane ySplit="4" topLeftCell="A5" activePane="bottomLeft" state="frozen"/>
      <selection pane="bottomLeft" activeCell="C4" sqref="C4"/>
    </sheetView>
  </sheetViews>
  <sheetFormatPr baseColWidth="10" defaultColWidth="9.1640625" defaultRowHeight="16"/>
  <cols>
    <col min="1" max="1" width="2.6640625" style="163" customWidth="1"/>
    <col min="2" max="2" width="26.83203125" style="163" customWidth="1"/>
    <col min="3" max="3" width="140.1640625" style="163" customWidth="1"/>
    <col min="4" max="4" width="16.83203125" style="163" customWidth="1"/>
    <col min="5" max="12" width="9.1640625" style="163"/>
    <col min="13" max="14" width="9.5" style="163" customWidth="1"/>
    <col min="15" max="15" width="5.33203125" style="163" customWidth="1"/>
    <col min="16" max="16384" width="9.1640625" style="163"/>
  </cols>
  <sheetData>
    <row r="1" spans="2:18" ht="9" customHeight="1" thickBot="1"/>
    <row r="2" spans="2:18" ht="30" customHeight="1">
      <c r="B2" s="229" t="s">
        <v>203</v>
      </c>
      <c r="C2" s="230" t="s">
        <v>356</v>
      </c>
      <c r="D2" s="231"/>
      <c r="E2" s="158"/>
      <c r="F2" s="158"/>
      <c r="G2" s="158"/>
      <c r="H2" s="158"/>
      <c r="I2" s="158"/>
      <c r="J2" s="158"/>
      <c r="K2" s="158"/>
      <c r="L2" s="158"/>
      <c r="M2" s="158"/>
      <c r="N2" s="158"/>
      <c r="P2" s="156"/>
      <c r="Q2" s="157"/>
      <c r="R2" s="157"/>
    </row>
    <row r="3" spans="2:18" ht="30" customHeight="1">
      <c r="B3" s="314" t="s">
        <v>222</v>
      </c>
      <c r="C3" s="315" t="s">
        <v>512</v>
      </c>
      <c r="D3" s="316"/>
      <c r="E3" s="158"/>
      <c r="F3" s="158"/>
      <c r="G3" s="158"/>
      <c r="H3" s="158"/>
      <c r="I3" s="158"/>
      <c r="J3" s="158"/>
      <c r="K3" s="158"/>
      <c r="L3" s="158"/>
      <c r="M3" s="158"/>
      <c r="N3" s="158"/>
      <c r="P3" s="156"/>
      <c r="Q3" s="157"/>
      <c r="R3" s="157"/>
    </row>
    <row r="4" spans="2:18" ht="60" customHeight="1" thickBot="1">
      <c r="B4" s="749" t="s">
        <v>514</v>
      </c>
      <c r="C4" s="750" t="s">
        <v>513</v>
      </c>
      <c r="D4" s="316"/>
      <c r="E4" s="158"/>
      <c r="F4" s="158"/>
      <c r="G4" s="158"/>
      <c r="H4" s="158"/>
      <c r="I4" s="158"/>
      <c r="J4" s="158"/>
      <c r="K4" s="158"/>
      <c r="L4" s="158"/>
      <c r="M4" s="158"/>
      <c r="N4" s="158"/>
      <c r="P4" s="156"/>
      <c r="Q4" s="157"/>
      <c r="R4" s="157"/>
    </row>
    <row r="5" spans="2:18" ht="30" customHeight="1">
      <c r="B5" s="666" t="s">
        <v>424</v>
      </c>
      <c r="C5" s="667" t="s">
        <v>423</v>
      </c>
      <c r="D5" s="668"/>
      <c r="E5" s="158"/>
      <c r="F5" s="158"/>
      <c r="G5" s="158"/>
      <c r="H5" s="158"/>
      <c r="I5" s="158"/>
      <c r="J5" s="158"/>
      <c r="K5" s="158"/>
      <c r="L5" s="158"/>
      <c r="M5" s="158"/>
      <c r="N5" s="158"/>
      <c r="P5" s="157"/>
      <c r="Q5" s="157"/>
      <c r="R5" s="157"/>
    </row>
    <row r="6" spans="2:18" ht="60" customHeight="1">
      <c r="B6" s="690" t="s">
        <v>419</v>
      </c>
      <c r="C6" s="236" t="s">
        <v>421</v>
      </c>
      <c r="D6" s="691"/>
      <c r="E6" s="158"/>
      <c r="F6" s="158"/>
      <c r="G6" s="158"/>
      <c r="H6" s="158"/>
      <c r="I6" s="158"/>
      <c r="J6" s="158"/>
      <c r="K6" s="158"/>
      <c r="L6" s="158"/>
      <c r="M6" s="158"/>
      <c r="N6" s="158"/>
      <c r="P6" s="157"/>
      <c r="Q6" s="157"/>
      <c r="R6" s="157"/>
    </row>
    <row r="7" spans="2:18" ht="60" customHeight="1">
      <c r="B7" s="690" t="s">
        <v>420</v>
      </c>
      <c r="C7" s="236" t="s">
        <v>422</v>
      </c>
      <c r="D7" s="691"/>
      <c r="E7" s="158"/>
      <c r="F7" s="158"/>
      <c r="G7" s="158"/>
      <c r="H7" s="158"/>
      <c r="I7" s="158"/>
      <c r="J7" s="158"/>
      <c r="K7" s="158"/>
      <c r="L7" s="158"/>
      <c r="M7" s="158"/>
      <c r="N7" s="158"/>
      <c r="P7" s="157"/>
      <c r="Q7" s="157"/>
      <c r="R7" s="157"/>
    </row>
    <row r="8" spans="2:18">
      <c r="B8" s="232"/>
      <c r="C8" s="233"/>
      <c r="D8" s="234"/>
      <c r="E8" s="159"/>
      <c r="F8" s="159"/>
      <c r="G8" s="159"/>
      <c r="H8" s="159"/>
      <c r="I8" s="159"/>
      <c r="J8" s="159"/>
      <c r="K8" s="159"/>
      <c r="L8" s="159"/>
      <c r="M8" s="159"/>
      <c r="N8" s="159"/>
      <c r="P8" s="157"/>
      <c r="Q8" s="157"/>
      <c r="R8" s="157"/>
    </row>
    <row r="9" spans="2:18" ht="102">
      <c r="B9" s="235" t="s">
        <v>204</v>
      </c>
      <c r="C9" s="236" t="s">
        <v>416</v>
      </c>
      <c r="D9" s="237"/>
      <c r="E9" s="160"/>
      <c r="F9" s="160"/>
      <c r="G9" s="160"/>
      <c r="H9" s="160"/>
      <c r="I9" s="160"/>
      <c r="J9" s="160"/>
      <c r="K9" s="160"/>
      <c r="L9" s="160"/>
      <c r="M9" s="160"/>
      <c r="N9" s="160"/>
      <c r="P9" s="156"/>
      <c r="Q9" s="157"/>
      <c r="R9" s="157"/>
    </row>
    <row r="10" spans="2:18" ht="17">
      <c r="B10" s="235"/>
      <c r="C10" s="688" t="s">
        <v>403</v>
      </c>
      <c r="D10" s="237"/>
      <c r="E10" s="160"/>
      <c r="F10" s="160"/>
      <c r="G10" s="160"/>
      <c r="H10" s="160"/>
      <c r="I10" s="160"/>
      <c r="J10" s="160"/>
      <c r="K10" s="160"/>
      <c r="L10" s="160"/>
      <c r="M10" s="160"/>
      <c r="N10" s="160"/>
      <c r="P10" s="156"/>
      <c r="Q10" s="157"/>
      <c r="R10" s="157"/>
    </row>
    <row r="11" spans="2:18">
      <c r="B11" s="235"/>
      <c r="C11" s="236"/>
      <c r="D11" s="237"/>
      <c r="E11" s="160"/>
      <c r="F11" s="160"/>
      <c r="G11" s="160"/>
      <c r="H11" s="160"/>
      <c r="I11" s="160"/>
      <c r="J11" s="160"/>
      <c r="K11" s="160"/>
      <c r="L11" s="160"/>
      <c r="M11" s="160"/>
      <c r="N11" s="160"/>
      <c r="P11" s="156"/>
      <c r="Q11" s="157"/>
      <c r="R11" s="157"/>
    </row>
    <row r="12" spans="2:18" ht="68">
      <c r="B12" s="241" t="s">
        <v>373</v>
      </c>
      <c r="C12" s="236" t="s">
        <v>405</v>
      </c>
      <c r="D12" s="237"/>
      <c r="E12" s="160"/>
      <c r="F12" s="160"/>
      <c r="G12" s="160"/>
      <c r="H12" s="160"/>
      <c r="I12" s="160"/>
      <c r="J12" s="160"/>
      <c r="K12" s="160"/>
      <c r="L12" s="160"/>
      <c r="M12" s="160"/>
      <c r="N12" s="160"/>
      <c r="P12" s="156"/>
      <c r="Q12" s="157"/>
      <c r="R12" s="157"/>
    </row>
    <row r="13" spans="2:18" ht="17">
      <c r="B13" s="241"/>
      <c r="C13" s="688" t="s">
        <v>403</v>
      </c>
      <c r="D13" s="237"/>
      <c r="E13" s="160"/>
      <c r="F13" s="160"/>
      <c r="G13" s="160"/>
      <c r="H13" s="160"/>
      <c r="I13" s="160"/>
      <c r="J13" s="160"/>
      <c r="K13" s="160"/>
      <c r="L13" s="160"/>
      <c r="M13" s="160"/>
      <c r="N13" s="160"/>
      <c r="P13" s="156"/>
      <c r="Q13" s="157"/>
      <c r="R13" s="157"/>
    </row>
    <row r="14" spans="2:18" ht="17">
      <c r="B14" s="241"/>
      <c r="C14" s="236" t="s">
        <v>404</v>
      </c>
      <c r="D14" s="237"/>
      <c r="E14" s="160"/>
      <c r="F14" s="160"/>
      <c r="G14" s="160"/>
      <c r="H14" s="160"/>
      <c r="I14" s="160"/>
      <c r="J14" s="160"/>
      <c r="K14" s="160"/>
      <c r="L14" s="160"/>
      <c r="M14" s="160"/>
      <c r="N14" s="160"/>
      <c r="P14" s="156"/>
      <c r="Q14" s="157"/>
      <c r="R14" s="157"/>
    </row>
    <row r="15" spans="2:18">
      <c r="B15" s="238"/>
      <c r="C15" s="239"/>
      <c r="D15" s="240"/>
      <c r="E15" s="161"/>
      <c r="F15" s="161"/>
      <c r="G15" s="161"/>
      <c r="H15" s="161"/>
      <c r="I15" s="161"/>
      <c r="J15" s="161"/>
      <c r="K15" s="161"/>
      <c r="L15" s="161"/>
      <c r="M15" s="161"/>
      <c r="N15" s="161"/>
      <c r="P15" s="157"/>
      <c r="Q15" s="157"/>
      <c r="R15" s="157"/>
    </row>
    <row r="16" spans="2:18" ht="102">
      <c r="B16" s="241" t="s">
        <v>214</v>
      </c>
      <c r="C16" s="313" t="s">
        <v>387</v>
      </c>
      <c r="D16" s="243"/>
      <c r="E16" s="162"/>
      <c r="F16" s="162"/>
      <c r="G16" s="162"/>
      <c r="H16" s="162"/>
      <c r="I16" s="162"/>
      <c r="J16" s="162"/>
      <c r="K16" s="162"/>
      <c r="L16" s="162"/>
      <c r="M16" s="162"/>
      <c r="N16" s="162"/>
      <c r="P16" s="157"/>
      <c r="Q16" s="157"/>
      <c r="R16" s="157"/>
    </row>
    <row r="17" spans="2:18" ht="17">
      <c r="B17" s="241"/>
      <c r="C17" s="242"/>
      <c r="D17" s="524" t="s">
        <v>374</v>
      </c>
      <c r="E17" s="162"/>
      <c r="F17" s="162"/>
      <c r="G17" s="162"/>
      <c r="H17" s="162"/>
      <c r="I17" s="162"/>
      <c r="J17" s="162"/>
      <c r="K17" s="162"/>
      <c r="L17" s="162"/>
      <c r="M17" s="162"/>
      <c r="N17" s="162"/>
      <c r="P17" s="157"/>
      <c r="Q17" s="157"/>
      <c r="R17" s="157"/>
    </row>
    <row r="18" spans="2:18" ht="34">
      <c r="B18" s="241" t="s">
        <v>223</v>
      </c>
      <c r="C18" s="236" t="s">
        <v>345</v>
      </c>
      <c r="D18" s="525" t="s">
        <v>375</v>
      </c>
      <c r="E18" s="162"/>
      <c r="F18" s="162"/>
      <c r="G18" s="162"/>
      <c r="H18" s="162"/>
      <c r="I18" s="162"/>
      <c r="J18" s="162"/>
      <c r="K18" s="162"/>
      <c r="L18" s="162"/>
      <c r="M18" s="162"/>
      <c r="N18" s="162"/>
      <c r="P18" s="157"/>
      <c r="Q18" s="157"/>
      <c r="R18" s="157"/>
    </row>
    <row r="19" spans="2:18" ht="30" customHeight="1">
      <c r="B19" s="241"/>
      <c r="C19" s="317" t="s">
        <v>215</v>
      </c>
      <c r="D19" s="526" t="s">
        <v>376</v>
      </c>
      <c r="E19" s="161"/>
      <c r="F19" s="161"/>
      <c r="G19" s="161"/>
      <c r="H19" s="161"/>
      <c r="I19" s="161"/>
      <c r="J19" s="161"/>
      <c r="K19" s="161"/>
      <c r="L19" s="161"/>
      <c r="M19" s="161"/>
      <c r="N19" s="161"/>
      <c r="P19" s="157"/>
      <c r="Q19" s="157"/>
      <c r="R19" s="157"/>
    </row>
    <row r="20" spans="2:18" ht="30" customHeight="1">
      <c r="B20" s="241"/>
      <c r="C20" s="318" t="s">
        <v>224</v>
      </c>
      <c r="D20" s="527"/>
      <c r="E20" s="162"/>
      <c r="F20" s="162"/>
      <c r="G20" s="162"/>
      <c r="H20" s="162"/>
      <c r="I20" s="162"/>
      <c r="J20" s="162"/>
      <c r="K20" s="162"/>
      <c r="L20" s="162"/>
      <c r="M20" s="162"/>
      <c r="N20" s="162"/>
      <c r="P20" s="156"/>
      <c r="Q20" s="157"/>
      <c r="R20" s="157"/>
    </row>
    <row r="21" spans="2:18" ht="30" customHeight="1">
      <c r="B21" s="241"/>
      <c r="C21" s="318" t="s">
        <v>346</v>
      </c>
      <c r="D21" s="528"/>
      <c r="E21" s="164"/>
      <c r="F21" s="164"/>
      <c r="G21" s="164"/>
      <c r="H21" s="164"/>
      <c r="I21" s="164"/>
      <c r="J21" s="164"/>
      <c r="K21" s="164"/>
      <c r="L21" s="164"/>
      <c r="M21" s="164"/>
      <c r="N21" s="164"/>
      <c r="P21" s="157"/>
      <c r="Q21" s="157"/>
      <c r="R21" s="157"/>
    </row>
    <row r="22" spans="2:18" ht="30" customHeight="1">
      <c r="B22" s="241"/>
      <c r="C22" s="317" t="s">
        <v>347</v>
      </c>
      <c r="D22" s="529" t="s">
        <v>377</v>
      </c>
      <c r="E22" s="165"/>
      <c r="F22" s="165"/>
      <c r="G22" s="165"/>
      <c r="H22" s="165"/>
      <c r="I22" s="165"/>
      <c r="J22" s="165"/>
      <c r="K22" s="165"/>
      <c r="L22" s="165"/>
      <c r="M22" s="165"/>
      <c r="N22" s="165"/>
    </row>
    <row r="23" spans="2:18" ht="51">
      <c r="B23" s="241"/>
      <c r="C23" s="318" t="s">
        <v>348</v>
      </c>
      <c r="D23" s="530" t="s">
        <v>8</v>
      </c>
      <c r="E23" s="164"/>
      <c r="F23" s="164"/>
      <c r="G23" s="164"/>
      <c r="H23" s="164"/>
      <c r="I23" s="164"/>
      <c r="J23" s="164"/>
      <c r="K23" s="164"/>
      <c r="L23" s="164"/>
      <c r="M23" s="164"/>
      <c r="N23" s="164"/>
    </row>
    <row r="24" spans="2:18" ht="15" customHeight="1">
      <c r="B24" s="241"/>
      <c r="C24" s="244"/>
      <c r="D24" s="243"/>
      <c r="E24" s="164"/>
      <c r="F24" s="164"/>
      <c r="G24" s="164"/>
      <c r="H24" s="164"/>
      <c r="I24" s="164"/>
      <c r="J24" s="164"/>
      <c r="K24" s="164"/>
      <c r="L24" s="164"/>
      <c r="M24" s="164"/>
      <c r="N24" s="164"/>
    </row>
    <row r="25" spans="2:18" ht="153">
      <c r="B25" s="241" t="s">
        <v>290</v>
      </c>
      <c r="C25" s="242" t="s">
        <v>378</v>
      </c>
      <c r="D25" s="243"/>
      <c r="E25" s="162"/>
      <c r="F25" s="162"/>
      <c r="G25" s="162"/>
      <c r="H25" s="162"/>
      <c r="I25" s="162"/>
      <c r="J25" s="162"/>
      <c r="K25" s="162"/>
      <c r="L25" s="162"/>
      <c r="M25" s="162"/>
      <c r="N25" s="162"/>
    </row>
    <row r="26" spans="2:18">
      <c r="B26" s="241"/>
      <c r="C26" s="242"/>
      <c r="D26" s="243"/>
      <c r="E26" s="162"/>
      <c r="F26" s="162"/>
      <c r="G26" s="162"/>
      <c r="H26" s="162"/>
      <c r="I26" s="162"/>
      <c r="J26" s="162"/>
      <c r="K26" s="162"/>
      <c r="L26" s="162"/>
      <c r="M26" s="162"/>
      <c r="N26" s="162"/>
    </row>
    <row r="27" spans="2:18" ht="85">
      <c r="B27" s="241" t="s">
        <v>291</v>
      </c>
      <c r="C27" s="313" t="s">
        <v>349</v>
      </c>
      <c r="D27" s="245"/>
      <c r="E27" s="166"/>
      <c r="F27" s="166"/>
      <c r="G27" s="166"/>
      <c r="H27" s="166"/>
      <c r="I27" s="166"/>
      <c r="J27" s="166"/>
      <c r="K27" s="166"/>
      <c r="L27" s="166"/>
      <c r="M27" s="166"/>
      <c r="N27" s="166"/>
    </row>
    <row r="28" spans="2:18">
      <c r="B28" s="238"/>
      <c r="C28" s="239"/>
      <c r="D28" s="240"/>
      <c r="E28" s="161"/>
      <c r="F28" s="161"/>
      <c r="G28" s="161"/>
      <c r="H28" s="161"/>
      <c r="I28" s="161"/>
      <c r="J28" s="161"/>
      <c r="K28" s="161"/>
      <c r="L28" s="161"/>
      <c r="M28" s="161"/>
      <c r="N28" s="161"/>
    </row>
    <row r="29" spans="2:18" ht="107.25" customHeight="1">
      <c r="B29" s="664" t="s">
        <v>388</v>
      </c>
      <c r="C29" s="318" t="s">
        <v>389</v>
      </c>
      <c r="D29" s="240"/>
    </row>
    <row r="30" spans="2:18">
      <c r="B30" s="238" t="s">
        <v>390</v>
      </c>
      <c r="C30" s="665" t="s">
        <v>391</v>
      </c>
      <c r="D30" s="240"/>
    </row>
    <row r="31" spans="2:18">
      <c r="B31" s="238" t="s">
        <v>399</v>
      </c>
      <c r="C31" s="670" t="s">
        <v>395</v>
      </c>
      <c r="D31" s="240"/>
    </row>
    <row r="32" spans="2:18">
      <c r="B32" s="238" t="s">
        <v>396</v>
      </c>
      <c r="C32" s="670" t="s">
        <v>392</v>
      </c>
      <c r="D32" s="240"/>
    </row>
    <row r="33" spans="2:4">
      <c r="B33" s="238" t="s">
        <v>397</v>
      </c>
      <c r="C33" s="670" t="s">
        <v>393</v>
      </c>
      <c r="D33" s="240"/>
    </row>
    <row r="34" spans="2:4">
      <c r="B34" s="238" t="s">
        <v>398</v>
      </c>
      <c r="C34" s="670" t="s">
        <v>394</v>
      </c>
      <c r="D34" s="240"/>
    </row>
    <row r="35" spans="2:4">
      <c r="B35" s="238"/>
      <c r="C35" s="239"/>
      <c r="D35" s="240"/>
    </row>
    <row r="36" spans="2:4" ht="68">
      <c r="B36" s="241" t="s">
        <v>406</v>
      </c>
      <c r="C36" s="242" t="s">
        <v>415</v>
      </c>
      <c r="D36" s="240"/>
    </row>
    <row r="37" spans="2:4" ht="17">
      <c r="B37" s="241"/>
      <c r="C37" s="689" t="s">
        <v>407</v>
      </c>
      <c r="D37" s="240"/>
    </row>
    <row r="38" spans="2:4" ht="17">
      <c r="B38" s="241"/>
      <c r="C38" s="689" t="s">
        <v>408</v>
      </c>
      <c r="D38" s="240"/>
    </row>
    <row r="39" spans="2:4" ht="17">
      <c r="B39" s="241"/>
      <c r="C39" s="689" t="s">
        <v>409</v>
      </c>
      <c r="D39" s="240"/>
    </row>
    <row r="40" spans="2:4" ht="17">
      <c r="B40" s="241"/>
      <c r="C40" s="689" t="s">
        <v>410</v>
      </c>
      <c r="D40" s="240"/>
    </row>
    <row r="41" spans="2:4" ht="17">
      <c r="B41" s="241"/>
      <c r="C41" s="689" t="s">
        <v>411</v>
      </c>
      <c r="D41" s="240"/>
    </row>
    <row r="42" spans="2:4" ht="17">
      <c r="B42" s="241"/>
      <c r="C42" s="689" t="s">
        <v>412</v>
      </c>
      <c r="D42" s="240"/>
    </row>
    <row r="43" spans="2:4" ht="17">
      <c r="B43" s="241"/>
      <c r="C43" s="689" t="s">
        <v>413</v>
      </c>
      <c r="D43" s="240"/>
    </row>
    <row r="44" spans="2:4" ht="17">
      <c r="B44" s="241"/>
      <c r="C44" s="689" t="s">
        <v>414</v>
      </c>
      <c r="D44" s="240"/>
    </row>
    <row r="45" spans="2:4" ht="17" thickBot="1">
      <c r="B45" s="246"/>
      <c r="C45" s="247"/>
      <c r="D45" s="248"/>
    </row>
  </sheetData>
  <sheetProtection password="8895" sheet="1" objects="1" scenarios="1"/>
  <hyperlinks>
    <hyperlink ref="C30" r:id="rId1" xr:uid="{00000000-0004-0000-0000-000000000000}"/>
    <hyperlink ref="C31" r:id="rId2" xr:uid="{00000000-0004-0000-0000-000001000000}"/>
    <hyperlink ref="C32" r:id="rId3" xr:uid="{00000000-0004-0000-0000-000002000000}"/>
    <hyperlink ref="C33" r:id="rId4" xr:uid="{00000000-0004-0000-0000-000003000000}"/>
    <hyperlink ref="C34" r:id="rId5" xr:uid="{00000000-0004-0000-0000-000004000000}"/>
    <hyperlink ref="C10" r:id="rId6" xr:uid="{00000000-0004-0000-0000-000005000000}"/>
    <hyperlink ref="C13" r:id="rId7" xr:uid="{00000000-0004-0000-0000-000006000000}"/>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F104"/>
  <sheetViews>
    <sheetView showGridLines="0" zoomScale="70" zoomScaleNormal="70" workbookViewId="0">
      <pane ySplit="4" topLeftCell="A5" activePane="bottomLeft" state="frozen"/>
      <selection pane="bottomLeft" activeCell="V29" sqref="V29"/>
    </sheetView>
  </sheetViews>
  <sheetFormatPr baseColWidth="10" defaultColWidth="9.1640625" defaultRowHeight="16"/>
  <cols>
    <col min="1" max="1" width="1.6640625" style="1" customWidth="1"/>
    <col min="2" max="2" width="1" style="1" customWidth="1"/>
    <col min="3" max="3" width="7.6640625" style="1" customWidth="1"/>
    <col min="4" max="4" width="1" style="1" customWidth="1"/>
    <col min="5" max="5" width="54" style="1" customWidth="1"/>
    <col min="6" max="6" width="13.5" style="1" customWidth="1"/>
    <col min="7" max="7" width="19.1640625" style="1" bestFit="1" customWidth="1"/>
    <col min="8" max="8" width="0.83203125" style="1" customWidth="1"/>
    <col min="9" max="9" width="6.6640625" style="1" customWidth="1"/>
    <col min="10" max="11" width="1.83203125" style="1" customWidth="1"/>
    <col min="12" max="12" width="1.1640625" style="1" customWidth="1"/>
    <col min="13" max="13" width="7.6640625" style="1" customWidth="1"/>
    <col min="14" max="14" width="1" style="1" customWidth="1"/>
    <col min="15" max="15" width="55.5" style="1" customWidth="1"/>
    <col min="16" max="16" width="19" style="1" customWidth="1"/>
    <col min="17" max="17" width="24.33203125" style="1" customWidth="1"/>
    <col min="18" max="18" width="0.83203125" style="1" customWidth="1"/>
    <col min="19" max="19" width="6.83203125" style="1" customWidth="1"/>
    <col min="20" max="20" width="11.1640625" style="1" customWidth="1"/>
    <col min="21" max="26" width="19.1640625" style="1" customWidth="1"/>
    <col min="27" max="27" width="0.83203125" style="1" customWidth="1"/>
    <col min="28" max="29" width="9.1640625" style="1"/>
    <col min="30" max="30" width="19.1640625" style="1" bestFit="1" customWidth="1"/>
    <col min="31" max="31" width="12.83203125" style="1" bestFit="1" customWidth="1"/>
    <col min="32" max="16384" width="9.1640625" style="1"/>
  </cols>
  <sheetData>
    <row r="1" spans="2:32" ht="7.5" customHeight="1" thickBot="1">
      <c r="B1" s="93"/>
    </row>
    <row r="2" spans="2:32" s="333" customFormat="1" ht="30" customHeight="1" thickBot="1">
      <c r="B2" s="677"/>
      <c r="C2" s="770" t="s">
        <v>267</v>
      </c>
      <c r="D2" s="770"/>
      <c r="E2" s="770"/>
      <c r="F2" s="770"/>
      <c r="G2" s="770"/>
      <c r="H2" s="770"/>
      <c r="I2" s="770"/>
      <c r="J2" s="770"/>
      <c r="K2" s="770"/>
      <c r="L2" s="770"/>
      <c r="M2" s="770"/>
      <c r="N2" s="770"/>
      <c r="O2" s="770"/>
      <c r="P2" s="770"/>
      <c r="Q2" s="770"/>
      <c r="R2" s="770"/>
      <c r="S2" s="770"/>
      <c r="T2" s="770"/>
      <c r="U2" s="409"/>
      <c r="V2" s="410"/>
      <c r="W2" s="410"/>
      <c r="X2" s="410"/>
      <c r="Y2" s="410"/>
      <c r="Z2" s="410"/>
      <c r="AA2" s="410"/>
      <c r="AB2" s="411"/>
      <c r="AD2" s="765" t="s">
        <v>494</v>
      </c>
      <c r="AE2" s="766"/>
    </row>
    <row r="3" spans="2:32" ht="18.75" customHeight="1">
      <c r="B3" s="488"/>
      <c r="C3" s="347"/>
      <c r="D3" s="347"/>
      <c r="E3" s="347"/>
      <c r="F3" s="347"/>
      <c r="G3" s="347"/>
      <c r="H3" s="347"/>
      <c r="I3" s="347"/>
      <c r="J3" s="720"/>
      <c r="K3" s="718"/>
      <c r="L3" s="676"/>
      <c r="M3" s="17"/>
      <c r="N3" s="17"/>
      <c r="O3" s="17"/>
      <c r="P3" s="17"/>
      <c r="Q3" s="17"/>
      <c r="R3" s="17"/>
      <c r="S3" s="17"/>
      <c r="T3" s="17"/>
      <c r="U3" s="347"/>
      <c r="V3" s="348"/>
      <c r="W3" s="348"/>
      <c r="X3" s="348"/>
      <c r="Y3" s="348"/>
      <c r="Z3" s="348"/>
      <c r="AA3" s="348"/>
      <c r="AB3" s="376"/>
      <c r="AD3" s="767"/>
      <c r="AE3" s="768"/>
    </row>
    <row r="4" spans="2:32" ht="35" thickBot="1">
      <c r="B4" s="12"/>
      <c r="C4" s="487" t="s">
        <v>21</v>
      </c>
      <c r="D4" s="17"/>
      <c r="F4" s="18"/>
      <c r="H4" s="473"/>
      <c r="I4" s="515" t="s">
        <v>20</v>
      </c>
      <c r="J4" s="332"/>
      <c r="K4" s="719"/>
      <c r="L4" s="377"/>
      <c r="M4" s="487" t="s">
        <v>21</v>
      </c>
      <c r="N4" s="18"/>
      <c r="O4" s="769" t="s">
        <v>15</v>
      </c>
      <c r="P4" s="769"/>
      <c r="Q4" s="498"/>
      <c r="R4" s="386"/>
      <c r="S4" s="499" t="s">
        <v>20</v>
      </c>
      <c r="T4" s="474"/>
      <c r="U4" s="17"/>
      <c r="AB4" s="332"/>
      <c r="AD4" s="701" t="s">
        <v>476</v>
      </c>
      <c r="AE4" s="728" t="s">
        <v>477</v>
      </c>
    </row>
    <row r="5" spans="2:32" ht="30" customHeight="1" thickBot="1">
      <c r="B5" s="488"/>
      <c r="C5" s="491"/>
      <c r="D5" s="348"/>
      <c r="E5" s="110" t="s">
        <v>16</v>
      </c>
      <c r="F5" s="19"/>
      <c r="G5" s="91" t="s">
        <v>14</v>
      </c>
      <c r="H5" s="492"/>
      <c r="I5" s="516" t="s">
        <v>8</v>
      </c>
      <c r="J5" s="493"/>
      <c r="L5" s="488"/>
      <c r="M5" s="348"/>
      <c r="N5" s="348"/>
      <c r="O5" s="489" t="s">
        <v>14</v>
      </c>
      <c r="P5" s="489" t="s">
        <v>163</v>
      </c>
      <c r="Q5" s="348"/>
      <c r="R5" s="490"/>
      <c r="S5" s="348"/>
      <c r="T5" s="490"/>
      <c r="U5" s="490"/>
      <c r="V5" s="348"/>
      <c r="W5" s="348"/>
      <c r="X5" s="348"/>
      <c r="Y5" s="348"/>
      <c r="Z5" s="348"/>
      <c r="AA5" s="348"/>
      <c r="AB5" s="376"/>
      <c r="AD5" s="698" t="s">
        <v>509</v>
      </c>
      <c r="AE5" s="703">
        <v>9.0377305263157889E-2</v>
      </c>
      <c r="AF5" s="740"/>
    </row>
    <row r="6" spans="2:32" ht="19" thickBot="1">
      <c r="B6" s="12"/>
      <c r="E6" s="24"/>
      <c r="F6" s="19"/>
      <c r="G6" s="23"/>
      <c r="H6" s="152"/>
      <c r="I6" s="20"/>
      <c r="J6" s="494"/>
      <c r="K6" s="18"/>
      <c r="L6" s="12"/>
      <c r="AB6" s="332"/>
      <c r="AD6" s="698" t="s">
        <v>427</v>
      </c>
      <c r="AE6" s="704">
        <v>0.15122328571428573</v>
      </c>
      <c r="AF6" s="740"/>
    </row>
    <row r="7" spans="2:32" ht="17" thickBot="1">
      <c r="B7" s="12"/>
      <c r="E7" s="2" t="s">
        <v>17</v>
      </c>
      <c r="F7" s="429" t="s">
        <v>313</v>
      </c>
      <c r="G7" s="506" t="s">
        <v>353</v>
      </c>
      <c r="H7" s="78"/>
      <c r="I7" s="20"/>
      <c r="J7" s="495"/>
      <c r="K7" s="18"/>
      <c r="L7" s="12"/>
      <c r="O7" s="2" t="s">
        <v>401</v>
      </c>
      <c r="P7" s="429" t="s">
        <v>313</v>
      </c>
      <c r="Q7" s="506" t="s">
        <v>353</v>
      </c>
      <c r="AB7" s="332"/>
      <c r="AD7" s="698" t="s">
        <v>429</v>
      </c>
      <c r="AE7" s="704">
        <v>0.15075472222222225</v>
      </c>
      <c r="AF7" s="740"/>
    </row>
    <row r="8" spans="2:32">
      <c r="B8" s="12"/>
      <c r="E8" s="532" t="s">
        <v>31</v>
      </c>
      <c r="F8" s="7" t="str">
        <f>IF($G$5="Photovoltaic","kW dc","kW ac")</f>
        <v>kW dc</v>
      </c>
      <c r="G8" s="534">
        <v>2000</v>
      </c>
      <c r="H8" s="350"/>
      <c r="I8" s="14" t="s">
        <v>8</v>
      </c>
      <c r="J8" s="496"/>
      <c r="K8" s="18"/>
      <c r="L8" s="12"/>
      <c r="M8" s="452"/>
      <c r="N8" s="1">
        <f>IF(OR(Q8&lt;=0,Q8&gt;G15),1,0)</f>
        <v>0</v>
      </c>
      <c r="O8" s="532" t="s">
        <v>485</v>
      </c>
      <c r="P8" s="533" t="s">
        <v>4</v>
      </c>
      <c r="Q8" s="575">
        <v>25</v>
      </c>
      <c r="R8" s="353"/>
      <c r="S8" s="14" t="s">
        <v>8</v>
      </c>
      <c r="T8" s="424"/>
      <c r="AB8" s="332"/>
      <c r="AD8" s="698" t="s">
        <v>428</v>
      </c>
      <c r="AE8" s="704">
        <v>0.19350838888888891</v>
      </c>
      <c r="AF8" s="740"/>
    </row>
    <row r="9" spans="2:32">
      <c r="B9" s="12"/>
      <c r="C9" s="450"/>
      <c r="E9" s="726" t="s">
        <v>501</v>
      </c>
      <c r="F9" s="697"/>
      <c r="G9" s="727" t="s">
        <v>425</v>
      </c>
      <c r="I9" s="14" t="s">
        <v>8</v>
      </c>
      <c r="J9" s="332"/>
      <c r="K9" s="18"/>
      <c r="L9" s="12"/>
      <c r="M9" s="399"/>
      <c r="O9" s="535" t="s">
        <v>227</v>
      </c>
      <c r="P9" s="7" t="s">
        <v>1</v>
      </c>
      <c r="Q9" s="536">
        <v>0</v>
      </c>
      <c r="R9" s="351"/>
      <c r="S9" s="14" t="s">
        <v>8</v>
      </c>
      <c r="T9" s="424"/>
      <c r="AB9" s="332"/>
      <c r="AD9" s="698" t="s">
        <v>430</v>
      </c>
      <c r="AE9" s="704">
        <v>0.18045645833333335</v>
      </c>
      <c r="AF9" s="740"/>
    </row>
    <row r="10" spans="2:32" ht="17" thickBot="1">
      <c r="B10" s="12"/>
      <c r="C10" s="717"/>
      <c r="E10" s="726" t="s">
        <v>426</v>
      </c>
      <c r="F10" s="700"/>
      <c r="G10" s="727" t="s">
        <v>431</v>
      </c>
      <c r="I10" s="14" t="s">
        <v>8</v>
      </c>
      <c r="J10" s="332"/>
      <c r="K10" s="18"/>
      <c r="L10" s="12"/>
      <c r="M10" s="398"/>
      <c r="O10" s="608" t="s">
        <v>402</v>
      </c>
      <c r="P10" s="543" t="s">
        <v>1</v>
      </c>
      <c r="Q10" s="609">
        <v>0</v>
      </c>
      <c r="R10" s="351"/>
      <c r="S10" s="14" t="s">
        <v>8</v>
      </c>
      <c r="T10" s="424"/>
      <c r="U10" s="18"/>
      <c r="AB10" s="332"/>
      <c r="AD10" s="698" t="s">
        <v>431</v>
      </c>
      <c r="AE10" s="704">
        <v>0.17701791999999997</v>
      </c>
      <c r="AF10" s="740"/>
    </row>
    <row r="11" spans="2:32" ht="17" thickBot="1">
      <c r="B11" s="12"/>
      <c r="C11" s="717"/>
      <c r="E11" s="535" t="s">
        <v>475</v>
      </c>
      <c r="F11" s="7" t="str">
        <f>IF($G$5="Photovoltaic","% dc","% ac")</f>
        <v>% dc</v>
      </c>
      <c r="G11" s="536">
        <v>0.15</v>
      </c>
      <c r="I11" s="14" t="s">
        <v>8</v>
      </c>
      <c r="J11" s="332"/>
      <c r="K11" s="18"/>
      <c r="L11" s="377"/>
      <c r="M11" s="18"/>
      <c r="N11" s="18"/>
      <c r="O11" s="18"/>
      <c r="P11" s="18"/>
      <c r="Q11" s="18"/>
      <c r="R11" s="18"/>
      <c r="S11" s="18"/>
      <c r="T11" s="18"/>
      <c r="U11" s="255"/>
      <c r="V11" s="255"/>
      <c r="W11" s="255"/>
      <c r="X11" s="255"/>
      <c r="Y11" s="255"/>
      <c r="Z11" s="255"/>
      <c r="AB11" s="332"/>
      <c r="AD11" s="698" t="s">
        <v>432</v>
      </c>
      <c r="AE11" s="704">
        <v>0.13725642857142858</v>
      </c>
      <c r="AF11" s="740"/>
    </row>
    <row r="12" spans="2:32" ht="17" thickBot="1">
      <c r="B12" s="12"/>
      <c r="C12" s="451"/>
      <c r="D12" s="1">
        <f>IF(OR(G12&lt;=0,G12&gt;1),1,0)</f>
        <v>0</v>
      </c>
      <c r="E12" s="539" t="s">
        <v>293</v>
      </c>
      <c r="F12" s="7"/>
      <c r="G12" s="739">
        <f>IF($G$9="Custom",$G$11,IF($G$5=$O$5,INDEX($AD$5:$AE$55,MATCH($G$10,$AD$5:$AD$55,0),2),"use Custom CF for solar thermal"))</f>
        <v>0.17701791999999997</v>
      </c>
      <c r="H12" s="351"/>
      <c r="I12" s="14" t="s">
        <v>8</v>
      </c>
      <c r="J12" s="496"/>
      <c r="K12" s="18"/>
      <c r="L12" s="377"/>
      <c r="O12" s="2" t="s">
        <v>417</v>
      </c>
      <c r="P12" s="3"/>
      <c r="Q12" s="4"/>
      <c r="R12" s="18"/>
      <c r="S12" s="14" t="s">
        <v>8</v>
      </c>
      <c r="T12" s="228"/>
      <c r="U12" s="250"/>
      <c r="V12" s="250"/>
      <c r="W12" s="250"/>
      <c r="X12" s="250"/>
      <c r="Y12" s="250"/>
      <c r="Z12" s="250"/>
      <c r="AB12" s="332"/>
      <c r="AD12" s="698" t="s">
        <v>433</v>
      </c>
      <c r="AE12" s="704">
        <v>0.14515900000000001</v>
      </c>
      <c r="AF12" s="740"/>
    </row>
    <row r="13" spans="2:32">
      <c r="B13" s="12"/>
      <c r="C13" s="364"/>
      <c r="E13" s="539" t="s">
        <v>301</v>
      </c>
      <c r="F13" s="8" t="s">
        <v>2</v>
      </c>
      <c r="G13" s="540">
        <f>G8*G12*8760</f>
        <v>3101353.9583999994</v>
      </c>
      <c r="H13" s="352"/>
      <c r="I13" s="14" t="s">
        <v>8</v>
      </c>
      <c r="J13" s="496"/>
      <c r="K13" s="18"/>
      <c r="L13" s="377"/>
      <c r="M13" s="450"/>
      <c r="O13" s="610" t="s">
        <v>277</v>
      </c>
      <c r="P13" s="611"/>
      <c r="Q13" s="612" t="s">
        <v>339</v>
      </c>
      <c r="S13" s="427" t="s">
        <v>8</v>
      </c>
      <c r="T13" s="428">
        <f>IF(Q8&lt;G15,1,0)</f>
        <v>0</v>
      </c>
      <c r="Y13" s="228"/>
      <c r="Z13" s="228"/>
      <c r="AB13" s="332"/>
      <c r="AD13" s="698" t="s">
        <v>434</v>
      </c>
      <c r="AE13" s="704">
        <v>0.15991028571428573</v>
      </c>
      <c r="AF13" s="740"/>
    </row>
    <row r="14" spans="2:32">
      <c r="B14" s="12"/>
      <c r="C14" s="450"/>
      <c r="D14" s="1">
        <f>IF(OR(G14&lt;0,G14&gt;1),1,0)</f>
        <v>0</v>
      </c>
      <c r="E14" s="541" t="s">
        <v>226</v>
      </c>
      <c r="F14" s="7" t="s">
        <v>1</v>
      </c>
      <c r="G14" s="536">
        <v>5.0000000000000001E-3</v>
      </c>
      <c r="H14" s="351"/>
      <c r="I14" s="14" t="s">
        <v>8</v>
      </c>
      <c r="J14" s="496"/>
      <c r="K14" s="18"/>
      <c r="L14" s="377"/>
      <c r="M14" s="450"/>
      <c r="N14" s="1">
        <f>IF(OR(Q14&lt;=0,Q14=""),1,0)</f>
        <v>0</v>
      </c>
      <c r="O14" s="613" t="s">
        <v>240</v>
      </c>
      <c r="P14" s="425" t="s">
        <v>56</v>
      </c>
      <c r="Q14" s="614">
        <v>5</v>
      </c>
      <c r="S14" s="427" t="s">
        <v>8</v>
      </c>
      <c r="T14" s="428">
        <f>IF(AND($Q$8&lt;$G$15,$Q$13="Year One"),1,0)</f>
        <v>0</v>
      </c>
      <c r="Y14" s="228"/>
      <c r="Z14" s="228"/>
      <c r="AB14" s="332"/>
      <c r="AD14" s="698" t="s">
        <v>435</v>
      </c>
      <c r="AE14" s="704">
        <v>0.15345157894736841</v>
      </c>
      <c r="AF14" s="740"/>
    </row>
    <row r="15" spans="2:32" ht="17" thickBot="1">
      <c r="B15" s="12"/>
      <c r="C15" s="452"/>
      <c r="D15" s="1">
        <f>IF(OR(G15&lt;1,G15&gt;30),1,0)</f>
        <v>0</v>
      </c>
      <c r="E15" s="542" t="s">
        <v>239</v>
      </c>
      <c r="F15" s="543" t="s">
        <v>4</v>
      </c>
      <c r="G15" s="544">
        <v>25</v>
      </c>
      <c r="H15" s="353"/>
      <c r="I15" s="14" t="s">
        <v>8</v>
      </c>
      <c r="J15" s="496"/>
      <c r="K15" s="18"/>
      <c r="L15" s="377"/>
      <c r="M15" s="450"/>
      <c r="N15" s="1">
        <f>IF(OR(Q15&lt;=0,Q15=""),1,0)</f>
        <v>0</v>
      </c>
      <c r="O15" s="615" t="s">
        <v>241</v>
      </c>
      <c r="P15" s="426" t="s">
        <v>1</v>
      </c>
      <c r="Q15" s="616">
        <v>0.03</v>
      </c>
      <c r="S15" s="449" t="s">
        <v>8</v>
      </c>
      <c r="T15" s="428">
        <f>IF(AND($Q$8&lt;$G$15,$Q$13="Year One"),1,0)</f>
        <v>0</v>
      </c>
      <c r="Y15" s="228"/>
      <c r="Z15" s="228"/>
      <c r="AB15" s="332"/>
      <c r="AD15" s="698" t="s">
        <v>510</v>
      </c>
      <c r="AE15" s="704">
        <v>0.16900110000000002</v>
      </c>
      <c r="AF15" s="740"/>
    </row>
    <row r="16" spans="2:32" ht="17" thickBot="1">
      <c r="B16" s="12"/>
      <c r="G16" s="20"/>
      <c r="H16" s="20"/>
      <c r="I16" s="16"/>
      <c r="J16" s="496"/>
      <c r="K16" s="18"/>
      <c r="L16" s="377"/>
      <c r="O16" s="617" t="str">
        <f>IF(OR($Q$13="Year One",$Q$8=$G$15),"","Click Here for Complex Input Worksheet")</f>
        <v/>
      </c>
      <c r="P16" s="618"/>
      <c r="Q16" s="619"/>
      <c r="S16" s="447" t="s">
        <v>8</v>
      </c>
      <c r="T16" s="428">
        <f>IF(AND($Q$8&lt;$G$15,$Q$13="Year-by-Year"),1,0)</f>
        <v>0</v>
      </c>
      <c r="U16" s="228"/>
      <c r="V16" s="228"/>
      <c r="W16" s="228"/>
      <c r="X16" s="228"/>
      <c r="Y16" s="228"/>
      <c r="Z16" s="228"/>
      <c r="AB16" s="332"/>
      <c r="AD16" s="698" t="s">
        <v>439</v>
      </c>
      <c r="AE16" s="704">
        <v>0.1383748974358974</v>
      </c>
      <c r="AF16" s="740"/>
    </row>
    <row r="17" spans="2:32" ht="17" thickBot="1">
      <c r="B17" s="12"/>
      <c r="E17" s="10" t="s">
        <v>167</v>
      </c>
      <c r="F17" s="429" t="s">
        <v>313</v>
      </c>
      <c r="G17" s="506" t="s">
        <v>353</v>
      </c>
      <c r="H17" s="362"/>
      <c r="I17" s="16"/>
      <c r="J17" s="496"/>
      <c r="K17" s="18"/>
      <c r="L17" s="377"/>
      <c r="T17" s="251"/>
      <c r="U17" s="228"/>
      <c r="V17" s="228"/>
      <c r="W17" s="228"/>
      <c r="X17" s="228"/>
      <c r="Y17" s="228"/>
      <c r="Z17" s="228"/>
      <c r="AB17" s="332"/>
      <c r="AD17" s="698" t="s">
        <v>436</v>
      </c>
      <c r="AE17" s="704">
        <v>0.16156215384615386</v>
      </c>
      <c r="AF17" s="740"/>
    </row>
    <row r="18" spans="2:32" ht="17" thickBot="1">
      <c r="B18" s="12"/>
      <c r="C18" s="400"/>
      <c r="E18" s="545" t="s">
        <v>9</v>
      </c>
      <c r="F18" s="546"/>
      <c r="G18" s="547" t="s">
        <v>511</v>
      </c>
      <c r="H18" s="360"/>
      <c r="I18" s="14" t="s">
        <v>8</v>
      </c>
      <c r="J18" s="496"/>
      <c r="K18" s="18"/>
      <c r="L18" s="377"/>
      <c r="O18" s="5" t="s">
        <v>27</v>
      </c>
      <c r="P18" s="429" t="s">
        <v>313</v>
      </c>
      <c r="Q18" s="506" t="s">
        <v>353</v>
      </c>
      <c r="R18" s="153"/>
      <c r="S18" s="16"/>
      <c r="T18" s="18"/>
      <c r="AA18" s="18"/>
      <c r="AB18" s="332"/>
      <c r="AD18" s="698" t="s">
        <v>437</v>
      </c>
      <c r="AE18" s="704">
        <v>0.14037910526315789</v>
      </c>
      <c r="AF18" s="740"/>
    </row>
    <row r="19" spans="2:32">
      <c r="B19" s="12"/>
      <c r="C19" s="401"/>
      <c r="E19" s="693" t="s">
        <v>143</v>
      </c>
      <c r="F19" s="694" t="str">
        <f>IF($G$5="Photovoltaic","$/Watt dc","$/Watt ac")</f>
        <v>$/Watt dc</v>
      </c>
      <c r="G19" s="695">
        <v>3.6</v>
      </c>
      <c r="H19" s="354"/>
      <c r="I19" s="447" t="s">
        <v>8</v>
      </c>
      <c r="J19" s="497"/>
      <c r="K19" s="18"/>
      <c r="L19" s="377"/>
      <c r="M19" s="455"/>
      <c r="O19" s="679" t="s">
        <v>502</v>
      </c>
      <c r="P19" s="680"/>
      <c r="Q19" s="681" t="s">
        <v>500</v>
      </c>
      <c r="R19" s="428">
        <f>IF(OR(Q19="Performance-Based",Q19="Neither"),1,IF(OR(Q19="Cost-Based",Q19="Neither"),2,0))</f>
        <v>1</v>
      </c>
      <c r="S19" s="14" t="s">
        <v>8</v>
      </c>
      <c r="T19" s="18"/>
      <c r="Z19" s="18"/>
      <c r="AA19" s="18"/>
      <c r="AB19" s="719"/>
      <c r="AD19" s="698" t="s">
        <v>438</v>
      </c>
      <c r="AE19" s="704">
        <v>0.13658869999999998</v>
      </c>
      <c r="AF19" s="740"/>
    </row>
    <row r="20" spans="2:32">
      <c r="B20" s="12"/>
      <c r="C20" s="402"/>
      <c r="E20" s="548" t="s">
        <v>168</v>
      </c>
      <c r="F20" s="425" t="s">
        <v>0</v>
      </c>
      <c r="G20" s="549">
        <v>3500000</v>
      </c>
      <c r="H20" s="355"/>
      <c r="I20" s="447" t="s">
        <v>8</v>
      </c>
      <c r="J20" s="496"/>
      <c r="K20" s="18"/>
      <c r="L20" s="377"/>
      <c r="M20" s="455"/>
      <c r="O20" s="541" t="s">
        <v>329</v>
      </c>
      <c r="P20" s="7"/>
      <c r="Q20" s="729" t="s">
        <v>418</v>
      </c>
      <c r="R20" s="18"/>
      <c r="S20" s="14" t="s">
        <v>8</v>
      </c>
      <c r="T20" s="18"/>
      <c r="Z20" s="18"/>
      <c r="AA20" s="18"/>
      <c r="AB20" s="719"/>
      <c r="AD20" s="698" t="s">
        <v>440</v>
      </c>
      <c r="AE20" s="704">
        <v>0.16386139130434785</v>
      </c>
      <c r="AF20" s="740"/>
    </row>
    <row r="21" spans="2:32">
      <c r="B21" s="12"/>
      <c r="C21" s="457"/>
      <c r="E21" s="548" t="s">
        <v>170</v>
      </c>
      <c r="F21" s="425" t="s">
        <v>0</v>
      </c>
      <c r="G21" s="549">
        <v>2000000</v>
      </c>
      <c r="H21" s="355"/>
      <c r="I21" s="447" t="s">
        <v>8</v>
      </c>
      <c r="J21" s="496"/>
      <c r="K21" s="18"/>
      <c r="L21" s="377"/>
      <c r="M21" s="455"/>
      <c r="N21" s="1">
        <f>IF(OR(Q21&lt;0,Q21&gt;1,Q21=""),1,0)</f>
        <v>0</v>
      </c>
      <c r="O21" s="537" t="s">
        <v>249</v>
      </c>
      <c r="P21" s="6" t="s">
        <v>1</v>
      </c>
      <c r="Q21" s="621">
        <v>0.3</v>
      </c>
      <c r="R21" s="18"/>
      <c r="S21" s="14" t="s">
        <v>8</v>
      </c>
      <c r="T21" s="18"/>
      <c r="Z21" s="18"/>
      <c r="AA21" s="18"/>
      <c r="AB21" s="755"/>
      <c r="AD21" s="698" t="s">
        <v>441</v>
      </c>
      <c r="AE21" s="704">
        <v>0.14003133333333331</v>
      </c>
      <c r="AF21" s="740"/>
    </row>
    <row r="22" spans="2:32">
      <c r="B22" s="12"/>
      <c r="C22" s="457"/>
      <c r="E22" s="550" t="s">
        <v>171</v>
      </c>
      <c r="F22" s="425" t="s">
        <v>0</v>
      </c>
      <c r="G22" s="549">
        <v>500000</v>
      </c>
      <c r="H22" s="355"/>
      <c r="I22" s="447" t="s">
        <v>8</v>
      </c>
      <c r="J22" s="496"/>
      <c r="K22" s="18"/>
      <c r="L22" s="12"/>
      <c r="N22" s="751">
        <f>IF(OR(Q22&lt;0,Q22&gt;1,Q22=""),1,0)</f>
        <v>0</v>
      </c>
      <c r="O22" s="537" t="s">
        <v>19</v>
      </c>
      <c r="P22" s="6" t="s">
        <v>1</v>
      </c>
      <c r="Q22" s="621">
        <v>1</v>
      </c>
      <c r="R22" s="752">
        <f>IF(AND($Q$19="Cost-Based",$Q$20="ITC"),1,0)</f>
        <v>0</v>
      </c>
      <c r="AB22" s="332"/>
      <c r="AD22" s="698" t="s">
        <v>442</v>
      </c>
      <c r="AE22" s="704">
        <v>0.15126782352941176</v>
      </c>
      <c r="AF22" s="740"/>
    </row>
    <row r="23" spans="2:32" ht="17" thickBot="1">
      <c r="B23" s="12"/>
      <c r="C23" s="457"/>
      <c r="E23" s="550" t="s">
        <v>172</v>
      </c>
      <c r="F23" s="425" t="s">
        <v>0</v>
      </c>
      <c r="G23" s="549">
        <v>1000000</v>
      </c>
      <c r="H23" s="355"/>
      <c r="I23" s="447" t="s">
        <v>8</v>
      </c>
      <c r="J23" s="496"/>
      <c r="K23" s="18"/>
      <c r="L23" s="377"/>
      <c r="O23" s="542" t="s">
        <v>141</v>
      </c>
      <c r="P23" s="596" t="s">
        <v>0</v>
      </c>
      <c r="Q23" s="622">
        <f>IF($G$73="Yes",IF($Q$20="ITC",IF($G$18="Complex",'Complex Inputs'!$D$121,'Cash Flow'!$C$99)*Inputs!$Q$21*Inputs!$Q$22,IF($Q$20="Cash Grant",IF($G$18="Complex",'Complex Inputs'!$D$121,'Cash Flow'!$C$99)*Inputs!$Q$21,0)),0)</f>
        <v>1548000</v>
      </c>
      <c r="R23" s="154"/>
      <c r="S23" s="14" t="s">
        <v>8</v>
      </c>
      <c r="AB23" s="332"/>
      <c r="AD23" s="698" t="s">
        <v>445</v>
      </c>
      <c r="AE23" s="704">
        <v>0.13314893333333333</v>
      </c>
      <c r="AF23" s="740"/>
    </row>
    <row r="24" spans="2:32">
      <c r="B24" s="12"/>
      <c r="C24" s="403"/>
      <c r="E24" s="550" t="s">
        <v>104</v>
      </c>
      <c r="F24" s="425" t="s">
        <v>0</v>
      </c>
      <c r="G24" s="551">
        <f>($G$54*$G$51*SUM($G$20:$G$23)+$G$48+$G$64+$Q$63+$Q$66)</f>
        <v>389914.23927504185</v>
      </c>
      <c r="H24" s="356"/>
      <c r="I24" s="447" t="s">
        <v>8</v>
      </c>
      <c r="J24" s="496"/>
      <c r="K24" s="18"/>
      <c r="L24" s="377"/>
      <c r="M24" s="455"/>
      <c r="O24" s="568" t="s">
        <v>331</v>
      </c>
      <c r="P24" s="623"/>
      <c r="Q24" s="624" t="s">
        <v>328</v>
      </c>
      <c r="S24" s="14" t="s">
        <v>8</v>
      </c>
      <c r="AB24" s="332"/>
      <c r="AD24" s="698" t="s">
        <v>444</v>
      </c>
      <c r="AE24" s="704">
        <v>0.14594820000000003</v>
      </c>
      <c r="AF24" s="740"/>
    </row>
    <row r="25" spans="2:32" ht="17" thickBot="1">
      <c r="B25" s="12"/>
      <c r="C25" s="403"/>
      <c r="E25" s="552" t="s">
        <v>333</v>
      </c>
      <c r="F25" s="553" t="str">
        <f>IF($G$18="Complex","$","")</f>
        <v/>
      </c>
      <c r="G25" s="554" t="str">
        <f>IF($G$18="Complex",'Complex Inputs'!$C$121,"")</f>
        <v/>
      </c>
      <c r="H25" s="357"/>
      <c r="I25" s="447" t="s">
        <v>8</v>
      </c>
      <c r="J25" s="496"/>
      <c r="K25" s="18"/>
      <c r="L25" s="377"/>
      <c r="M25" s="450"/>
      <c r="O25" s="535" t="s">
        <v>144</v>
      </c>
      <c r="P25" s="261" t="s">
        <v>56</v>
      </c>
      <c r="Q25" s="625">
        <v>2.2999999999999998</v>
      </c>
      <c r="R25" s="18"/>
      <c r="S25" s="14" t="s">
        <v>8</v>
      </c>
      <c r="AB25" s="332"/>
      <c r="AD25" s="698" t="s">
        <v>443</v>
      </c>
      <c r="AE25" s="704">
        <v>0.13126406666666665</v>
      </c>
      <c r="AF25" s="740"/>
    </row>
    <row r="26" spans="2:32">
      <c r="B26" s="12"/>
      <c r="C26" s="404"/>
      <c r="E26" s="555" t="s">
        <v>491</v>
      </c>
      <c r="F26" s="533" t="s">
        <v>0</v>
      </c>
      <c r="G26" s="556">
        <f>IF($G$18="Simple",($G$19*$G$8*1000),IF($G$18="Intermediate",SUM($G$20:$G$24),IF($G$18="Complex",$G$25,0)))</f>
        <v>7389914.239275042</v>
      </c>
      <c r="H26" s="357"/>
      <c r="I26" s="14" t="s">
        <v>8</v>
      </c>
      <c r="J26" s="496"/>
      <c r="K26" s="18"/>
      <c r="L26" s="12"/>
      <c r="N26" s="1">
        <f>IF(OR(Q26&lt;0,Q26&gt;1),1,0)</f>
        <v>0</v>
      </c>
      <c r="O26" s="535" t="s">
        <v>379</v>
      </c>
      <c r="P26" s="6" t="s">
        <v>1</v>
      </c>
      <c r="Q26" s="626">
        <v>1</v>
      </c>
      <c r="T26" s="18"/>
      <c r="AB26" s="332"/>
      <c r="AD26" s="698" t="s">
        <v>446</v>
      </c>
      <c r="AE26" s="704">
        <v>0.13152564516129034</v>
      </c>
      <c r="AF26" s="740"/>
    </row>
    <row r="27" spans="2:32" ht="17" thickBot="1">
      <c r="B27" s="12"/>
      <c r="C27" s="404"/>
      <c r="E27" s="696" t="s">
        <v>491</v>
      </c>
      <c r="F27" s="558" t="str">
        <f>F19</f>
        <v>$/Watt dc</v>
      </c>
      <c r="G27" s="559">
        <f>G26/G8/1000</f>
        <v>3.6949571196375208</v>
      </c>
      <c r="H27" s="363"/>
      <c r="I27" s="14" t="s">
        <v>8</v>
      </c>
      <c r="J27" s="496"/>
      <c r="K27" s="18"/>
      <c r="L27" s="377"/>
      <c r="M27" s="450"/>
      <c r="N27" s="1">
        <f>IF(OR(Q27&lt;0,Q27&gt;G15),1,0)</f>
        <v>0</v>
      </c>
      <c r="O27" s="535" t="s">
        <v>36</v>
      </c>
      <c r="P27" s="22" t="s">
        <v>35</v>
      </c>
      <c r="Q27" s="754">
        <v>10</v>
      </c>
      <c r="R27" s="18"/>
      <c r="S27" s="14" t="s">
        <v>8</v>
      </c>
      <c r="AB27" s="332"/>
      <c r="AD27" s="698" t="s">
        <v>447</v>
      </c>
      <c r="AE27" s="704">
        <v>0.13474461111111113</v>
      </c>
      <c r="AF27" s="740"/>
    </row>
    <row r="28" spans="2:32" ht="17" thickBot="1">
      <c r="B28" s="12"/>
      <c r="C28" s="405"/>
      <c r="E28" s="21"/>
      <c r="F28" s="13"/>
      <c r="G28" s="13"/>
      <c r="I28" s="20"/>
      <c r="J28" s="496"/>
      <c r="K28" s="18"/>
      <c r="L28" s="377"/>
      <c r="M28" s="450"/>
      <c r="O28" s="535" t="s">
        <v>149</v>
      </c>
      <c r="P28" s="6" t="s">
        <v>1</v>
      </c>
      <c r="Q28" s="626">
        <v>0.02</v>
      </c>
      <c r="R28" s="18"/>
      <c r="S28" s="14" t="s">
        <v>8</v>
      </c>
      <c r="T28" s="18"/>
      <c r="AB28" s="332"/>
      <c r="AD28" s="698" t="s">
        <v>449</v>
      </c>
      <c r="AE28" s="704">
        <v>0.14885788235294117</v>
      </c>
      <c r="AF28" s="740"/>
    </row>
    <row r="29" spans="2:32" ht="17" thickBot="1">
      <c r="B29" s="12"/>
      <c r="E29" s="5" t="s">
        <v>10</v>
      </c>
      <c r="F29" s="429" t="s">
        <v>313</v>
      </c>
      <c r="G29" s="506" t="s">
        <v>353</v>
      </c>
      <c r="H29" s="364"/>
      <c r="I29" s="20"/>
      <c r="J29" s="496"/>
      <c r="K29" s="18"/>
      <c r="L29" s="377"/>
      <c r="M29" s="450"/>
      <c r="O29" s="627" t="s">
        <v>505</v>
      </c>
      <c r="P29" s="628" t="s">
        <v>0</v>
      </c>
      <c r="Q29" s="629">
        <v>0</v>
      </c>
      <c r="R29" s="154"/>
      <c r="S29" s="14" t="s">
        <v>8</v>
      </c>
      <c r="T29" s="18"/>
      <c r="AB29" s="332"/>
      <c r="AD29" s="698" t="s">
        <v>448</v>
      </c>
      <c r="AE29" s="704">
        <v>0.15322899999999998</v>
      </c>
      <c r="AF29" s="740"/>
    </row>
    <row r="30" spans="2:32" ht="17" thickBot="1">
      <c r="B30" s="12"/>
      <c r="C30" s="400"/>
      <c r="E30" s="545" t="s">
        <v>9</v>
      </c>
      <c r="F30" s="546"/>
      <c r="G30" s="547" t="s">
        <v>511</v>
      </c>
      <c r="H30" s="360"/>
      <c r="I30" s="14" t="s">
        <v>8</v>
      </c>
      <c r="J30" s="496"/>
      <c r="K30" s="18"/>
      <c r="L30" s="377"/>
      <c r="M30" s="455"/>
      <c r="O30" s="542" t="s">
        <v>268</v>
      </c>
      <c r="P30" s="543"/>
      <c r="Q30" s="603" t="s">
        <v>13</v>
      </c>
      <c r="R30" s="25"/>
      <c r="S30" s="14" t="s">
        <v>8</v>
      </c>
      <c r="T30" s="18"/>
      <c r="AB30" s="332"/>
      <c r="AD30" s="698" t="s">
        <v>450</v>
      </c>
      <c r="AE30" s="704">
        <v>0.1495389375</v>
      </c>
      <c r="AF30" s="740"/>
    </row>
    <row r="31" spans="2:32" ht="17" thickBot="1">
      <c r="B31" s="12"/>
      <c r="C31" s="406"/>
      <c r="E31" s="532" t="s">
        <v>238</v>
      </c>
      <c r="F31" s="560" t="str">
        <f>IF($G$5=$O$5,"$/kW-yr dc",IF($G$5=$P$5,"$/kW-yr ac","error"))</f>
        <v>$/kW-yr dc</v>
      </c>
      <c r="G31" s="561">
        <v>6.5</v>
      </c>
      <c r="H31" s="365"/>
      <c r="I31" s="14" t="s">
        <v>8</v>
      </c>
      <c r="J31" s="496"/>
      <c r="K31" s="18"/>
      <c r="L31" s="12"/>
      <c r="AB31" s="332"/>
      <c r="AD31" s="698" t="s">
        <v>457</v>
      </c>
      <c r="AE31" s="704">
        <v>0.15266604545454546</v>
      </c>
      <c r="AF31" s="740"/>
    </row>
    <row r="32" spans="2:32" ht="17" thickBot="1">
      <c r="B32" s="12"/>
      <c r="C32" s="450"/>
      <c r="E32" s="537" t="s">
        <v>105</v>
      </c>
      <c r="F32" s="6" t="s">
        <v>106</v>
      </c>
      <c r="G32" s="562">
        <v>0</v>
      </c>
      <c r="H32" s="366"/>
      <c r="I32" s="14" t="s">
        <v>8</v>
      </c>
      <c r="J32" s="496"/>
      <c r="K32" s="18"/>
      <c r="L32" s="377"/>
      <c r="O32" s="5" t="s">
        <v>497</v>
      </c>
      <c r="P32" s="429" t="s">
        <v>313</v>
      </c>
      <c r="Q32" s="506" t="s">
        <v>353</v>
      </c>
      <c r="R32" s="18"/>
      <c r="AB32" s="332"/>
      <c r="AD32" s="698" t="s">
        <v>458</v>
      </c>
      <c r="AE32" s="704">
        <v>0.14229880000000003</v>
      </c>
      <c r="AF32" s="740"/>
    </row>
    <row r="33" spans="2:32">
      <c r="B33" s="12"/>
      <c r="C33" s="407"/>
      <c r="D33" s="18"/>
      <c r="E33" s="563" t="s">
        <v>237</v>
      </c>
      <c r="F33" s="7" t="s">
        <v>1</v>
      </c>
      <c r="G33" s="564">
        <v>1.6E-2</v>
      </c>
      <c r="H33" s="365"/>
      <c r="I33" s="14" t="s">
        <v>8</v>
      </c>
      <c r="J33" s="497"/>
      <c r="K33" s="18"/>
      <c r="L33" s="377"/>
      <c r="M33" s="455"/>
      <c r="O33" s="679" t="s">
        <v>503</v>
      </c>
      <c r="P33" s="680"/>
      <c r="Q33" s="681" t="s">
        <v>500</v>
      </c>
      <c r="S33" s="14" t="s">
        <v>8</v>
      </c>
      <c r="AB33" s="332"/>
      <c r="AD33" s="698" t="s">
        <v>451</v>
      </c>
      <c r="AE33" s="704">
        <v>0.15780880769230771</v>
      </c>
      <c r="AF33" s="740"/>
    </row>
    <row r="34" spans="2:32">
      <c r="B34" s="12"/>
      <c r="C34" s="399"/>
      <c r="E34" s="535" t="s">
        <v>235</v>
      </c>
      <c r="F34" s="7" t="s">
        <v>30</v>
      </c>
      <c r="G34" s="565">
        <v>10</v>
      </c>
      <c r="H34" s="365"/>
      <c r="I34" s="14" t="s">
        <v>8</v>
      </c>
      <c r="J34" s="497"/>
      <c r="K34" s="18"/>
      <c r="L34" s="377"/>
      <c r="M34" s="450"/>
      <c r="N34" s="1">
        <f>IF(OR(Q34&lt;0,Q34&gt;1),1,0)</f>
        <v>0</v>
      </c>
      <c r="O34" s="541" t="s">
        <v>229</v>
      </c>
      <c r="P34" s="7" t="s">
        <v>1</v>
      </c>
      <c r="Q34" s="630">
        <v>0.3</v>
      </c>
      <c r="R34" s="721">
        <f>IF(OR($Q$33="Performance-Based",$Q$33="Neither"),1,0)</f>
        <v>1</v>
      </c>
      <c r="S34" s="14" t="s">
        <v>8</v>
      </c>
      <c r="T34" s="18"/>
      <c r="AB34" s="332"/>
      <c r="AD34" s="698" t="s">
        <v>453</v>
      </c>
      <c r="AE34" s="704">
        <v>0.13193012500000001</v>
      </c>
      <c r="AF34" s="740"/>
    </row>
    <row r="35" spans="2:32" ht="17" thickBot="1">
      <c r="B35" s="12"/>
      <c r="C35" s="407"/>
      <c r="D35" s="18"/>
      <c r="E35" s="566" t="s">
        <v>236</v>
      </c>
      <c r="F35" s="543" t="s">
        <v>1</v>
      </c>
      <c r="G35" s="567">
        <v>1.6E-2</v>
      </c>
      <c r="H35" s="365"/>
      <c r="I35" s="14" t="s">
        <v>8</v>
      </c>
      <c r="J35" s="496"/>
      <c r="K35" s="18"/>
      <c r="L35" s="12"/>
      <c r="N35" s="1">
        <f>IF(OR(Q35&lt;0,Q35&gt;1),1,0)</f>
        <v>0</v>
      </c>
      <c r="O35" s="541" t="s">
        <v>28</v>
      </c>
      <c r="P35" s="7" t="s">
        <v>1</v>
      </c>
      <c r="Q35" s="630">
        <v>1</v>
      </c>
      <c r="AB35" s="332"/>
      <c r="AD35" s="698" t="s">
        <v>454</v>
      </c>
      <c r="AE35" s="704">
        <v>0.1446861111111111</v>
      </c>
      <c r="AF35" s="740"/>
    </row>
    <row r="36" spans="2:32">
      <c r="B36" s="12"/>
      <c r="C36" s="450"/>
      <c r="E36" s="568" t="s">
        <v>69</v>
      </c>
      <c r="F36" s="533" t="s">
        <v>1</v>
      </c>
      <c r="G36" s="569">
        <v>4.0000000000000001E-3</v>
      </c>
      <c r="H36" s="365"/>
      <c r="I36" s="447" t="s">
        <v>8</v>
      </c>
      <c r="J36" s="496"/>
      <c r="K36" s="18"/>
      <c r="L36" s="377"/>
      <c r="M36" s="450"/>
      <c r="N36" s="1">
        <f>IF(OR(Q36&lt;1,Q36&gt;G15),1,0)</f>
        <v>0</v>
      </c>
      <c r="O36" s="535" t="s">
        <v>34</v>
      </c>
      <c r="P36" s="22" t="s">
        <v>35</v>
      </c>
      <c r="Q36" s="754">
        <v>5</v>
      </c>
      <c r="R36" s="428"/>
      <c r="S36" s="14" t="s">
        <v>8</v>
      </c>
      <c r="AB36" s="332"/>
      <c r="AD36" s="698" t="s">
        <v>455</v>
      </c>
      <c r="AE36" s="704">
        <v>0.19511670588235294</v>
      </c>
      <c r="AF36" s="740"/>
    </row>
    <row r="37" spans="2:32" ht="17" thickBot="1">
      <c r="B37" s="12"/>
      <c r="E37" s="535" t="s">
        <v>343</v>
      </c>
      <c r="F37" s="7" t="s">
        <v>0</v>
      </c>
      <c r="G37" s="570">
        <f>$G$36*IF($G$18="Simple",$G$26,IF($G$18="Intermediate",SUM($G$20:$G$23),SUM('Complex Inputs'!$C$116:$C$119)))</f>
        <v>28000</v>
      </c>
      <c r="H37" s="365"/>
      <c r="I37" s="447" t="s">
        <v>8</v>
      </c>
      <c r="J37" s="496"/>
      <c r="K37" s="18"/>
      <c r="L37" s="12"/>
      <c r="O37" s="542" t="s">
        <v>400</v>
      </c>
      <c r="P37" s="476" t="s">
        <v>0</v>
      </c>
      <c r="Q37" s="684">
        <f>IF(AND($G$73="Yes",$Q$33="Cost-Based"),SUM('Cash Flow'!$G$177:$AJ$177),0)</f>
        <v>0</v>
      </c>
      <c r="R37" s="428"/>
      <c r="S37" s="14" t="s">
        <v>8</v>
      </c>
      <c r="AB37" s="332"/>
      <c r="AD37" s="698" t="s">
        <v>452</v>
      </c>
      <c r="AE37" s="704">
        <v>0.18556</v>
      </c>
      <c r="AF37" s="740"/>
    </row>
    <row r="38" spans="2:32">
      <c r="B38" s="12"/>
      <c r="C38" s="450"/>
      <c r="E38" s="537" t="s">
        <v>228</v>
      </c>
      <c r="F38" s="6" t="s">
        <v>11</v>
      </c>
      <c r="G38" s="571">
        <v>0</v>
      </c>
      <c r="H38" s="365"/>
      <c r="I38" s="447" t="s">
        <v>8</v>
      </c>
      <c r="J38" s="497"/>
      <c r="K38" s="18"/>
      <c r="L38" s="377"/>
      <c r="M38" s="455"/>
      <c r="O38" s="682" t="s">
        <v>332</v>
      </c>
      <c r="P38" s="6"/>
      <c r="Q38" s="683" t="s">
        <v>507</v>
      </c>
      <c r="R38" s="721">
        <f>IF(OR($Q$33="Cost-Based",$Q$33="Neither"),1,0)</f>
        <v>1</v>
      </c>
      <c r="S38" s="14" t="s">
        <v>8</v>
      </c>
      <c r="AB38" s="332"/>
      <c r="AD38" s="698" t="s">
        <v>456</v>
      </c>
      <c r="AE38" s="704">
        <v>0.13266062500000003</v>
      </c>
      <c r="AF38" s="740"/>
    </row>
    <row r="39" spans="2:32">
      <c r="B39" s="12"/>
      <c r="C39" s="450"/>
      <c r="E39" s="535" t="s">
        <v>270</v>
      </c>
      <c r="F39" s="6" t="s">
        <v>11</v>
      </c>
      <c r="G39" s="571">
        <v>50000</v>
      </c>
      <c r="H39" s="365"/>
      <c r="I39" s="447" t="s">
        <v>8</v>
      </c>
      <c r="J39" s="496"/>
      <c r="K39" s="18"/>
      <c r="L39" s="12"/>
      <c r="O39" s="535" t="s">
        <v>493</v>
      </c>
      <c r="P39" s="92" t="s">
        <v>0</v>
      </c>
      <c r="Q39" s="725">
        <v>0</v>
      </c>
      <c r="R39" s="312"/>
      <c r="S39" s="14" t="s">
        <v>8</v>
      </c>
      <c r="T39" s="18"/>
      <c r="U39" s="18"/>
      <c r="AB39" s="332"/>
      <c r="AD39" s="698" t="s">
        <v>459</v>
      </c>
      <c r="AE39" s="704">
        <v>0.13163007692307693</v>
      </c>
      <c r="AF39" s="740"/>
    </row>
    <row r="40" spans="2:32">
      <c r="B40" s="12"/>
      <c r="C40" s="450"/>
      <c r="E40" s="535" t="s">
        <v>269</v>
      </c>
      <c r="F40" s="6" t="s">
        <v>1</v>
      </c>
      <c r="G40" s="572">
        <v>-0.1</v>
      </c>
      <c r="H40" s="365"/>
      <c r="I40" s="447" t="s">
        <v>8</v>
      </c>
      <c r="J40" s="496"/>
      <c r="K40" s="18"/>
      <c r="L40" s="377"/>
      <c r="M40" s="455"/>
      <c r="O40" s="535" t="s">
        <v>508</v>
      </c>
      <c r="P40" s="11"/>
      <c r="Q40" s="631" t="s">
        <v>13</v>
      </c>
      <c r="R40" s="721">
        <f>IF(OR($Q$33="Cost-Based",$Q$33="Neither",$Q$38="Tax Credit"),1,0)</f>
        <v>1</v>
      </c>
      <c r="S40" s="14" t="s">
        <v>8</v>
      </c>
      <c r="U40" s="430"/>
      <c r="AB40" s="332"/>
      <c r="AD40" s="698" t="s">
        <v>460</v>
      </c>
      <c r="AE40" s="704">
        <v>0.16546093333333334</v>
      </c>
      <c r="AF40" s="740"/>
    </row>
    <row r="41" spans="2:32">
      <c r="B41" s="12"/>
      <c r="C41" s="450"/>
      <c r="E41" s="535" t="s">
        <v>357</v>
      </c>
      <c r="F41" s="6" t="s">
        <v>11</v>
      </c>
      <c r="G41" s="571">
        <v>5000</v>
      </c>
      <c r="H41" s="365"/>
      <c r="I41" s="447" t="s">
        <v>8</v>
      </c>
      <c r="J41" s="332"/>
      <c r="K41" s="18"/>
      <c r="L41" s="377"/>
      <c r="M41" s="450"/>
      <c r="O41" s="535" t="s">
        <v>495</v>
      </c>
      <c r="P41" s="261" t="s">
        <v>56</v>
      </c>
      <c r="Q41" s="625">
        <v>1.5</v>
      </c>
      <c r="R41" s="312"/>
      <c r="S41" s="14" t="s">
        <v>8</v>
      </c>
      <c r="T41" s="428">
        <f>IF(OR($Q$33="Cost-Based",$Q$33="Neither",$Q$38="Tax Credit"),1,0)</f>
        <v>1</v>
      </c>
      <c r="AB41" s="332"/>
      <c r="AD41" s="698" t="s">
        <v>461</v>
      </c>
      <c r="AE41" s="704">
        <v>0.14561410526315791</v>
      </c>
      <c r="AF41" s="740"/>
    </row>
    <row r="42" spans="2:32">
      <c r="B42" s="12"/>
      <c r="C42" s="450"/>
      <c r="E42" s="537" t="s">
        <v>121</v>
      </c>
      <c r="F42" s="6" t="s">
        <v>1</v>
      </c>
      <c r="G42" s="572">
        <v>0.03</v>
      </c>
      <c r="H42" s="365"/>
      <c r="I42" s="447" t="s">
        <v>8</v>
      </c>
      <c r="J42" s="496"/>
      <c r="K42" s="18"/>
      <c r="L42" s="12"/>
      <c r="N42" s="753">
        <f>IF(OR(Q42&lt;0,Q42&gt;1),1,0)</f>
        <v>0</v>
      </c>
      <c r="O42" s="535" t="s">
        <v>166</v>
      </c>
      <c r="P42" s="7" t="s">
        <v>1</v>
      </c>
      <c r="Q42" s="626">
        <v>1</v>
      </c>
      <c r="T42" s="428"/>
      <c r="U42" s="25"/>
      <c r="AB42" s="332"/>
      <c r="AD42" s="698" t="s">
        <v>462</v>
      </c>
      <c r="AE42" s="704">
        <v>0.13503780952380953</v>
      </c>
      <c r="AF42" s="740"/>
    </row>
    <row r="43" spans="2:32" ht="17" thickBot="1">
      <c r="B43" s="12"/>
      <c r="E43" s="542" t="s">
        <v>344</v>
      </c>
      <c r="F43" s="543" t="s">
        <v>0</v>
      </c>
      <c r="G43" s="573">
        <f>-'Cash Flow'!G34</f>
        <v>29819.518310015992</v>
      </c>
      <c r="H43" s="365"/>
      <c r="I43" s="447" t="s">
        <v>8</v>
      </c>
      <c r="J43" s="332"/>
      <c r="K43" s="18"/>
      <c r="L43" s="377"/>
      <c r="M43" s="450"/>
      <c r="N43" s="1">
        <f>IF(OR(Q43&lt;0,Q43&gt;G15),1,0)</f>
        <v>0</v>
      </c>
      <c r="O43" s="535" t="s">
        <v>506</v>
      </c>
      <c r="P43" s="22" t="s">
        <v>35</v>
      </c>
      <c r="Q43" s="754">
        <v>10</v>
      </c>
      <c r="R43" s="25"/>
      <c r="S43" s="14" t="s">
        <v>8</v>
      </c>
      <c r="U43" s="25"/>
      <c r="AB43" s="332"/>
      <c r="AD43" s="698" t="s">
        <v>463</v>
      </c>
      <c r="AE43" s="704">
        <v>0.13814799999999999</v>
      </c>
      <c r="AF43" s="740"/>
    </row>
    <row r="44" spans="2:32" ht="17" thickBot="1">
      <c r="B44" s="12"/>
      <c r="C44" s="408"/>
      <c r="E44" s="13"/>
      <c r="F44" s="13"/>
      <c r="G44" s="13"/>
      <c r="I44" s="20"/>
      <c r="J44" s="496"/>
      <c r="K44" s="18"/>
      <c r="L44" s="377"/>
      <c r="M44" s="450"/>
      <c r="O44" s="535" t="s">
        <v>496</v>
      </c>
      <c r="P44" s="6" t="s">
        <v>1</v>
      </c>
      <c r="Q44" s="626">
        <v>0.02</v>
      </c>
      <c r="R44" s="18"/>
      <c r="S44" s="14" t="s">
        <v>8</v>
      </c>
      <c r="T44" s="428"/>
      <c r="U44" s="446"/>
      <c r="AB44" s="332"/>
      <c r="AD44" s="698" t="s">
        <v>464</v>
      </c>
      <c r="AE44" s="704">
        <v>0.15785109999999997</v>
      </c>
      <c r="AF44" s="740"/>
    </row>
    <row r="45" spans="2:32" ht="17" thickBot="1">
      <c r="B45" s="12"/>
      <c r="C45" s="408"/>
      <c r="E45" s="5" t="s">
        <v>219</v>
      </c>
      <c r="F45" s="429" t="s">
        <v>313</v>
      </c>
      <c r="G45" s="506" t="s">
        <v>353</v>
      </c>
      <c r="H45" s="368"/>
      <c r="I45" s="20"/>
      <c r="J45" s="496"/>
      <c r="K45" s="18"/>
      <c r="L45" s="377"/>
      <c r="M45" s="450"/>
      <c r="N45" s="18"/>
      <c r="O45" s="722" t="s">
        <v>504</v>
      </c>
      <c r="P45" s="605" t="s">
        <v>32</v>
      </c>
      <c r="Q45" s="723">
        <v>0</v>
      </c>
      <c r="S45" s="14" t="s">
        <v>8</v>
      </c>
      <c r="U45" s="25"/>
      <c r="AB45" s="332"/>
      <c r="AD45" s="698" t="s">
        <v>465</v>
      </c>
      <c r="AE45" s="704">
        <v>0.14783954545454545</v>
      </c>
      <c r="AF45" s="740"/>
    </row>
    <row r="46" spans="2:32">
      <c r="B46" s="12"/>
      <c r="C46" s="453"/>
      <c r="E46" s="574" t="s">
        <v>5</v>
      </c>
      <c r="F46" s="533" t="s">
        <v>39</v>
      </c>
      <c r="G46" s="575">
        <v>6</v>
      </c>
      <c r="H46" s="368"/>
      <c r="I46" s="14" t="s">
        <v>8</v>
      </c>
      <c r="J46" s="496"/>
      <c r="K46" s="18"/>
      <c r="L46" s="12"/>
      <c r="O46" s="535" t="s">
        <v>490</v>
      </c>
      <c r="P46" s="22" t="s">
        <v>0</v>
      </c>
      <c r="Q46" s="724">
        <v>500000</v>
      </c>
      <c r="S46" s="14" t="s">
        <v>8</v>
      </c>
      <c r="U46" s="25"/>
      <c r="AB46" s="332"/>
      <c r="AD46" s="698" t="s">
        <v>466</v>
      </c>
      <c r="AE46" s="704">
        <v>0.14919450000000001</v>
      </c>
      <c r="AF46" s="740"/>
    </row>
    <row r="47" spans="2:32" ht="17" thickBot="1">
      <c r="B47" s="12"/>
      <c r="C47" s="453"/>
      <c r="E47" s="563" t="s">
        <v>38</v>
      </c>
      <c r="F47" s="7" t="s">
        <v>1</v>
      </c>
      <c r="G47" s="564">
        <v>0.05</v>
      </c>
      <c r="H47" s="368"/>
      <c r="I47" s="14" t="s">
        <v>8</v>
      </c>
      <c r="J47" s="496"/>
      <c r="K47" s="18"/>
      <c r="L47" s="377"/>
      <c r="M47" s="455"/>
      <c r="O47" s="542" t="s">
        <v>492</v>
      </c>
      <c r="P47" s="543"/>
      <c r="Q47" s="603" t="s">
        <v>13</v>
      </c>
      <c r="R47" s="25"/>
      <c r="S47" s="14" t="s">
        <v>8</v>
      </c>
      <c r="U47" s="18"/>
      <c r="AB47" s="332"/>
      <c r="AD47" s="698" t="s">
        <v>467</v>
      </c>
      <c r="AE47" s="704">
        <v>0.16158443333333339</v>
      </c>
      <c r="AF47" s="740"/>
    </row>
    <row r="48" spans="2:32" ht="17" thickBot="1">
      <c r="B48" s="12"/>
      <c r="C48" s="408"/>
      <c r="E48" s="566" t="s">
        <v>40</v>
      </c>
      <c r="F48" s="558" t="s">
        <v>0</v>
      </c>
      <c r="G48" s="573">
        <f>IF($G$18="intermediate",SUM(G20:G23)*($G$47/12)*($G$46/2),IF($G$18="complex",'Complex Inputs'!$C$107,0))</f>
        <v>87500</v>
      </c>
      <c r="H48" s="368"/>
      <c r="I48" s="14" t="s">
        <v>8</v>
      </c>
      <c r="J48" s="496"/>
      <c r="K48" s="18"/>
      <c r="L48" s="12"/>
      <c r="U48" s="379"/>
      <c r="AB48" s="332"/>
      <c r="AD48" s="698" t="s">
        <v>468</v>
      </c>
      <c r="AE48" s="704">
        <v>0.1788548461538462</v>
      </c>
      <c r="AF48" s="740"/>
    </row>
    <row r="49" spans="2:32" ht="17" thickBot="1">
      <c r="B49" s="12"/>
      <c r="G49" s="256"/>
      <c r="H49" s="256"/>
      <c r="I49" s="20"/>
      <c r="J49" s="496"/>
      <c r="K49" s="18"/>
      <c r="L49" s="377"/>
      <c r="M49" s="18"/>
      <c r="N49" s="18"/>
      <c r="O49" s="5" t="s">
        <v>302</v>
      </c>
      <c r="P49" s="27"/>
      <c r="Q49" s="506" t="s">
        <v>353</v>
      </c>
      <c r="R49" s="18"/>
      <c r="S49" s="18"/>
      <c r="T49" s="18"/>
      <c r="U49" s="18"/>
      <c r="AB49" s="332"/>
      <c r="AD49" s="698" t="s">
        <v>470</v>
      </c>
      <c r="AE49" s="704">
        <v>0.14856019354838715</v>
      </c>
      <c r="AF49" s="740"/>
    </row>
    <row r="50" spans="2:32" ht="17" thickBot="1">
      <c r="B50" s="12"/>
      <c r="C50" s="408"/>
      <c r="E50" s="5" t="s">
        <v>37</v>
      </c>
      <c r="F50" s="429" t="s">
        <v>313</v>
      </c>
      <c r="G50" s="506" t="s">
        <v>353</v>
      </c>
      <c r="H50" s="368"/>
      <c r="I50" s="500"/>
      <c r="J50" s="496"/>
      <c r="K50" s="18"/>
      <c r="L50" s="377"/>
      <c r="M50" s="456"/>
      <c r="N50" s="18">
        <f>IF(OR(Q50&lt;1,Q50&gt;$G$15),1,0)</f>
        <v>0</v>
      </c>
      <c r="O50" s="574" t="s">
        <v>67</v>
      </c>
      <c r="P50" s="628" t="s">
        <v>30</v>
      </c>
      <c r="Q50" s="632">
        <v>10</v>
      </c>
      <c r="R50" s="18"/>
      <c r="S50" s="14" t="s">
        <v>8</v>
      </c>
      <c r="T50" s="18"/>
      <c r="U50" s="18"/>
      <c r="AB50" s="332"/>
      <c r="AD50" s="698" t="s">
        <v>469</v>
      </c>
      <c r="AE50" s="704">
        <v>0.12892275</v>
      </c>
      <c r="AF50" s="740"/>
    </row>
    <row r="51" spans="2:32">
      <c r="B51" s="12"/>
      <c r="C51" s="450"/>
      <c r="D51" s="1">
        <f>IF(OR(G51="",G51&lt;0,G51&gt;1),1,0)</f>
        <v>0</v>
      </c>
      <c r="E51" s="568" t="s">
        <v>271</v>
      </c>
      <c r="F51" s="533" t="s">
        <v>1</v>
      </c>
      <c r="G51" s="576">
        <v>0.45</v>
      </c>
      <c r="H51" s="369"/>
      <c r="I51" s="14" t="s">
        <v>8</v>
      </c>
      <c r="J51" s="497"/>
      <c r="K51" s="18"/>
      <c r="L51" s="377"/>
      <c r="M51" s="407"/>
      <c r="N51" s="18"/>
      <c r="O51" s="563" t="s">
        <v>279</v>
      </c>
      <c r="P51" s="22" t="str">
        <f>F19</f>
        <v>$/Watt dc</v>
      </c>
      <c r="Q51" s="633">
        <v>0.23499999999999999</v>
      </c>
      <c r="R51" s="18"/>
      <c r="S51" s="14" t="s">
        <v>8</v>
      </c>
      <c r="T51" s="18"/>
      <c r="U51" s="18"/>
      <c r="AB51" s="332"/>
      <c r="AD51" s="698" t="s">
        <v>471</v>
      </c>
      <c r="AE51" s="704">
        <v>0.13182176551724137</v>
      </c>
      <c r="AF51" s="740"/>
    </row>
    <row r="52" spans="2:32">
      <c r="B52" s="12"/>
      <c r="C52" s="450"/>
      <c r="D52" s="1">
        <f>IF(OR(G52&lt;=0,G52&gt;G15),1,0)</f>
        <v>0</v>
      </c>
      <c r="E52" s="535" t="s">
        <v>482</v>
      </c>
      <c r="F52" s="6" t="s">
        <v>4</v>
      </c>
      <c r="G52" s="565">
        <v>18</v>
      </c>
      <c r="H52" s="353"/>
      <c r="I52" s="14" t="s">
        <v>8</v>
      </c>
      <c r="J52" s="497"/>
      <c r="K52" s="18"/>
      <c r="L52" s="377"/>
      <c r="M52" s="456"/>
      <c r="N52" s="18">
        <f>IF(OR(Q52&lt;=Q50,Q52&gt;$G$15),1,0)</f>
        <v>0</v>
      </c>
      <c r="O52" s="563" t="s">
        <v>68</v>
      </c>
      <c r="P52" s="22" t="s">
        <v>30</v>
      </c>
      <c r="Q52" s="538">
        <v>20</v>
      </c>
      <c r="R52" s="18"/>
      <c r="S52" s="14" t="s">
        <v>8</v>
      </c>
      <c r="T52" s="18"/>
      <c r="U52" s="18"/>
      <c r="AB52" s="332"/>
      <c r="AD52" s="698" t="s">
        <v>473</v>
      </c>
      <c r="AE52" s="704">
        <v>0.13659035</v>
      </c>
      <c r="AF52" s="740"/>
    </row>
    <row r="53" spans="2:32" ht="17" thickBot="1">
      <c r="B53" s="12"/>
      <c r="C53" s="453"/>
      <c r="D53" s="1">
        <f>IF(OR(G53&lt;0,G53=""),1,0)</f>
        <v>0</v>
      </c>
      <c r="E53" s="535" t="s">
        <v>234</v>
      </c>
      <c r="F53" s="7" t="s">
        <v>1</v>
      </c>
      <c r="G53" s="577">
        <v>7.0000000000000007E-2</v>
      </c>
      <c r="H53" s="370"/>
      <c r="I53" s="14" t="s">
        <v>8</v>
      </c>
      <c r="J53" s="497"/>
      <c r="K53" s="18"/>
      <c r="L53" s="377"/>
      <c r="M53" s="407"/>
      <c r="N53" s="18"/>
      <c r="O53" s="566" t="s">
        <v>280</v>
      </c>
      <c r="P53" s="476" t="str">
        <f>F19</f>
        <v>$/Watt dc</v>
      </c>
      <c r="Q53" s="634">
        <v>0.23499999999999999</v>
      </c>
      <c r="R53" s="18"/>
      <c r="S53" s="14" t="s">
        <v>8</v>
      </c>
      <c r="T53" s="18"/>
      <c r="U53" s="18"/>
      <c r="AB53" s="332"/>
      <c r="AD53" s="698" t="s">
        <v>472</v>
      </c>
      <c r="AE53" s="704">
        <v>0.13070636363636362</v>
      </c>
      <c r="AF53" s="740"/>
    </row>
    <row r="54" spans="2:32" ht="17" thickBot="1">
      <c r="B54" s="12"/>
      <c r="C54" s="450"/>
      <c r="D54" s="1">
        <f>IF(OR(G54&lt;0,G54=""),1,0)</f>
        <v>0</v>
      </c>
      <c r="E54" s="578" t="s">
        <v>51</v>
      </c>
      <c r="F54" s="543" t="s">
        <v>1</v>
      </c>
      <c r="G54" s="579">
        <v>0.03</v>
      </c>
      <c r="H54" s="351"/>
      <c r="I54" s="14" t="s">
        <v>8</v>
      </c>
      <c r="J54" s="496"/>
      <c r="K54" s="18"/>
      <c r="L54" s="377"/>
      <c r="M54" s="18"/>
      <c r="N54" s="18"/>
      <c r="R54" s="18"/>
      <c r="T54" s="18"/>
      <c r="U54" s="18"/>
      <c r="AB54" s="332"/>
      <c r="AD54" s="699" t="s">
        <v>474</v>
      </c>
      <c r="AE54" s="702">
        <v>0.17076261538461537</v>
      </c>
      <c r="AF54" s="740"/>
    </row>
    <row r="55" spans="2:32" ht="17" thickBot="1">
      <c r="B55" s="12"/>
      <c r="C55" s="450"/>
      <c r="E55" s="580" t="s">
        <v>247</v>
      </c>
      <c r="F55" s="581"/>
      <c r="G55" s="582">
        <v>1.2</v>
      </c>
      <c r="H55" s="358"/>
      <c r="I55" s="14" t="s">
        <v>8</v>
      </c>
      <c r="J55" s="496"/>
      <c r="K55" s="18"/>
      <c r="L55" s="377"/>
      <c r="M55" s="18"/>
      <c r="N55" s="18"/>
      <c r="O55" s="5" t="s">
        <v>48</v>
      </c>
      <c r="P55" s="429" t="s">
        <v>313</v>
      </c>
      <c r="Q55" s="506" t="s">
        <v>353</v>
      </c>
      <c r="R55" s="18"/>
      <c r="S55" s="18"/>
      <c r="T55" s="18"/>
      <c r="U55" s="18"/>
      <c r="AB55" s="332"/>
      <c r="AD55" s="741"/>
      <c r="AE55" s="742"/>
    </row>
    <row r="56" spans="2:32">
      <c r="B56" s="12"/>
      <c r="E56" s="583" t="s">
        <v>248</v>
      </c>
      <c r="F56" s="334">
        <f>MAX('Cash Flow'!G42:AJ42)</f>
        <v>18</v>
      </c>
      <c r="G56" s="584">
        <f>ROUND('Cash Flow'!$F$41,2)</f>
        <v>2.48</v>
      </c>
      <c r="H56" s="359"/>
      <c r="I56" s="14" t="s">
        <v>8</v>
      </c>
      <c r="J56" s="496"/>
      <c r="K56" s="18"/>
      <c r="L56" s="377"/>
      <c r="M56" s="18"/>
      <c r="N56" s="18"/>
      <c r="O56" s="635" t="s">
        <v>47</v>
      </c>
      <c r="P56" s="636"/>
      <c r="Q56" s="637"/>
      <c r="R56" s="18"/>
      <c r="S56" s="18"/>
      <c r="T56" s="18"/>
      <c r="AB56" s="332"/>
    </row>
    <row r="57" spans="2:32">
      <c r="B57" s="12"/>
      <c r="C57" s="450"/>
      <c r="E57" s="583" t="s">
        <v>351</v>
      </c>
      <c r="F57" s="11" t="s">
        <v>216</v>
      </c>
      <c r="G57" s="585" t="str">
        <f>IF($G$56&gt;=$G$55,"Pass","Fail")</f>
        <v>Pass</v>
      </c>
      <c r="H57" s="501"/>
      <c r="I57" s="14" t="s">
        <v>8</v>
      </c>
      <c r="J57" s="497"/>
      <c r="K57" s="18"/>
      <c r="L57" s="377"/>
      <c r="M57" s="455"/>
      <c r="N57" s="18"/>
      <c r="O57" s="638" t="s">
        <v>49</v>
      </c>
      <c r="P57" s="507"/>
      <c r="Q57" s="631" t="s">
        <v>338</v>
      </c>
      <c r="R57" s="18"/>
      <c r="S57" s="14" t="s">
        <v>8</v>
      </c>
      <c r="T57" s="18"/>
      <c r="U57" s="18"/>
      <c r="AB57" s="332"/>
    </row>
    <row r="58" spans="2:32" ht="17" thickBot="1">
      <c r="B58" s="12"/>
      <c r="C58" s="450"/>
      <c r="E58" s="583" t="s">
        <v>276</v>
      </c>
      <c r="F58" s="11"/>
      <c r="G58" s="586">
        <v>1.45</v>
      </c>
      <c r="H58" s="358"/>
      <c r="I58" s="14" t="s">
        <v>8</v>
      </c>
      <c r="J58" s="496"/>
      <c r="K58" s="18"/>
      <c r="L58" s="377"/>
      <c r="M58" s="456"/>
      <c r="N58" s="18"/>
      <c r="O58" s="566" t="s">
        <v>50</v>
      </c>
      <c r="P58" s="476" t="s">
        <v>0</v>
      </c>
      <c r="Q58" s="592">
        <v>0</v>
      </c>
      <c r="R58" s="18"/>
      <c r="S58" s="14" t="s">
        <v>8</v>
      </c>
      <c r="T58" s="18"/>
      <c r="U58" s="466"/>
      <c r="AB58" s="332"/>
    </row>
    <row r="59" spans="2:32" ht="17" thickBot="1">
      <c r="B59" s="12"/>
      <c r="E59" s="583" t="s">
        <v>275</v>
      </c>
      <c r="F59" s="334"/>
      <c r="G59" s="584">
        <f>ROUND('Cash Flow'!$E$41,2)</f>
        <v>2.58</v>
      </c>
      <c r="H59" s="359"/>
      <c r="I59" s="14" t="s">
        <v>8</v>
      </c>
      <c r="J59" s="496"/>
      <c r="K59" s="18"/>
      <c r="L59" s="377"/>
      <c r="U59" s="466"/>
      <c r="AB59" s="332"/>
    </row>
    <row r="60" spans="2:32" ht="17" thickBot="1">
      <c r="B60" s="12"/>
      <c r="C60" s="450"/>
      <c r="E60" s="557" t="s">
        <v>352</v>
      </c>
      <c r="F60" s="558" t="s">
        <v>216</v>
      </c>
      <c r="G60" s="587" t="str">
        <f>IF($G$59&gt;=$G$58,"Pass","Fail")</f>
        <v>Pass</v>
      </c>
      <c r="H60" s="501"/>
      <c r="I60" s="14" t="s">
        <v>8</v>
      </c>
      <c r="J60" s="496"/>
      <c r="K60" s="18"/>
      <c r="L60" s="377"/>
      <c r="M60" s="18"/>
      <c r="N60" s="18"/>
      <c r="O60" s="5" t="s">
        <v>41</v>
      </c>
      <c r="P60" s="429" t="s">
        <v>313</v>
      </c>
      <c r="Q60" s="506" t="s">
        <v>353</v>
      </c>
      <c r="R60" s="18"/>
      <c r="S60" s="18"/>
      <c r="T60" s="18"/>
      <c r="U60" s="459"/>
      <c r="AB60" s="332"/>
    </row>
    <row r="61" spans="2:32">
      <c r="B61" s="12"/>
      <c r="E61" s="555" t="s">
        <v>355</v>
      </c>
      <c r="F61" s="533" t="s">
        <v>1</v>
      </c>
      <c r="G61" s="588">
        <f>1-G51</f>
        <v>0.55000000000000004</v>
      </c>
      <c r="H61" s="371"/>
      <c r="I61" s="14" t="s">
        <v>8</v>
      </c>
      <c r="J61" s="496"/>
      <c r="K61" s="18"/>
      <c r="L61" s="377"/>
      <c r="M61" s="18"/>
      <c r="N61" s="18"/>
      <c r="O61" s="639" t="s">
        <v>42</v>
      </c>
      <c r="P61" s="640"/>
      <c r="Q61" s="641"/>
      <c r="R61" s="18"/>
      <c r="S61" s="18"/>
      <c r="T61" s="18"/>
      <c r="U61" s="18"/>
      <c r="AB61" s="332"/>
    </row>
    <row r="62" spans="2:32" ht="17" thickBot="1">
      <c r="B62" s="12"/>
      <c r="C62" s="450"/>
      <c r="D62" s="1">
        <f>IF(OR(G62&lt;0,G62=""),1,0)</f>
        <v>0</v>
      </c>
      <c r="E62" s="589" t="s">
        <v>294</v>
      </c>
      <c r="F62" s="543" t="s">
        <v>1</v>
      </c>
      <c r="G62" s="590">
        <v>0.12</v>
      </c>
      <c r="H62" s="370"/>
      <c r="I62" s="14" t="s">
        <v>8</v>
      </c>
      <c r="J62" s="496"/>
      <c r="K62" s="18"/>
      <c r="L62" s="377"/>
      <c r="M62" s="456"/>
      <c r="N62" s="18"/>
      <c r="O62" s="535" t="s">
        <v>46</v>
      </c>
      <c r="P62" s="7" t="s">
        <v>39</v>
      </c>
      <c r="Q62" s="565">
        <v>6</v>
      </c>
      <c r="R62" s="18"/>
      <c r="S62" s="14" t="s">
        <v>8</v>
      </c>
      <c r="T62" s="18"/>
      <c r="U62" s="18"/>
      <c r="AB62" s="332"/>
    </row>
    <row r="63" spans="2:32" ht="17" thickBot="1">
      <c r="B63" s="12"/>
      <c r="E63" s="568" t="s">
        <v>336</v>
      </c>
      <c r="F63" s="533" t="s">
        <v>1</v>
      </c>
      <c r="G63" s="591">
        <f>(G62*F68)+(F67*G53*(1-G78))</f>
        <v>8.6595332908191228E-2</v>
      </c>
      <c r="I63" s="14" t="s">
        <v>8</v>
      </c>
      <c r="J63" s="332"/>
      <c r="K63" s="18"/>
      <c r="L63" s="377"/>
      <c r="M63" s="18"/>
      <c r="N63" s="18"/>
      <c r="O63" s="542" t="s">
        <v>45</v>
      </c>
      <c r="P63" s="543" t="s">
        <v>0</v>
      </c>
      <c r="Q63" s="642">
        <f>-'Cash Flow'!$G$85/12*$Q$62</f>
        <v>156574.84761192015</v>
      </c>
      <c r="R63" s="18"/>
      <c r="S63" s="14" t="s">
        <v>8</v>
      </c>
      <c r="T63" s="18"/>
      <c r="U63" s="18"/>
      <c r="AB63" s="332"/>
    </row>
    <row r="64" spans="2:32" ht="17" thickBot="1">
      <c r="B64" s="12"/>
      <c r="C64" s="450"/>
      <c r="E64" s="578" t="s">
        <v>200</v>
      </c>
      <c r="F64" s="543" t="s">
        <v>0</v>
      </c>
      <c r="G64" s="592">
        <v>0</v>
      </c>
      <c r="H64" s="367"/>
      <c r="I64" s="14" t="s">
        <v>8</v>
      </c>
      <c r="J64" s="332"/>
      <c r="K64" s="18"/>
      <c r="L64" s="377"/>
      <c r="M64" s="18"/>
      <c r="N64" s="18"/>
      <c r="O64" s="639" t="s">
        <v>66</v>
      </c>
      <c r="P64" s="640"/>
      <c r="Q64" s="643"/>
      <c r="R64" s="18"/>
      <c r="S64" s="18"/>
      <c r="T64" s="18"/>
      <c r="U64" s="18"/>
      <c r="AB64" s="332"/>
    </row>
    <row r="65" spans="2:28" ht="17" thickBot="1">
      <c r="B65" s="12"/>
      <c r="J65" s="332"/>
      <c r="K65" s="18"/>
      <c r="L65" s="377"/>
      <c r="M65" s="456"/>
      <c r="N65" s="18"/>
      <c r="O65" s="563" t="s">
        <v>43</v>
      </c>
      <c r="P65" s="7" t="s">
        <v>39</v>
      </c>
      <c r="Q65" s="565">
        <v>6</v>
      </c>
      <c r="R65" s="18"/>
      <c r="S65" s="14" t="s">
        <v>8</v>
      </c>
      <c r="T65" s="18"/>
      <c r="AB65" s="332"/>
    </row>
    <row r="66" spans="2:28" ht="17" thickBot="1">
      <c r="B66" s="377"/>
      <c r="E66" s="396" t="s">
        <v>274</v>
      </c>
      <c r="F66" s="27"/>
      <c r="G66" s="397"/>
      <c r="J66" s="332"/>
      <c r="L66" s="377"/>
      <c r="M66" s="18"/>
      <c r="N66" s="18"/>
      <c r="O66" s="566" t="s">
        <v>44</v>
      </c>
      <c r="P66" s="543" t="s">
        <v>0</v>
      </c>
      <c r="Q66" s="642">
        <f>-(AVERAGE('Cash Flow'!G36:AJ36)/12*$Q$65)</f>
        <v>51339.391663121729</v>
      </c>
      <c r="R66" s="18"/>
      <c r="S66" s="14" t="s">
        <v>8</v>
      </c>
      <c r="T66" s="18"/>
      <c r="U66" s="18"/>
      <c r="AB66" s="332"/>
    </row>
    <row r="67" spans="2:28" ht="17" thickBot="1">
      <c r="B67" s="377"/>
      <c r="E67" s="568" t="s">
        <v>272</v>
      </c>
      <c r="F67" s="686">
        <f>G67/$G$70</f>
        <v>0.42625663817027165</v>
      </c>
      <c r="G67" s="593">
        <f>'Cash Flow'!F82</f>
        <v>3150000</v>
      </c>
      <c r="I67" s="14" t="s">
        <v>8</v>
      </c>
      <c r="J67" s="332"/>
      <c r="K67" s="18"/>
      <c r="L67" s="377"/>
      <c r="M67" s="456"/>
      <c r="N67" s="18"/>
      <c r="O67" s="645" t="s">
        <v>153</v>
      </c>
      <c r="P67" s="546" t="s">
        <v>1</v>
      </c>
      <c r="Q67" s="644">
        <v>0.02</v>
      </c>
      <c r="R67" s="18"/>
      <c r="S67" s="14" t="s">
        <v>8</v>
      </c>
      <c r="T67" s="18"/>
      <c r="AB67" s="332"/>
    </row>
    <row r="68" spans="2:28" ht="17" thickBot="1">
      <c r="B68" s="377"/>
      <c r="E68" s="535" t="s">
        <v>273</v>
      </c>
      <c r="F68" s="685">
        <f>G68/$G$70</f>
        <v>0.57374336182972829</v>
      </c>
      <c r="G68" s="570">
        <f>-'Cash Flow'!$F$52</f>
        <v>4239914.239275042</v>
      </c>
      <c r="I68" s="14" t="s">
        <v>8</v>
      </c>
      <c r="J68" s="332"/>
      <c r="L68" s="12"/>
      <c r="AB68" s="332"/>
    </row>
    <row r="69" spans="2:28" ht="17" thickBot="1">
      <c r="B69" s="12"/>
      <c r="E69" s="594" t="s">
        <v>341</v>
      </c>
      <c r="F69" s="687">
        <f>G69/$G$70</f>
        <v>0</v>
      </c>
      <c r="G69" s="692">
        <f>IF($Q$30="Yes",$Q$29*(1-$G$74),$Q$29)+IF($Q$47="Yes",IF($Q$46=0,($Q$45*$G$8*1000)*(1-$G$76),MIN($Q$46*(1-$G$76),($Q$45*$G$8*1000)*(1-$G$76))),IF($Q$46=0,$Q$45*$G$8*1000,MIN($Q$46,$Q$45*$G$8*1000)))</f>
        <v>0</v>
      </c>
      <c r="I69" s="14" t="s">
        <v>8</v>
      </c>
      <c r="J69" s="332"/>
      <c r="L69" s="12"/>
      <c r="O69" s="513" t="s">
        <v>99</v>
      </c>
      <c r="P69" s="669" t="s">
        <v>354</v>
      </c>
      <c r="Q69" s="669"/>
      <c r="R69" s="669"/>
      <c r="S69" s="669"/>
      <c r="T69" s="669"/>
      <c r="U69" s="669"/>
      <c r="V69" s="669"/>
      <c r="W69" s="669"/>
      <c r="X69" s="669"/>
      <c r="Y69" s="669"/>
      <c r="Z69" s="397"/>
      <c r="AB69" s="332"/>
    </row>
    <row r="70" spans="2:28" ht="18" thickTop="1" thickBot="1">
      <c r="B70" s="377"/>
      <c r="E70" s="595" t="s">
        <v>143</v>
      </c>
      <c r="F70" s="596" t="s">
        <v>0</v>
      </c>
      <c r="G70" s="597">
        <f>SUM(G67:G69)</f>
        <v>7389914.239275042</v>
      </c>
      <c r="I70" s="14" t="s">
        <v>8</v>
      </c>
      <c r="J70" s="332"/>
      <c r="L70" s="12"/>
      <c r="M70" s="454"/>
      <c r="N70" s="18"/>
      <c r="O70" s="627" t="s">
        <v>358</v>
      </c>
      <c r="P70" s="620" t="s">
        <v>13</v>
      </c>
      <c r="S70" s="512" t="s">
        <v>8</v>
      </c>
      <c r="Z70" s="332"/>
      <c r="AB70" s="332"/>
    </row>
    <row r="71" spans="2:28" ht="17" thickBot="1">
      <c r="B71" s="12"/>
      <c r="J71" s="332"/>
      <c r="L71" s="12"/>
      <c r="M71" s="456"/>
      <c r="O71" s="542" t="s">
        <v>359</v>
      </c>
      <c r="P71" s="678">
        <v>0.5</v>
      </c>
      <c r="S71" s="14" t="s">
        <v>8</v>
      </c>
      <c r="Z71" s="385"/>
      <c r="AB71" s="332"/>
    </row>
    <row r="72" spans="2:28" ht="17" thickBot="1">
      <c r="B72" s="12"/>
      <c r="E72" s="5" t="s">
        <v>162</v>
      </c>
      <c r="F72" s="429" t="s">
        <v>313</v>
      </c>
      <c r="G72" s="506" t="s">
        <v>353</v>
      </c>
      <c r="H72" s="372"/>
      <c r="I72" s="20"/>
      <c r="J72" s="332"/>
      <c r="L72" s="12"/>
      <c r="M72" s="18"/>
      <c r="N72" s="18"/>
      <c r="O72" s="646" t="s">
        <v>369</v>
      </c>
      <c r="P72" s="647" t="s">
        <v>22</v>
      </c>
      <c r="Q72" s="745" t="s">
        <v>136</v>
      </c>
      <c r="R72" s="771" t="s">
        <v>23</v>
      </c>
      <c r="S72" s="772"/>
      <c r="T72" s="773"/>
      <c r="U72" s="647" t="s">
        <v>137</v>
      </c>
      <c r="V72" s="647" t="s">
        <v>138</v>
      </c>
      <c r="W72" s="647" t="s">
        <v>24</v>
      </c>
      <c r="X72" s="647" t="s">
        <v>25</v>
      </c>
      <c r="Y72" s="647" t="s">
        <v>139</v>
      </c>
      <c r="Z72" s="648" t="s">
        <v>26</v>
      </c>
      <c r="AB72" s="332"/>
    </row>
    <row r="73" spans="2:28" ht="17" thickBot="1">
      <c r="B73" s="12"/>
      <c r="C73" s="454"/>
      <c r="E73" s="545" t="s">
        <v>18</v>
      </c>
      <c r="F73" s="598"/>
      <c r="G73" s="599" t="s">
        <v>13</v>
      </c>
      <c r="H73" s="361"/>
      <c r="I73" s="14" t="s">
        <v>8</v>
      </c>
      <c r="J73" s="332"/>
      <c r="L73" s="12">
        <f>IF(AND($G$73="Yes",$G$18="Simple"),1,0)</f>
        <v>0</v>
      </c>
      <c r="M73" s="18"/>
      <c r="N73" s="312">
        <f>IF(AND($G$18="Simple",SUM(P73:Z73)=1),1,IF(AND($G$18="Simple",SUM(P73:Z73)&lt;&gt;1),2,0))</f>
        <v>0</v>
      </c>
      <c r="O73" s="649" t="str">
        <f t="shared" ref="O73:O78" si="0">E19</f>
        <v>Total Installed Cost</v>
      </c>
      <c r="P73" s="650">
        <v>0.94</v>
      </c>
      <c r="Q73" s="746">
        <v>0</v>
      </c>
      <c r="R73" s="774">
        <v>1.4999999999999999E-2</v>
      </c>
      <c r="S73" s="775"/>
      <c r="T73" s="776"/>
      <c r="U73" s="650">
        <v>0.01</v>
      </c>
      <c r="V73" s="650">
        <v>0</v>
      </c>
      <c r="W73" s="650">
        <v>0</v>
      </c>
      <c r="X73" s="650">
        <v>0.01</v>
      </c>
      <c r="Y73" s="650">
        <v>0</v>
      </c>
      <c r="Z73" s="651">
        <v>2.5000000000000001E-2</v>
      </c>
      <c r="AB73" s="373" t="s">
        <v>8</v>
      </c>
    </row>
    <row r="74" spans="2:28">
      <c r="B74" s="12"/>
      <c r="C74" s="450"/>
      <c r="D74" s="1">
        <f>IF(OR(G74&lt;0,G74=""),1,0)</f>
        <v>0</v>
      </c>
      <c r="E74" s="532" t="s">
        <v>6</v>
      </c>
      <c r="F74" s="533" t="s">
        <v>1</v>
      </c>
      <c r="G74" s="600">
        <v>0.35</v>
      </c>
      <c r="H74" s="351"/>
      <c r="I74" s="14" t="s">
        <v>8</v>
      </c>
      <c r="J74" s="496"/>
      <c r="L74" s="12">
        <f>IF(AND($G$73="Yes",$G$18="Intermediate"),1,0)</f>
        <v>1</v>
      </c>
      <c r="M74" s="18"/>
      <c r="N74" s="312">
        <f>IF(AND($G$18="Intermediate",SUM(P74:Z74)=1),1,IF(AND($G$18="Intermediate",SUM(P74:Z74)&lt;&gt;1),2,0))</f>
        <v>1</v>
      </c>
      <c r="O74" s="652" t="str">
        <f t="shared" si="0"/>
        <v>Generation Equipment</v>
      </c>
      <c r="P74" s="653">
        <v>0.96</v>
      </c>
      <c r="Q74" s="747">
        <v>0</v>
      </c>
      <c r="R74" s="777">
        <v>0.02</v>
      </c>
      <c r="S74" s="778"/>
      <c r="T74" s="779"/>
      <c r="U74" s="653">
        <v>0</v>
      </c>
      <c r="V74" s="653">
        <v>0</v>
      </c>
      <c r="W74" s="653">
        <v>0</v>
      </c>
      <c r="X74" s="653">
        <v>0.02</v>
      </c>
      <c r="Y74" s="653">
        <v>0</v>
      </c>
      <c r="Z74" s="654">
        <v>0</v>
      </c>
      <c r="AB74" s="373" t="s">
        <v>8</v>
      </c>
    </row>
    <row r="75" spans="2:28" ht="17" thickBot="1">
      <c r="B75" s="12"/>
      <c r="C75" s="454"/>
      <c r="E75" s="601" t="s">
        <v>308</v>
      </c>
      <c r="F75" s="602"/>
      <c r="G75" s="603" t="s">
        <v>340</v>
      </c>
      <c r="H75" s="361"/>
      <c r="I75" s="14" t="s">
        <v>8</v>
      </c>
      <c r="J75" s="332"/>
      <c r="L75" s="12">
        <f>IF(AND($G$73="Yes",$G$18="Intermediate"),1,0)</f>
        <v>1</v>
      </c>
      <c r="M75" s="18"/>
      <c r="N75" s="312">
        <f>IF(AND($G$18="Intermediate",SUM(P75:Z75)=1),1,IF(AND($G$18="Intermediate",SUM(P75:Z75)&lt;&gt;1),2,0))</f>
        <v>1</v>
      </c>
      <c r="O75" s="655" t="str">
        <f t="shared" si="0"/>
        <v>Balance of Plant</v>
      </c>
      <c r="P75" s="448">
        <v>0.5</v>
      </c>
      <c r="Q75" s="743">
        <v>0</v>
      </c>
      <c r="R75" s="756">
        <v>0</v>
      </c>
      <c r="S75" s="757"/>
      <c r="T75" s="758"/>
      <c r="U75" s="448">
        <v>0</v>
      </c>
      <c r="V75" s="448">
        <v>0</v>
      </c>
      <c r="W75" s="448">
        <v>0.5</v>
      </c>
      <c r="X75" s="448">
        <v>0</v>
      </c>
      <c r="Y75" s="448">
        <v>0</v>
      </c>
      <c r="Z75" s="656">
        <v>0</v>
      </c>
      <c r="AB75" s="373" t="s">
        <v>8</v>
      </c>
    </row>
    <row r="76" spans="2:28">
      <c r="B76" s="12"/>
      <c r="C76" s="450"/>
      <c r="D76" s="1">
        <f>IF(OR(G76&lt;0,G76=""),1,0)</f>
        <v>0</v>
      </c>
      <c r="E76" s="532" t="s">
        <v>7</v>
      </c>
      <c r="F76" s="533" t="s">
        <v>1</v>
      </c>
      <c r="G76" s="600">
        <v>8.5000000000000006E-2</v>
      </c>
      <c r="H76" s="351"/>
      <c r="I76" s="14" t="s">
        <v>8</v>
      </c>
      <c r="J76" s="496"/>
      <c r="L76" s="12">
        <f>IF(AND($G$73="Yes",$G$18="Intermediate"),1,0)</f>
        <v>1</v>
      </c>
      <c r="M76" s="18"/>
      <c r="N76" s="312">
        <f>IF(AND($G$18="Intermediate",SUM(P76:Z76)=1),1,IF(AND($G$18="Intermediate",SUM(P76:Z76)&lt;&gt;1),2,0))</f>
        <v>1</v>
      </c>
      <c r="O76" s="655" t="str">
        <f t="shared" si="0"/>
        <v>Interconnection</v>
      </c>
      <c r="P76" s="448">
        <v>0</v>
      </c>
      <c r="Q76" s="743">
        <v>0</v>
      </c>
      <c r="R76" s="756">
        <v>1</v>
      </c>
      <c r="S76" s="757"/>
      <c r="T76" s="758"/>
      <c r="U76" s="448">
        <v>0</v>
      </c>
      <c r="V76" s="448">
        <v>0</v>
      </c>
      <c r="W76" s="448">
        <v>0</v>
      </c>
      <c r="X76" s="448">
        <v>0</v>
      </c>
      <c r="Y76" s="448">
        <v>0</v>
      </c>
      <c r="Z76" s="656">
        <v>0</v>
      </c>
      <c r="AB76" s="373" t="s">
        <v>8</v>
      </c>
    </row>
    <row r="77" spans="2:28" ht="17" thickBot="1">
      <c r="B77" s="12"/>
      <c r="C77" s="454"/>
      <c r="E77" s="601" t="s">
        <v>309</v>
      </c>
      <c r="F77" s="602"/>
      <c r="G77" s="603" t="s">
        <v>340</v>
      </c>
      <c r="H77" s="361"/>
      <c r="I77" s="14" t="s">
        <v>8</v>
      </c>
      <c r="J77" s="496"/>
      <c r="L77" s="12">
        <f>IF(AND($G$73="Yes",$G$18="Intermediate"),1,0)</f>
        <v>1</v>
      </c>
      <c r="M77" s="18"/>
      <c r="N77" s="312">
        <f>IF(AND($G$18="Intermediate",SUM(P77:Z77)=1),1,IF(AND($G$18="Intermediate",SUM(P77:Z77)&lt;&gt;1),2,0))</f>
        <v>1</v>
      </c>
      <c r="O77" s="655" t="str">
        <f t="shared" si="0"/>
        <v>Development Costs &amp; Fee</v>
      </c>
      <c r="P77" s="448">
        <v>0.8</v>
      </c>
      <c r="Q77" s="743">
        <v>0</v>
      </c>
      <c r="R77" s="756">
        <v>0</v>
      </c>
      <c r="S77" s="757"/>
      <c r="T77" s="758"/>
      <c r="U77" s="448">
        <v>0</v>
      </c>
      <c r="V77" s="448">
        <v>0</v>
      </c>
      <c r="W77" s="448">
        <v>0.05</v>
      </c>
      <c r="X77" s="448">
        <v>0.05</v>
      </c>
      <c r="Y77" s="448">
        <v>0</v>
      </c>
      <c r="Z77" s="656">
        <v>0.1</v>
      </c>
      <c r="AB77" s="373" t="s">
        <v>8</v>
      </c>
    </row>
    <row r="78" spans="2:28" ht="17" thickBot="1">
      <c r="B78" s="12"/>
      <c r="E78" s="604" t="s">
        <v>33</v>
      </c>
      <c r="F78" s="605" t="s">
        <v>1</v>
      </c>
      <c r="G78" s="606">
        <f>IF($G$73="Yes",$G$74+(G76*(1-$G$74)),0%)</f>
        <v>0.40525</v>
      </c>
      <c r="H78" s="374"/>
      <c r="I78" s="14" t="s">
        <v>8</v>
      </c>
      <c r="J78" s="496"/>
      <c r="L78" s="12">
        <f>IF(AND($G$73="Yes",$G$18="Intermediate"),1,0)</f>
        <v>1</v>
      </c>
      <c r="M78" s="18"/>
      <c r="N78" s="312">
        <f>IF(AND($G$18="Intermediate",SUM(P78:Z78)=1),1,IF(AND($G$18="Intermediate",SUM(P78:Z78)&lt;&gt;1),2,0))</f>
        <v>1</v>
      </c>
      <c r="O78" s="657" t="str">
        <f t="shared" si="0"/>
        <v>Reserves &amp; Financing Costs</v>
      </c>
      <c r="P78" s="658">
        <v>0</v>
      </c>
      <c r="Q78" s="744">
        <v>0</v>
      </c>
      <c r="R78" s="759">
        <v>0</v>
      </c>
      <c r="S78" s="760"/>
      <c r="T78" s="761"/>
      <c r="U78" s="658">
        <v>0</v>
      </c>
      <c r="V78" s="658">
        <v>0</v>
      </c>
      <c r="W78" s="658">
        <v>0</v>
      </c>
      <c r="X78" s="658">
        <v>0.5</v>
      </c>
      <c r="Y78" s="658">
        <v>0</v>
      </c>
      <c r="Z78" s="659">
        <v>0.5</v>
      </c>
      <c r="AB78" s="373" t="s">
        <v>8</v>
      </c>
    </row>
    <row r="79" spans="2:28" ht="17" thickBot="1">
      <c r="B79" s="375"/>
      <c r="C79" s="93"/>
      <c r="D79" s="93"/>
      <c r="E79" s="542" t="s">
        <v>99</v>
      </c>
      <c r="F79" s="475"/>
      <c r="G79" s="607" t="s">
        <v>107</v>
      </c>
      <c r="H79" s="477"/>
      <c r="I79" s="478" t="s">
        <v>8</v>
      </c>
      <c r="J79" s="385"/>
      <c r="L79" s="375">
        <f>IF(AND($G$73="Yes",$G$18="Complex"),1,0)</f>
        <v>0</v>
      </c>
      <c r="M79" s="386"/>
      <c r="N79" s="386"/>
      <c r="O79" s="660" t="s">
        <v>337</v>
      </c>
      <c r="P79" s="661"/>
      <c r="Q79" s="662"/>
      <c r="R79" s="762"/>
      <c r="S79" s="763"/>
      <c r="T79" s="764"/>
      <c r="U79" s="661"/>
      <c r="V79" s="661"/>
      <c r="W79" s="661"/>
      <c r="X79" s="661"/>
      <c r="Y79" s="661"/>
      <c r="Z79" s="663"/>
      <c r="AA79" s="93"/>
      <c r="AB79" s="514" t="s">
        <v>8</v>
      </c>
    </row>
    <row r="81" spans="1:28" ht="17" thickBot="1"/>
    <row r="82" spans="1:28">
      <c r="B82" s="433"/>
      <c r="C82" s="434"/>
      <c r="D82" s="434"/>
      <c r="E82" s="445" t="s">
        <v>314</v>
      </c>
      <c r="F82" s="434"/>
      <c r="G82" s="434"/>
      <c r="H82" s="434"/>
      <c r="I82" s="434"/>
      <c r="J82" s="434"/>
      <c r="K82" s="434"/>
      <c r="L82" s="434"/>
      <c r="M82" s="435"/>
      <c r="N82" s="435"/>
      <c r="O82" s="435"/>
      <c r="P82" s="435"/>
      <c r="Q82" s="435"/>
      <c r="R82" s="435"/>
      <c r="S82" s="435"/>
      <c r="T82" s="435"/>
      <c r="U82" s="435"/>
      <c r="V82" s="434"/>
      <c r="W82" s="434"/>
      <c r="X82" s="434"/>
      <c r="Y82" s="434"/>
      <c r="Z82" s="434"/>
      <c r="AA82" s="434"/>
      <c r="AB82" s="436"/>
    </row>
    <row r="83" spans="1:28">
      <c r="B83" s="437"/>
      <c r="C83" s="431"/>
      <c r="D83" s="431"/>
      <c r="E83" s="438" t="s">
        <v>316</v>
      </c>
      <c r="F83" s="431"/>
      <c r="G83" s="431"/>
      <c r="H83" s="431"/>
      <c r="I83" s="431"/>
      <c r="J83" s="431"/>
      <c r="K83" s="431"/>
      <c r="L83" s="431"/>
      <c r="M83" s="432"/>
      <c r="N83" s="432"/>
      <c r="O83" s="432"/>
      <c r="P83" s="432"/>
      <c r="Q83" s="432"/>
      <c r="R83" s="432"/>
      <c r="S83" s="432"/>
      <c r="T83" s="432"/>
      <c r="U83" s="432"/>
      <c r="V83" s="431"/>
      <c r="W83" s="431"/>
      <c r="X83" s="431"/>
      <c r="Y83" s="431"/>
      <c r="Z83" s="431"/>
      <c r="AA83" s="431"/>
      <c r="AB83" s="439"/>
    </row>
    <row r="84" spans="1:28">
      <c r="B84" s="437"/>
      <c r="C84" s="431"/>
      <c r="D84" s="431"/>
      <c r="E84" s="438" t="s">
        <v>317</v>
      </c>
      <c r="F84" s="431"/>
      <c r="G84" s="431"/>
      <c r="H84" s="431"/>
      <c r="I84" s="431"/>
      <c r="J84" s="431"/>
      <c r="K84" s="431"/>
      <c r="L84" s="431"/>
      <c r="M84" s="432"/>
      <c r="N84" s="432"/>
      <c r="O84" s="432"/>
      <c r="P84" s="432"/>
      <c r="Q84" s="432"/>
      <c r="R84" s="432"/>
      <c r="S84" s="432"/>
      <c r="T84" s="432"/>
      <c r="U84" s="432"/>
      <c r="V84" s="431"/>
      <c r="W84" s="431"/>
      <c r="X84" s="431"/>
      <c r="Y84" s="431"/>
      <c r="Z84" s="431"/>
      <c r="AA84" s="431"/>
      <c r="AB84" s="439"/>
    </row>
    <row r="85" spans="1:28">
      <c r="B85" s="437"/>
      <c r="C85" s="431"/>
      <c r="D85" s="431"/>
      <c r="E85" s="438" t="s">
        <v>318</v>
      </c>
      <c r="F85" s="431"/>
      <c r="G85" s="431"/>
      <c r="H85" s="431"/>
      <c r="I85" s="431"/>
      <c r="J85" s="431"/>
      <c r="K85" s="431"/>
      <c r="L85" s="431"/>
      <c r="M85" s="432"/>
      <c r="N85" s="432"/>
      <c r="O85" s="432"/>
      <c r="P85" s="432"/>
      <c r="Q85" s="432"/>
      <c r="R85" s="432"/>
      <c r="S85" s="432"/>
      <c r="T85" s="432"/>
      <c r="U85" s="432"/>
      <c r="V85" s="431"/>
      <c r="W85" s="431"/>
      <c r="X85" s="431"/>
      <c r="Y85" s="431"/>
      <c r="Z85" s="431"/>
      <c r="AA85" s="431"/>
      <c r="AB85" s="439"/>
    </row>
    <row r="86" spans="1:28">
      <c r="B86" s="437"/>
      <c r="C86" s="431"/>
      <c r="D86" s="431"/>
      <c r="E86" s="438" t="s">
        <v>319</v>
      </c>
      <c r="F86" s="431"/>
      <c r="G86" s="431"/>
      <c r="H86" s="431"/>
      <c r="I86" s="431"/>
      <c r="J86" s="431"/>
      <c r="K86" s="431"/>
      <c r="L86" s="431"/>
      <c r="M86" s="432"/>
      <c r="N86" s="432"/>
      <c r="O86" s="432"/>
      <c r="P86" s="432"/>
      <c r="Q86" s="432"/>
      <c r="R86" s="432"/>
      <c r="S86" s="432"/>
      <c r="T86" s="432"/>
      <c r="U86" s="432"/>
      <c r="V86" s="431"/>
      <c r="W86" s="431"/>
      <c r="X86" s="431"/>
      <c r="Y86" s="431"/>
      <c r="Z86" s="431"/>
      <c r="AA86" s="431"/>
      <c r="AB86" s="439"/>
    </row>
    <row r="87" spans="1:28">
      <c r="B87" s="437"/>
      <c r="C87" s="431"/>
      <c r="D87" s="431"/>
      <c r="E87" s="438" t="s">
        <v>334</v>
      </c>
      <c r="F87" s="431"/>
      <c r="G87" s="431"/>
      <c r="H87" s="431"/>
      <c r="I87" s="431"/>
      <c r="J87" s="431"/>
      <c r="K87" s="431"/>
      <c r="L87" s="431"/>
      <c r="M87" s="432"/>
      <c r="N87" s="432"/>
      <c r="O87" s="432"/>
      <c r="P87" s="432"/>
      <c r="Q87" s="432"/>
      <c r="R87" s="432"/>
      <c r="S87" s="432"/>
      <c r="T87" s="432"/>
      <c r="U87" s="432"/>
      <c r="V87" s="431"/>
      <c r="W87" s="431"/>
      <c r="X87" s="431"/>
      <c r="Y87" s="431"/>
      <c r="Z87" s="431"/>
      <c r="AA87" s="431"/>
      <c r="AB87" s="439"/>
    </row>
    <row r="88" spans="1:28">
      <c r="B88" s="437"/>
      <c r="C88" s="431"/>
      <c r="D88" s="431"/>
      <c r="E88" s="438" t="s">
        <v>335</v>
      </c>
      <c r="F88" s="431"/>
      <c r="G88" s="431"/>
      <c r="H88" s="431"/>
      <c r="I88" s="431"/>
      <c r="J88" s="431"/>
      <c r="K88" s="431"/>
      <c r="L88" s="431"/>
      <c r="M88" s="432"/>
      <c r="N88" s="432"/>
      <c r="O88" s="432"/>
      <c r="P88" s="432"/>
      <c r="Q88" s="432"/>
      <c r="R88" s="432"/>
      <c r="S88" s="432"/>
      <c r="T88" s="432"/>
      <c r="U88" s="432"/>
      <c r="V88" s="431"/>
      <c r="W88" s="431"/>
      <c r="X88" s="431"/>
      <c r="Y88" s="431"/>
      <c r="Z88" s="431"/>
      <c r="AA88" s="431"/>
      <c r="AB88" s="439"/>
    </row>
    <row r="89" spans="1:28">
      <c r="B89" s="437"/>
      <c r="C89" s="431"/>
      <c r="D89" s="431"/>
      <c r="E89" s="438" t="s">
        <v>320</v>
      </c>
      <c r="F89" s="431"/>
      <c r="G89" s="431"/>
      <c r="H89" s="431"/>
      <c r="I89" s="431"/>
      <c r="J89" s="431"/>
      <c r="K89" s="431"/>
      <c r="L89" s="431"/>
      <c r="M89" s="432"/>
      <c r="N89" s="432"/>
      <c r="O89" s="432"/>
      <c r="P89" s="432"/>
      <c r="Q89" s="432"/>
      <c r="R89" s="432"/>
      <c r="S89" s="432"/>
      <c r="T89" s="432"/>
      <c r="U89" s="432"/>
      <c r="V89" s="431"/>
      <c r="W89" s="431"/>
      <c r="X89" s="431"/>
      <c r="Y89" s="431"/>
      <c r="Z89" s="431"/>
      <c r="AA89" s="431"/>
      <c r="AB89" s="439"/>
    </row>
    <row r="90" spans="1:28">
      <c r="B90" s="437"/>
      <c r="C90" s="431"/>
      <c r="D90" s="431"/>
      <c r="E90" s="438" t="s">
        <v>321</v>
      </c>
      <c r="F90" s="431"/>
      <c r="G90" s="431"/>
      <c r="H90" s="431"/>
      <c r="I90" s="431"/>
      <c r="J90" s="431"/>
      <c r="K90" s="431"/>
      <c r="L90" s="431"/>
      <c r="M90" s="432"/>
      <c r="N90" s="432"/>
      <c r="O90" s="432"/>
      <c r="P90" s="432"/>
      <c r="Q90" s="432"/>
      <c r="R90" s="432"/>
      <c r="S90" s="432"/>
      <c r="T90" s="432"/>
      <c r="U90" s="432"/>
      <c r="V90" s="431"/>
      <c r="W90" s="431"/>
      <c r="X90" s="431"/>
      <c r="Y90" s="431"/>
      <c r="Z90" s="431"/>
      <c r="AA90" s="431"/>
      <c r="AB90" s="439"/>
    </row>
    <row r="91" spans="1:28">
      <c r="B91" s="437"/>
      <c r="C91" s="431"/>
      <c r="D91" s="431"/>
      <c r="E91" s="438" t="s">
        <v>322</v>
      </c>
      <c r="F91" s="431"/>
      <c r="G91" s="431"/>
      <c r="H91" s="431"/>
      <c r="I91" s="431"/>
      <c r="J91" s="431"/>
      <c r="K91" s="432"/>
      <c r="L91" s="432"/>
      <c r="M91" s="432"/>
      <c r="N91" s="432"/>
      <c r="O91" s="432"/>
      <c r="P91" s="432"/>
      <c r="Q91" s="432"/>
      <c r="R91" s="432"/>
      <c r="S91" s="432"/>
      <c r="T91" s="432"/>
      <c r="U91" s="432"/>
      <c r="V91" s="431"/>
      <c r="W91" s="431"/>
      <c r="X91" s="431"/>
      <c r="Y91" s="431"/>
      <c r="Z91" s="431"/>
      <c r="AA91" s="431"/>
      <c r="AB91" s="439"/>
    </row>
    <row r="92" spans="1:28">
      <c r="B92" s="437"/>
      <c r="C92" s="431"/>
      <c r="D92" s="431"/>
      <c r="E92" s="438" t="s">
        <v>323</v>
      </c>
      <c r="F92" s="431"/>
      <c r="G92" s="431"/>
      <c r="H92" s="431"/>
      <c r="I92" s="431"/>
      <c r="J92" s="431"/>
      <c r="K92" s="432"/>
      <c r="L92" s="432"/>
      <c r="M92" s="432"/>
      <c r="N92" s="432"/>
      <c r="O92" s="432"/>
      <c r="P92" s="432"/>
      <c r="Q92" s="432"/>
      <c r="R92" s="432"/>
      <c r="S92" s="432"/>
      <c r="T92" s="432"/>
      <c r="U92" s="432"/>
      <c r="V92" s="431"/>
      <c r="W92" s="431"/>
      <c r="X92" s="431"/>
      <c r="Y92" s="431"/>
      <c r="Z92" s="431"/>
      <c r="AA92" s="431"/>
      <c r="AB92" s="439"/>
    </row>
    <row r="93" spans="1:28">
      <c r="B93" s="437"/>
      <c r="C93" s="431"/>
      <c r="D93" s="431"/>
      <c r="E93" s="438" t="s">
        <v>324</v>
      </c>
      <c r="F93" s="431"/>
      <c r="G93" s="431"/>
      <c r="H93" s="431"/>
      <c r="I93" s="431"/>
      <c r="J93" s="431"/>
      <c r="K93" s="432"/>
      <c r="L93" s="432"/>
      <c r="M93" s="432"/>
      <c r="N93" s="432"/>
      <c r="O93" s="432"/>
      <c r="P93" s="432"/>
      <c r="Q93" s="432"/>
      <c r="R93" s="432"/>
      <c r="S93" s="432"/>
      <c r="T93" s="432"/>
      <c r="U93" s="432"/>
      <c r="V93" s="431"/>
      <c r="W93" s="431"/>
      <c r="X93" s="431"/>
      <c r="Y93" s="431"/>
      <c r="Z93" s="431"/>
      <c r="AA93" s="431"/>
      <c r="AB93" s="439"/>
    </row>
    <row r="94" spans="1:28" ht="17" thickBot="1">
      <c r="B94" s="440"/>
      <c r="C94" s="441"/>
      <c r="D94" s="441"/>
      <c r="E94" s="442" t="s">
        <v>315</v>
      </c>
      <c r="F94" s="441"/>
      <c r="G94" s="441"/>
      <c r="H94" s="441"/>
      <c r="I94" s="441"/>
      <c r="J94" s="441"/>
      <c r="K94" s="443"/>
      <c r="L94" s="443"/>
      <c r="M94" s="443"/>
      <c r="N94" s="443"/>
      <c r="O94" s="443"/>
      <c r="P94" s="443"/>
      <c r="Q94" s="443"/>
      <c r="R94" s="443"/>
      <c r="S94" s="443"/>
      <c r="T94" s="443"/>
      <c r="U94" s="443"/>
      <c r="V94" s="441"/>
      <c r="W94" s="441"/>
      <c r="X94" s="441"/>
      <c r="Y94" s="441"/>
      <c r="Z94" s="441"/>
      <c r="AA94" s="441"/>
      <c r="AB94" s="444"/>
    </row>
    <row r="95" spans="1:28">
      <c r="E95"/>
    </row>
    <row r="96" spans="1:28">
      <c r="A96" s="671"/>
      <c r="B96" s="671"/>
      <c r="C96" s="671"/>
      <c r="D96" s="672"/>
      <c r="E96" s="673"/>
      <c r="F96" s="671"/>
      <c r="G96" s="671"/>
      <c r="H96" s="671"/>
      <c r="I96" s="671"/>
      <c r="J96" s="671"/>
      <c r="K96" s="671"/>
    </row>
    <row r="97" spans="1:28">
      <c r="A97" s="671"/>
      <c r="B97" s="671"/>
      <c r="C97" s="671"/>
      <c r="D97" s="671"/>
      <c r="E97" s="674"/>
      <c r="F97" s="671"/>
      <c r="G97" s="675"/>
      <c r="H97" s="671"/>
      <c r="I97" s="671"/>
      <c r="J97" s="671"/>
      <c r="K97" s="671"/>
    </row>
    <row r="98" spans="1:28">
      <c r="A98" s="671"/>
      <c r="B98" s="671"/>
      <c r="C98" s="671"/>
      <c r="D98" s="671"/>
      <c r="E98" s="674"/>
      <c r="F98" s="671"/>
      <c r="G98" s="675"/>
      <c r="H98" s="671"/>
      <c r="I98" s="671"/>
      <c r="J98" s="671"/>
      <c r="K98" s="671"/>
    </row>
    <row r="99" spans="1:28">
      <c r="A99" s="671"/>
      <c r="B99" s="671"/>
      <c r="C99" s="671"/>
      <c r="D99" s="671"/>
      <c r="E99" s="674"/>
      <c r="F99" s="671"/>
      <c r="G99" s="675"/>
      <c r="H99" s="671"/>
      <c r="I99" s="671"/>
      <c r="J99" s="671"/>
      <c r="K99" s="671"/>
    </row>
    <row r="100" spans="1:28">
      <c r="A100" s="671"/>
      <c r="B100" s="671"/>
      <c r="C100" s="671"/>
      <c r="D100" s="671"/>
      <c r="E100" s="674"/>
      <c r="F100" s="671"/>
      <c r="G100" s="675"/>
      <c r="H100" s="671"/>
      <c r="I100" s="671"/>
      <c r="J100" s="671"/>
      <c r="K100" s="671"/>
    </row>
    <row r="101" spans="1:28">
      <c r="A101" s="671"/>
      <c r="B101" s="671"/>
    </row>
    <row r="103" spans="1:28">
      <c r="L103" s="671"/>
      <c r="M103" s="671"/>
      <c r="N103" s="671"/>
      <c r="O103" s="671"/>
      <c r="P103" s="671"/>
      <c r="Q103" s="671"/>
      <c r="R103" s="671"/>
      <c r="S103" s="671"/>
      <c r="T103" s="671"/>
      <c r="U103" s="671"/>
      <c r="V103" s="671"/>
      <c r="W103" s="671"/>
      <c r="X103" s="671"/>
      <c r="Y103" s="671"/>
      <c r="Z103" s="671"/>
      <c r="AA103" s="671"/>
      <c r="AB103" s="671"/>
    </row>
    <row r="104" spans="1:28">
      <c r="L104" s="671"/>
      <c r="M104" s="671"/>
      <c r="N104" s="671"/>
      <c r="O104" s="671"/>
      <c r="P104" s="671"/>
      <c r="Q104" s="671"/>
      <c r="R104" s="671"/>
      <c r="S104" s="671"/>
      <c r="T104" s="671"/>
      <c r="U104" s="671"/>
      <c r="V104" s="671"/>
      <c r="W104" s="671"/>
      <c r="X104" s="671"/>
      <c r="Y104" s="671"/>
      <c r="Z104" s="671"/>
      <c r="AA104" s="671"/>
      <c r="AB104" s="671"/>
    </row>
  </sheetData>
  <protectedRanges>
    <protectedRange sqref="P70:P71 P73:Z78" name="Depreciation Inputs"/>
    <protectedRange sqref="Q8:Q10 Q13:Q15 Q50:Q53 Q57:Q58 Q62 Q65 Q67 Q47 Q38:Q41 Q24:Q25 Q19:Q21 Q33:Q34 Q27:Q30 Q36 Q43:Q45" name="Column Q Inputs"/>
    <protectedRange sqref="G5 G51:G55 G14:G15 G18:G23 G46:G47 G58 G62 G64 G73:G77 G30:G36 G38:G42 G8:G11" name="Column G Inputs"/>
  </protectedRanges>
  <mergeCells count="11">
    <mergeCell ref="O4:P4"/>
    <mergeCell ref="C2:T2"/>
    <mergeCell ref="R75:T75"/>
    <mergeCell ref="R72:T72"/>
    <mergeCell ref="R73:T73"/>
    <mergeCell ref="R74:T74"/>
    <mergeCell ref="R76:T76"/>
    <mergeCell ref="R77:T77"/>
    <mergeCell ref="R78:T78"/>
    <mergeCell ref="R79:T79"/>
    <mergeCell ref="AD2:AE3"/>
  </mergeCells>
  <conditionalFormatting sqref="C18">
    <cfRule type="expression" dxfId="145" priority="567">
      <formula>$G$18&lt;&gt;""</formula>
    </cfRule>
  </conditionalFormatting>
  <conditionalFormatting sqref="C31">
    <cfRule type="expression" dxfId="144" priority="561">
      <formula>$G$31&gt;=0</formula>
    </cfRule>
  </conditionalFormatting>
  <conditionalFormatting sqref="C19">
    <cfRule type="expression" dxfId="143" priority="388">
      <formula>AND($G$18="Simple",$G$19&gt;0)</formula>
    </cfRule>
    <cfRule type="expression" dxfId="142" priority="558">
      <formula>AND($G$18="Simple",$G$19&lt;=0)</formula>
    </cfRule>
  </conditionalFormatting>
  <conditionalFormatting sqref="C20">
    <cfRule type="expression" dxfId="141" priority="387">
      <formula>AND($G$18="Intermediate",$G$20&gt;0)</formula>
    </cfRule>
    <cfRule type="expression" dxfId="140" priority="557">
      <formula>AND($G$18="Intermediate",$G$20&lt;=0)</formula>
    </cfRule>
  </conditionalFormatting>
  <conditionalFormatting sqref="C74">
    <cfRule type="expression" dxfId="139" priority="141">
      <formula>$G$73="No"</formula>
    </cfRule>
    <cfRule type="expression" dxfId="138" priority="142">
      <formula>$D$74=1</formula>
    </cfRule>
  </conditionalFormatting>
  <conditionalFormatting sqref="C62">
    <cfRule type="expression" dxfId="137" priority="379">
      <formula>$D$62=1</formula>
    </cfRule>
  </conditionalFormatting>
  <conditionalFormatting sqref="L29 G25:H25 K25">
    <cfRule type="expression" dxfId="136" priority="721">
      <formula>$G$18="Complex"</formula>
    </cfRule>
  </conditionalFormatting>
  <conditionalFormatting sqref="C51">
    <cfRule type="expression" dxfId="135" priority="381">
      <formula>$D$51=1</formula>
    </cfRule>
  </conditionalFormatting>
  <conditionalFormatting sqref="M10">
    <cfRule type="expression" dxfId="134" priority="404">
      <formula>$Q$10&lt;&gt;""</formula>
    </cfRule>
  </conditionalFormatting>
  <conditionalFormatting sqref="M9">
    <cfRule type="expression" dxfId="133" priority="403">
      <formula>$Q$9&lt;&gt;""</formula>
    </cfRule>
  </conditionalFormatting>
  <conditionalFormatting sqref="E36:G43">
    <cfRule type="expression" dxfId="132" priority="399">
      <formula>$G$30="Simple"</formula>
    </cfRule>
  </conditionalFormatting>
  <conditionalFormatting sqref="C25">
    <cfRule type="expression" dxfId="131" priority="385">
      <formula>AND($G$18="Complex",$G$25&gt;0)</formula>
    </cfRule>
    <cfRule type="expression" dxfId="130" priority="386">
      <formula>$G$18="Complex"</formula>
    </cfRule>
  </conditionalFormatting>
  <conditionalFormatting sqref="C33">
    <cfRule type="expression" dxfId="129" priority="384">
      <formula>$G$33&gt;0</formula>
    </cfRule>
  </conditionalFormatting>
  <conditionalFormatting sqref="C34">
    <cfRule type="expression" dxfId="128" priority="383">
      <formula>AND($G$34&gt;0,$G$34&lt;=$G$15)</formula>
    </cfRule>
  </conditionalFormatting>
  <conditionalFormatting sqref="C35">
    <cfRule type="expression" dxfId="127" priority="382">
      <formula>$G$35&gt;0</formula>
    </cfRule>
  </conditionalFormatting>
  <conditionalFormatting sqref="G57">
    <cfRule type="expression" dxfId="126" priority="366">
      <formula>$G$57="Fail"</formula>
    </cfRule>
  </conditionalFormatting>
  <conditionalFormatting sqref="O58:Q58 S58">
    <cfRule type="expression" dxfId="125" priority="361">
      <formula>$Q$57="Salvage"</formula>
    </cfRule>
  </conditionalFormatting>
  <conditionalFormatting sqref="E46:G48">
    <cfRule type="expression" dxfId="124" priority="339">
      <formula>$G$18="Simple"</formula>
    </cfRule>
  </conditionalFormatting>
  <conditionalFormatting sqref="G60">
    <cfRule type="expression" dxfId="123" priority="307">
      <formula>$G$60="Fail"</formula>
    </cfRule>
  </conditionalFormatting>
  <conditionalFormatting sqref="G19">
    <cfRule type="expression" dxfId="122" priority="271">
      <formula>$G$18="Simple"</formula>
    </cfRule>
  </conditionalFormatting>
  <conditionalFormatting sqref="G24 E20:F24">
    <cfRule type="expression" dxfId="121" priority="270">
      <formula>$G$18="Intermediate"</formula>
    </cfRule>
  </conditionalFormatting>
  <conditionalFormatting sqref="G20 G22:G23">
    <cfRule type="expression" dxfId="120" priority="259">
      <formula>$G$18="Intermediate"</formula>
    </cfRule>
  </conditionalFormatting>
  <conditionalFormatting sqref="G21">
    <cfRule type="expression" dxfId="119" priority="257">
      <formula>$G$18="Intermediate"</formula>
    </cfRule>
    <cfRule type="expression" dxfId="118" priority="258">
      <formula>$G$18="Intermediate"</formula>
    </cfRule>
  </conditionalFormatting>
  <conditionalFormatting sqref="E52:G60 I52:I60">
    <cfRule type="expression" dxfId="117" priority="253">
      <formula>$G$51=0</formula>
    </cfRule>
  </conditionalFormatting>
  <conditionalFormatting sqref="O14:P14">
    <cfRule type="expression" dxfId="116" priority="246">
      <formula>$T$14=1</formula>
    </cfRule>
  </conditionalFormatting>
  <conditionalFormatting sqref="O15:P15">
    <cfRule type="expression" dxfId="115" priority="245">
      <formula>$T$15=1</formula>
    </cfRule>
  </conditionalFormatting>
  <conditionalFormatting sqref="O16">
    <cfRule type="expression" dxfId="114" priority="244">
      <formula>$T$16=1</formula>
    </cfRule>
  </conditionalFormatting>
  <conditionalFormatting sqref="Q14">
    <cfRule type="expression" dxfId="113" priority="241">
      <formula>$T$14=1</formula>
    </cfRule>
  </conditionalFormatting>
  <conditionalFormatting sqref="Q15">
    <cfRule type="expression" dxfId="112" priority="240">
      <formula>$T$15=1</formula>
    </cfRule>
  </conditionalFormatting>
  <conditionalFormatting sqref="P16:Q16">
    <cfRule type="expression" dxfId="111" priority="239">
      <formula>$T$16=1</formula>
    </cfRule>
  </conditionalFormatting>
  <conditionalFormatting sqref="O13:P13">
    <cfRule type="expression" dxfId="110" priority="237">
      <formula>$T$13=1</formula>
    </cfRule>
  </conditionalFormatting>
  <conditionalFormatting sqref="Q13">
    <cfRule type="expression" dxfId="109" priority="236">
      <formula>$T$13=1</formula>
    </cfRule>
  </conditionalFormatting>
  <conditionalFormatting sqref="O23:Q23 S23 O20:Q21 S20:S21">
    <cfRule type="expression" dxfId="108" priority="224">
      <formula>$R$19=1</formula>
    </cfRule>
  </conditionalFormatting>
  <conditionalFormatting sqref="S38:S39 S43:S44 S41 O38:Q39 O43:Q44 O41:Q41">
    <cfRule type="expression" dxfId="107" priority="220">
      <formula>$R$38=1</formula>
    </cfRule>
  </conditionalFormatting>
  <conditionalFormatting sqref="I19">
    <cfRule type="expression" dxfId="106" priority="212">
      <formula>$G$18="Simple"</formula>
    </cfRule>
  </conditionalFormatting>
  <conditionalFormatting sqref="I25">
    <cfRule type="expression" dxfId="105" priority="211">
      <formula>$G$18="Complex"</formula>
    </cfRule>
  </conditionalFormatting>
  <conditionalFormatting sqref="I20:I24">
    <cfRule type="expression" dxfId="104" priority="210">
      <formula>$G$18="Intermediate"</formula>
    </cfRule>
  </conditionalFormatting>
  <conditionalFormatting sqref="I36:I43">
    <cfRule type="expression" dxfId="103" priority="209">
      <formula>$G$30="Intermediate"</formula>
    </cfRule>
  </conditionalFormatting>
  <conditionalFormatting sqref="E19:F19">
    <cfRule type="expression" dxfId="102" priority="203">
      <formula>$G$18="Simple"</formula>
    </cfRule>
  </conditionalFormatting>
  <conditionalFormatting sqref="F25">
    <cfRule type="expression" dxfId="101" priority="200">
      <formula>$G$18="Complex"</formula>
    </cfRule>
  </conditionalFormatting>
  <conditionalFormatting sqref="E25">
    <cfRule type="expression" dxfId="100" priority="199">
      <formula>$G$18="Complex"</formula>
    </cfRule>
  </conditionalFormatting>
  <conditionalFormatting sqref="O40:Q40 S40">
    <cfRule type="expression" dxfId="99" priority="2101">
      <formula>$T$41=1</formula>
    </cfRule>
  </conditionalFormatting>
  <conditionalFormatting sqref="S13">
    <cfRule type="expression" dxfId="98" priority="188">
      <formula>$T$13=1</formula>
    </cfRule>
  </conditionalFormatting>
  <conditionalFormatting sqref="S14">
    <cfRule type="expression" dxfId="97" priority="187">
      <formula>$T$14=1</formula>
    </cfRule>
  </conditionalFormatting>
  <conditionalFormatting sqref="S15">
    <cfRule type="expression" dxfId="96" priority="186">
      <formula>$T$15=1</formula>
    </cfRule>
  </conditionalFormatting>
  <conditionalFormatting sqref="S16">
    <cfRule type="expression" dxfId="95" priority="185">
      <formula>$T$16=1</formula>
    </cfRule>
  </conditionalFormatting>
  <conditionalFormatting sqref="C57">
    <cfRule type="expression" dxfId="94" priority="184">
      <formula>$G$57="Fail"</formula>
    </cfRule>
  </conditionalFormatting>
  <conditionalFormatting sqref="C60">
    <cfRule type="expression" dxfId="93" priority="183">
      <formula>$G$60="Fail"</formula>
    </cfRule>
  </conditionalFormatting>
  <conditionalFormatting sqref="E63:G63">
    <cfRule type="expression" dxfId="92" priority="182">
      <formula>$G$51=0%</formula>
    </cfRule>
  </conditionalFormatting>
  <conditionalFormatting sqref="C12">
    <cfRule type="expression" dxfId="91" priority="178">
      <formula>$D$12=1</formula>
    </cfRule>
  </conditionalFormatting>
  <conditionalFormatting sqref="C14">
    <cfRule type="expression" dxfId="90" priority="177">
      <formula>$D$14=1</formula>
    </cfRule>
  </conditionalFormatting>
  <conditionalFormatting sqref="M8">
    <cfRule type="expression" dxfId="89" priority="176">
      <formula>$N$8=1</formula>
    </cfRule>
  </conditionalFormatting>
  <conditionalFormatting sqref="C30">
    <cfRule type="expression" dxfId="88" priority="167">
      <formula>$G$30&lt;&gt;""</formula>
    </cfRule>
  </conditionalFormatting>
  <conditionalFormatting sqref="C46">
    <cfRule type="expression" dxfId="87" priority="148">
      <formula>$G$18="Simple"</formula>
    </cfRule>
    <cfRule type="expression" dxfId="86" priority="166">
      <formula>$G$46&lt;=0</formula>
    </cfRule>
  </conditionalFormatting>
  <conditionalFormatting sqref="C47">
    <cfRule type="expression" dxfId="85" priority="147">
      <formula>$G$18="Simple"</formula>
    </cfRule>
    <cfRule type="expression" dxfId="84" priority="163">
      <formula>AND($G$18="Intermediate",$G$47&gt;=0)</formula>
    </cfRule>
  </conditionalFormatting>
  <conditionalFormatting sqref="C52">
    <cfRule type="expression" dxfId="83" priority="146">
      <formula>$G$51=0</formula>
    </cfRule>
    <cfRule type="expression" dxfId="82" priority="162">
      <formula>$D$52=1</formula>
    </cfRule>
  </conditionalFormatting>
  <conditionalFormatting sqref="C53">
    <cfRule type="expression" dxfId="81" priority="159">
      <formula>$D$53=1</formula>
    </cfRule>
  </conditionalFormatting>
  <conditionalFormatting sqref="C55">
    <cfRule type="expression" dxfId="80" priority="158">
      <formula>$G$55&lt;1</formula>
    </cfRule>
  </conditionalFormatting>
  <conditionalFormatting sqref="C58">
    <cfRule type="expression" dxfId="79" priority="157">
      <formula>$G$58&lt;1</formula>
    </cfRule>
  </conditionalFormatting>
  <conditionalFormatting sqref="C54">
    <cfRule type="expression" dxfId="78" priority="156">
      <formula>$D$54=1</formula>
    </cfRule>
  </conditionalFormatting>
  <conditionalFormatting sqref="C57:C58 C60 C52:C55">
    <cfRule type="expression" dxfId="77" priority="145">
      <formula>$G$51=0</formula>
    </cfRule>
  </conditionalFormatting>
  <conditionalFormatting sqref="C64">
    <cfRule type="expression" dxfId="76" priority="144">
      <formula>$G$64&lt;0</formula>
    </cfRule>
  </conditionalFormatting>
  <conditionalFormatting sqref="C73">
    <cfRule type="expression" dxfId="75" priority="143">
      <formula>$G$73=""</formula>
    </cfRule>
  </conditionalFormatting>
  <conditionalFormatting sqref="C76">
    <cfRule type="expression" dxfId="74" priority="134">
      <formula>$G$73="No"</formula>
    </cfRule>
    <cfRule type="expression" dxfId="73" priority="135">
      <formula>$D$76=1</formula>
    </cfRule>
  </conditionalFormatting>
  <conditionalFormatting sqref="C75">
    <cfRule type="expression" dxfId="72" priority="133">
      <formula>$G$75=""</formula>
    </cfRule>
  </conditionalFormatting>
  <conditionalFormatting sqref="C77">
    <cfRule type="expression" dxfId="71" priority="132">
      <formula>$G$77=""</formula>
    </cfRule>
  </conditionalFormatting>
  <conditionalFormatting sqref="M13">
    <cfRule type="expression" dxfId="70" priority="130">
      <formula>$Q$13=""</formula>
    </cfRule>
  </conditionalFormatting>
  <conditionalFormatting sqref="M14">
    <cfRule type="expression" dxfId="69" priority="129">
      <formula>$N$14=1</formula>
    </cfRule>
  </conditionalFormatting>
  <conditionalFormatting sqref="M15">
    <cfRule type="expression" dxfId="68" priority="128">
      <formula>$N$15=1</formula>
    </cfRule>
  </conditionalFormatting>
  <conditionalFormatting sqref="M19">
    <cfRule type="expression" dxfId="67" priority="127">
      <formula>$Q$19=""</formula>
    </cfRule>
  </conditionalFormatting>
  <conditionalFormatting sqref="M20">
    <cfRule type="expression" dxfId="66" priority="126">
      <formula>$Q$20=""</formula>
    </cfRule>
  </conditionalFormatting>
  <conditionalFormatting sqref="M24">
    <cfRule type="expression" dxfId="65" priority="125">
      <formula>$Q$24=""</formula>
    </cfRule>
  </conditionalFormatting>
  <conditionalFormatting sqref="M21 M52 M57 M50 M47 M30 M33:M34 M38">
    <cfRule type="expression" dxfId="64" priority="124">
      <formula>$N21=1</formula>
    </cfRule>
  </conditionalFormatting>
  <conditionalFormatting sqref="M25">
    <cfRule type="expression" dxfId="63" priority="116">
      <formula>$Q$25&lt;0</formula>
    </cfRule>
  </conditionalFormatting>
  <conditionalFormatting sqref="M27">
    <cfRule type="expression" dxfId="62" priority="115">
      <formula>$N$27=1</formula>
    </cfRule>
  </conditionalFormatting>
  <conditionalFormatting sqref="M28">
    <cfRule type="expression" dxfId="61" priority="114">
      <formula>$Q$28=""</formula>
    </cfRule>
  </conditionalFormatting>
  <conditionalFormatting sqref="M62 M65 M45 M29">
    <cfRule type="expression" dxfId="60" priority="112">
      <formula>$Q29&lt;0</formula>
    </cfRule>
  </conditionalFormatting>
  <conditionalFormatting sqref="M36">
    <cfRule type="expression" dxfId="59" priority="108">
      <formula>$N$36=1</formula>
    </cfRule>
  </conditionalFormatting>
  <conditionalFormatting sqref="M41">
    <cfRule type="expression" dxfId="58" priority="107">
      <formula>$Q$41&lt;0</formula>
    </cfRule>
  </conditionalFormatting>
  <conditionalFormatting sqref="M43">
    <cfRule type="expression" dxfId="57" priority="106">
      <formula>$N$43=1</formula>
    </cfRule>
  </conditionalFormatting>
  <conditionalFormatting sqref="M44">
    <cfRule type="expression" dxfId="56" priority="105">
      <formula>$Q$44=""</formula>
    </cfRule>
  </conditionalFormatting>
  <conditionalFormatting sqref="M51 M53">
    <cfRule type="expression" dxfId="55" priority="101">
      <formula>$Q51&gt;0</formula>
    </cfRule>
  </conditionalFormatting>
  <conditionalFormatting sqref="M58">
    <cfRule type="expression" dxfId="54" priority="89">
      <formula>$Q$57="Salvage"</formula>
    </cfRule>
    <cfRule type="expression" dxfId="53" priority="99">
      <formula>$Q$58&lt;0</formula>
    </cfRule>
  </conditionalFormatting>
  <conditionalFormatting sqref="M67">
    <cfRule type="expression" dxfId="52" priority="96">
      <formula>$Q$67&lt;0</formula>
    </cfRule>
  </conditionalFormatting>
  <conditionalFormatting sqref="M27:M28 M24:M25">
    <cfRule type="expression" dxfId="51" priority="93">
      <formula>$Q$19="Cost-Based"</formula>
    </cfRule>
  </conditionalFormatting>
  <conditionalFormatting sqref="M73">
    <cfRule type="expression" dxfId="50" priority="85">
      <formula>$N$73=2</formula>
    </cfRule>
    <cfRule type="expression" dxfId="49" priority="86">
      <formula>$N$73=1</formula>
    </cfRule>
  </conditionalFormatting>
  <conditionalFormatting sqref="M74:M78">
    <cfRule type="expression" dxfId="48" priority="81">
      <formula>$N74=2</formula>
    </cfRule>
    <cfRule type="expression" dxfId="47" priority="82">
      <formula>$N74=1</formula>
    </cfRule>
  </conditionalFormatting>
  <conditionalFormatting sqref="AB73:AB79 O73:R78 U73:Z78">
    <cfRule type="expression" dxfId="46" priority="80">
      <formula>$L73=0</formula>
    </cfRule>
  </conditionalFormatting>
  <conditionalFormatting sqref="O79:R79 U79:Z79">
    <cfRule type="expression" dxfId="45" priority="75">
      <formula>$L$79=0</formula>
    </cfRule>
  </conditionalFormatting>
  <conditionalFormatting sqref="C5">
    <cfRule type="expression" dxfId="44" priority="74">
      <formula>$G$5=""</formula>
    </cfRule>
  </conditionalFormatting>
  <conditionalFormatting sqref="C21:C23">
    <cfRule type="expression" dxfId="43" priority="73">
      <formula>$G21&lt;0</formula>
    </cfRule>
  </conditionalFormatting>
  <conditionalFormatting sqref="C36 C38:C42">
    <cfRule type="expression" dxfId="42" priority="70">
      <formula>$G$30="Simple"</formula>
    </cfRule>
  </conditionalFormatting>
  <conditionalFormatting sqref="C36 C38:C39 C41:C42">
    <cfRule type="expression" dxfId="41" priority="67">
      <formula>$G36&lt;0</formula>
    </cfRule>
    <cfRule type="expression" dxfId="40" priority="68">
      <formula>$G36&lt;0</formula>
    </cfRule>
  </conditionalFormatting>
  <conditionalFormatting sqref="C40">
    <cfRule type="expression" dxfId="39" priority="56">
      <formula>$G$40=""</formula>
    </cfRule>
  </conditionalFormatting>
  <conditionalFormatting sqref="C32">
    <cfRule type="expression" dxfId="38" priority="55">
      <formula>$G$32&lt;0</formula>
    </cfRule>
  </conditionalFormatting>
  <conditionalFormatting sqref="C15">
    <cfRule type="expression" dxfId="37" priority="54">
      <formula>$D$15=1</formula>
    </cfRule>
  </conditionalFormatting>
  <conditionalFormatting sqref="E74:G79 I74:I79">
    <cfRule type="expression" dxfId="36" priority="2359">
      <formula>$G$73="No"</formula>
    </cfRule>
  </conditionalFormatting>
  <conditionalFormatting sqref="I57 I60">
    <cfRule type="expression" dxfId="35" priority="42">
      <formula>$G57="Fail"</formula>
    </cfRule>
  </conditionalFormatting>
  <conditionalFormatting sqref="E57">
    <cfRule type="expression" dxfId="34" priority="37">
      <formula>$G$57="Fail"</formula>
    </cfRule>
  </conditionalFormatting>
  <conditionalFormatting sqref="E60">
    <cfRule type="expression" dxfId="33" priority="36">
      <formula>$G$60="Fail"</formula>
    </cfRule>
  </conditionalFormatting>
  <conditionalFormatting sqref="M71">
    <cfRule type="expression" dxfId="32" priority="21">
      <formula>$P$70="No"</formula>
    </cfRule>
    <cfRule type="expression" dxfId="31" priority="22">
      <formula>$P$71&lt;0</formula>
    </cfRule>
  </conditionalFormatting>
  <conditionalFormatting sqref="O71:P71 S71">
    <cfRule type="expression" dxfId="30" priority="20">
      <formula>$P$70="No"</formula>
    </cfRule>
  </conditionalFormatting>
  <conditionalFormatting sqref="M70">
    <cfRule type="expression" dxfId="29" priority="18">
      <formula>$P$70=""</formula>
    </cfRule>
  </conditionalFormatting>
  <conditionalFormatting sqref="M13:M15">
    <cfRule type="expression" dxfId="28" priority="3188">
      <formula>$G$15=$Q$8</formula>
    </cfRule>
  </conditionalFormatting>
  <conditionalFormatting sqref="L24 K19">
    <cfRule type="expression" dxfId="27" priority="3189">
      <formula>$G$18="Simple"</formula>
    </cfRule>
  </conditionalFormatting>
  <conditionalFormatting sqref="L27:L28 L25 K20:K24">
    <cfRule type="expression" dxfId="26" priority="3191">
      <formula>$G$18="Intermediate"</formula>
    </cfRule>
  </conditionalFormatting>
  <conditionalFormatting sqref="C9">
    <cfRule type="expression" dxfId="25" priority="15">
      <formula>$G$9=""</formula>
    </cfRule>
  </conditionalFormatting>
  <conditionalFormatting sqref="I10 E10:G10">
    <cfRule type="expression" dxfId="24" priority="14">
      <formula>$G$9="Custom"</formula>
    </cfRule>
  </conditionalFormatting>
  <conditionalFormatting sqref="C10">
    <cfRule type="expression" dxfId="23" priority="13">
      <formula>$G$10=""</formula>
    </cfRule>
  </conditionalFormatting>
  <conditionalFormatting sqref="C11">
    <cfRule type="expression" dxfId="22" priority="12">
      <formula>$G$11=""</formula>
    </cfRule>
  </conditionalFormatting>
  <conditionalFormatting sqref="E11:G11 I11">
    <cfRule type="expression" dxfId="21" priority="11">
      <formula>$G$9="State Average"</formula>
    </cfRule>
  </conditionalFormatting>
  <conditionalFormatting sqref="O39:Q39 O43:Q44 O41:Q41">
    <cfRule type="expression" dxfId="20" priority="3216">
      <formula>$Q$38="No"</formula>
    </cfRule>
  </conditionalFormatting>
  <conditionalFormatting sqref="G12">
    <cfRule type="expression" dxfId="19" priority="8">
      <formula>ISERROR($G$13)</formula>
    </cfRule>
  </conditionalFormatting>
  <conditionalFormatting sqref="E12:G12 I12">
    <cfRule type="expression" dxfId="18" priority="7">
      <formula>$G$9="custom"</formula>
    </cfRule>
  </conditionalFormatting>
  <conditionalFormatting sqref="S36:S37 O36:Q37 S34 O34:Q34">
    <cfRule type="expression" dxfId="17" priority="4697">
      <formula>$R$34=1</formula>
    </cfRule>
  </conditionalFormatting>
  <conditionalFormatting sqref="M36 M34">
    <cfRule type="expression" dxfId="16" priority="4762">
      <formula>$Q$33="Performance-Based"</formula>
    </cfRule>
  </conditionalFormatting>
  <conditionalFormatting sqref="M38 M43:M44 M41">
    <cfRule type="expression" dxfId="15" priority="4800">
      <formula>$Q$33="Cost-Based"</formula>
    </cfRule>
  </conditionalFormatting>
  <conditionalFormatting sqref="M40">
    <cfRule type="expression" dxfId="14" priority="4944">
      <formula>$Q$38="Tax Credit"</formula>
    </cfRule>
    <cfRule type="expression" dxfId="13" priority="4945">
      <formula>$Q40=""</formula>
    </cfRule>
  </conditionalFormatting>
  <conditionalFormatting sqref="O42:Q42">
    <cfRule type="expression" dxfId="12" priority="6">
      <formula>$R$38=1</formula>
    </cfRule>
  </conditionalFormatting>
  <conditionalFormatting sqref="O42:Q42">
    <cfRule type="expression" dxfId="11" priority="5">
      <formula>$Q$38="No"</formula>
    </cfRule>
  </conditionalFormatting>
  <conditionalFormatting sqref="O35:Q35">
    <cfRule type="expression" dxfId="10" priority="4">
      <formula>$R$34=1</formula>
    </cfRule>
  </conditionalFormatting>
  <conditionalFormatting sqref="O22:Q22">
    <cfRule type="expression" dxfId="9" priority="3">
      <formula>$R$19=1</formula>
    </cfRule>
  </conditionalFormatting>
  <conditionalFormatting sqref="O24:Q28 S24:S25 S27:S28">
    <cfRule type="expression" dxfId="8" priority="1">
      <formula>OR($R$19=2,$Q$19="Neither")</formula>
    </cfRule>
  </conditionalFormatting>
  <dataValidations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xr:uid="{00000000-0002-0000-0100-000000000000}">
      <formula1>G58</formula1>
    </dataValidation>
    <dataValidation type="list" allowBlank="1" showInputMessage="1" showErrorMessage="1" sqref="Q40 Q30 Q47 G73 P70" xr:uid="{00000000-0002-0000-0100-000001000000}">
      <formula1>"Yes, No"</formula1>
    </dataValidation>
    <dataValidation type="list" allowBlank="1" showInputMessage="1" showErrorMessage="1" sqref="Q38 Q24" xr:uid="{00000000-0002-0000-0100-000002000000}">
      <formula1>"Cash, Tax Credit"</formula1>
    </dataValidation>
    <dataValidation type="list" allowBlank="1" showInputMessage="1" showErrorMessage="1" sqref="Q33 Q19" xr:uid="{00000000-0002-0000-0100-000003000000}">
      <formula1>"Cost-Based, Performance-Based, Neither"</formula1>
    </dataValidation>
    <dataValidation type="list" allowBlank="1" showInputMessage="1" showErrorMessage="1" sqref="Q57" xr:uid="{00000000-0002-0000-0100-000004000000}">
      <formula1>"Operations, Salvage"</formula1>
    </dataValidation>
    <dataValidation type="list" allowBlank="1" showInputMessage="1" showErrorMessage="1" sqref="Q20" xr:uid="{00000000-0002-0000-0100-000005000000}">
      <formula1>"ITC, Cash Grant"</formula1>
    </dataValidation>
    <dataValidation type="list" allowBlank="1" showInputMessage="1" showErrorMessage="1" sqref="G75 G77" xr:uid="{00000000-0002-0000-0100-000006000000}">
      <formula1>"As Generated, Carried Forward"</formula1>
    </dataValidation>
    <dataValidation errorStyle="warning" allowBlank="1" showInputMessage="1" showErrorMessage="1" sqref="G57" xr:uid="{00000000-0002-0000-0100-000007000000}"/>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xr:uid="{00000000-0002-0000-0100-000008000000}"/>
    <dataValidation errorStyle="warning" operator="greaterThanOrEqual" allowBlank="1" showInputMessage="1" showErrorMessage="1" errorTitle="test" error="test" sqref="G55" xr:uid="{00000000-0002-0000-0100-000009000000}"/>
    <dataValidation type="list" allowBlank="1" showInputMessage="1" showErrorMessage="1" sqref="G30" xr:uid="{00000000-0002-0000-0100-00000A000000}">
      <formula1>"Simple, Intermediate"</formula1>
    </dataValidation>
    <dataValidation type="list" allowBlank="1" showInputMessage="1" showErrorMessage="1" sqref="G18" xr:uid="{00000000-0002-0000-0100-00000B000000}">
      <formula1>"Simple, Intermediate, Complex"</formula1>
    </dataValidation>
    <dataValidation type="list" allowBlank="1" showInputMessage="1" showErrorMessage="1" sqref="Q13" xr:uid="{00000000-0002-0000-0100-00000C000000}">
      <formula1>"Year One, Year-by-Year"</formula1>
    </dataValidation>
    <dataValidation type="list" allowBlank="1" showInputMessage="1" showErrorMessage="1" sqref="J5 G5" xr:uid="{00000000-0002-0000-0100-00000D000000}">
      <formula1>$O$5:$P$5</formula1>
    </dataValidation>
    <dataValidation type="list" allowBlank="1" showInputMessage="1" showErrorMessage="1" sqref="G9" xr:uid="{00000000-0002-0000-0100-00000E000000}">
      <formula1>"State Average, Custom"</formula1>
    </dataValidation>
    <dataValidation type="list" allowBlank="1" showInputMessage="1" showErrorMessage="1" sqref="G10" xr:uid="{00000000-0002-0000-0100-00000F000000}">
      <formula1>$AD$5:$AD$55</formula1>
    </dataValidation>
  </dataValidations>
  <hyperlinks>
    <hyperlink ref="E25" location="'Complex Inputs'!A1" display="'Complex Inputs'!A1" xr:uid="{00000000-0004-0000-0100-000000000000}"/>
    <hyperlink ref="O16" location="'Complex Inputs'!A126" display="'Complex Inputs'!A126" xr:uid="{00000000-0004-0000-0100-000001000000}"/>
    <hyperlink ref="O79" location="'Complex Inputs'!A114" display="'Complex Inputs'!A114" xr:uid="{00000000-0004-0000-0100-000002000000}"/>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O65"/>
  <sheetViews>
    <sheetView showGridLines="0" zoomScale="70" zoomScaleNormal="70" workbookViewId="0">
      <pane xSplit="1" ySplit="2" topLeftCell="B3" activePane="bottomRight" state="frozen"/>
      <selection pane="topRight" activeCell="B1" sqref="B1"/>
      <selection pane="bottomLeft" activeCell="A3" sqref="A3"/>
      <selection pane="bottomRight" activeCell="J12" sqref="J12"/>
    </sheetView>
  </sheetViews>
  <sheetFormatPr baseColWidth="10" defaultColWidth="8.83203125" defaultRowHeight="14"/>
  <cols>
    <col min="1" max="1" width="2.5" style="167" customWidth="1"/>
    <col min="2" max="2" width="57.5" style="167" customWidth="1"/>
    <col min="3" max="3" width="8.5" style="167" bestFit="1" customWidth="1"/>
    <col min="4" max="4" width="22.6640625" style="167" bestFit="1" customWidth="1"/>
    <col min="5" max="5" width="3.83203125" style="167" customWidth="1"/>
    <col min="6" max="15" width="26.33203125" style="167" bestFit="1" customWidth="1"/>
    <col min="16" max="243" width="9.1640625" style="167"/>
    <col min="244" max="244" width="21.5" style="167" customWidth="1"/>
    <col min="245" max="245" width="16.5" style="167" customWidth="1"/>
    <col min="246" max="246" width="18" style="167" customWidth="1"/>
    <col min="247" max="247" width="23.6640625" style="167" customWidth="1"/>
    <col min="248" max="248" width="26" style="167" customWidth="1"/>
    <col min="249" max="249" width="21.5" style="167" customWidth="1"/>
    <col min="250" max="250" width="20.83203125" style="167" customWidth="1"/>
    <col min="251" max="251" width="0" style="167" hidden="1" customWidth="1"/>
    <col min="252" max="499" width="9.1640625" style="167"/>
    <col min="500" max="500" width="21.5" style="167" customWidth="1"/>
    <col min="501" max="501" width="16.5" style="167" customWidth="1"/>
    <col min="502" max="502" width="18" style="167" customWidth="1"/>
    <col min="503" max="503" width="23.6640625" style="167" customWidth="1"/>
    <col min="504" max="504" width="26" style="167" customWidth="1"/>
    <col min="505" max="505" width="21.5" style="167" customWidth="1"/>
    <col min="506" max="506" width="20.83203125" style="167" customWidth="1"/>
    <col min="507" max="507" width="0" style="167" hidden="1" customWidth="1"/>
    <col min="508" max="755" width="9.1640625" style="167"/>
    <col min="756" max="756" width="21.5" style="167" customWidth="1"/>
    <col min="757" max="757" width="16.5" style="167" customWidth="1"/>
    <col min="758" max="758" width="18" style="167" customWidth="1"/>
    <col min="759" max="759" width="23.6640625" style="167" customWidth="1"/>
    <col min="760" max="760" width="26" style="167" customWidth="1"/>
    <col min="761" max="761" width="21.5" style="167" customWidth="1"/>
    <col min="762" max="762" width="20.83203125" style="167" customWidth="1"/>
    <col min="763" max="763" width="0" style="167" hidden="1" customWidth="1"/>
    <col min="764" max="1011" width="9.1640625" style="167"/>
    <col min="1012" max="1012" width="21.5" style="167" customWidth="1"/>
    <col min="1013" max="1013" width="16.5" style="167" customWidth="1"/>
    <col min="1014" max="1014" width="18" style="167" customWidth="1"/>
    <col min="1015" max="1015" width="23.6640625" style="167" customWidth="1"/>
    <col min="1016" max="1016" width="26" style="167" customWidth="1"/>
    <col min="1017" max="1017" width="21.5" style="167" customWidth="1"/>
    <col min="1018" max="1018" width="20.83203125" style="167" customWidth="1"/>
    <col min="1019" max="1019" width="0" style="167" hidden="1" customWidth="1"/>
    <col min="1020" max="1267" width="9.1640625" style="167"/>
    <col min="1268" max="1268" width="21.5" style="167" customWidth="1"/>
    <col min="1269" max="1269" width="16.5" style="167" customWidth="1"/>
    <col min="1270" max="1270" width="18" style="167" customWidth="1"/>
    <col min="1271" max="1271" width="23.6640625" style="167" customWidth="1"/>
    <col min="1272" max="1272" width="26" style="167" customWidth="1"/>
    <col min="1273" max="1273" width="21.5" style="167" customWidth="1"/>
    <col min="1274" max="1274" width="20.83203125" style="167" customWidth="1"/>
    <col min="1275" max="1275" width="0" style="167" hidden="1" customWidth="1"/>
    <col min="1276" max="1523" width="9.1640625" style="167"/>
    <col min="1524" max="1524" width="21.5" style="167" customWidth="1"/>
    <col min="1525" max="1525" width="16.5" style="167" customWidth="1"/>
    <col min="1526" max="1526" width="18" style="167" customWidth="1"/>
    <col min="1527" max="1527" width="23.6640625" style="167" customWidth="1"/>
    <col min="1528" max="1528" width="26" style="167" customWidth="1"/>
    <col min="1529" max="1529" width="21.5" style="167" customWidth="1"/>
    <col min="1530" max="1530" width="20.83203125" style="167" customWidth="1"/>
    <col min="1531" max="1531" width="0" style="167" hidden="1" customWidth="1"/>
    <col min="1532" max="1779" width="9.1640625" style="167"/>
    <col min="1780" max="1780" width="21.5" style="167" customWidth="1"/>
    <col min="1781" max="1781" width="16.5" style="167" customWidth="1"/>
    <col min="1782" max="1782" width="18" style="167" customWidth="1"/>
    <col min="1783" max="1783" width="23.6640625" style="167" customWidth="1"/>
    <col min="1784" max="1784" width="26" style="167" customWidth="1"/>
    <col min="1785" max="1785" width="21.5" style="167" customWidth="1"/>
    <col min="1786" max="1786" width="20.83203125" style="167" customWidth="1"/>
    <col min="1787" max="1787" width="0" style="167" hidden="1" customWidth="1"/>
    <col min="1788" max="2035" width="9.1640625" style="167"/>
    <col min="2036" max="2036" width="21.5" style="167" customWidth="1"/>
    <col min="2037" max="2037" width="16.5" style="167" customWidth="1"/>
    <col min="2038" max="2038" width="18" style="167" customWidth="1"/>
    <col min="2039" max="2039" width="23.6640625" style="167" customWidth="1"/>
    <col min="2040" max="2040" width="26" style="167" customWidth="1"/>
    <col min="2041" max="2041" width="21.5" style="167" customWidth="1"/>
    <col min="2042" max="2042" width="20.83203125" style="167" customWidth="1"/>
    <col min="2043" max="2043" width="0" style="167" hidden="1" customWidth="1"/>
    <col min="2044" max="2291" width="9.1640625" style="167"/>
    <col min="2292" max="2292" width="21.5" style="167" customWidth="1"/>
    <col min="2293" max="2293" width="16.5" style="167" customWidth="1"/>
    <col min="2294" max="2294" width="18" style="167" customWidth="1"/>
    <col min="2295" max="2295" width="23.6640625" style="167" customWidth="1"/>
    <col min="2296" max="2296" width="26" style="167" customWidth="1"/>
    <col min="2297" max="2297" width="21.5" style="167" customWidth="1"/>
    <col min="2298" max="2298" width="20.83203125" style="167" customWidth="1"/>
    <col min="2299" max="2299" width="0" style="167" hidden="1" customWidth="1"/>
    <col min="2300" max="2547" width="9.1640625" style="167"/>
    <col min="2548" max="2548" width="21.5" style="167" customWidth="1"/>
    <col min="2549" max="2549" width="16.5" style="167" customWidth="1"/>
    <col min="2550" max="2550" width="18" style="167" customWidth="1"/>
    <col min="2551" max="2551" width="23.6640625" style="167" customWidth="1"/>
    <col min="2552" max="2552" width="26" style="167" customWidth="1"/>
    <col min="2553" max="2553" width="21.5" style="167" customWidth="1"/>
    <col min="2554" max="2554" width="20.83203125" style="167" customWidth="1"/>
    <col min="2555" max="2555" width="0" style="167" hidden="1" customWidth="1"/>
    <col min="2556" max="2803" width="9.1640625" style="167"/>
    <col min="2804" max="2804" width="21.5" style="167" customWidth="1"/>
    <col min="2805" max="2805" width="16.5" style="167" customWidth="1"/>
    <col min="2806" max="2806" width="18" style="167" customWidth="1"/>
    <col min="2807" max="2807" width="23.6640625" style="167" customWidth="1"/>
    <col min="2808" max="2808" width="26" style="167" customWidth="1"/>
    <col min="2809" max="2809" width="21.5" style="167" customWidth="1"/>
    <col min="2810" max="2810" width="20.83203125" style="167" customWidth="1"/>
    <col min="2811" max="2811" width="0" style="167" hidden="1" customWidth="1"/>
    <col min="2812" max="3059" width="9.1640625" style="167"/>
    <col min="3060" max="3060" width="21.5" style="167" customWidth="1"/>
    <col min="3061" max="3061" width="16.5" style="167" customWidth="1"/>
    <col min="3062" max="3062" width="18" style="167" customWidth="1"/>
    <col min="3063" max="3063" width="23.6640625" style="167" customWidth="1"/>
    <col min="3064" max="3064" width="26" style="167" customWidth="1"/>
    <col min="3065" max="3065" width="21.5" style="167" customWidth="1"/>
    <col min="3066" max="3066" width="20.83203125" style="167" customWidth="1"/>
    <col min="3067" max="3067" width="0" style="167" hidden="1" customWidth="1"/>
    <col min="3068" max="3315" width="9.1640625" style="167"/>
    <col min="3316" max="3316" width="21.5" style="167" customWidth="1"/>
    <col min="3317" max="3317" width="16.5" style="167" customWidth="1"/>
    <col min="3318" max="3318" width="18" style="167" customWidth="1"/>
    <col min="3319" max="3319" width="23.6640625" style="167" customWidth="1"/>
    <col min="3320" max="3320" width="26" style="167" customWidth="1"/>
    <col min="3321" max="3321" width="21.5" style="167" customWidth="1"/>
    <col min="3322" max="3322" width="20.83203125" style="167" customWidth="1"/>
    <col min="3323" max="3323" width="0" style="167" hidden="1" customWidth="1"/>
    <col min="3324" max="3571" width="9.1640625" style="167"/>
    <col min="3572" max="3572" width="21.5" style="167" customWidth="1"/>
    <col min="3573" max="3573" width="16.5" style="167" customWidth="1"/>
    <col min="3574" max="3574" width="18" style="167" customWidth="1"/>
    <col min="3575" max="3575" width="23.6640625" style="167" customWidth="1"/>
    <col min="3576" max="3576" width="26" style="167" customWidth="1"/>
    <col min="3577" max="3577" width="21.5" style="167" customWidth="1"/>
    <col min="3578" max="3578" width="20.83203125" style="167" customWidth="1"/>
    <col min="3579" max="3579" width="0" style="167" hidden="1" customWidth="1"/>
    <col min="3580" max="3827" width="9.1640625" style="167"/>
    <col min="3828" max="3828" width="21.5" style="167" customWidth="1"/>
    <col min="3829" max="3829" width="16.5" style="167" customWidth="1"/>
    <col min="3830" max="3830" width="18" style="167" customWidth="1"/>
    <col min="3831" max="3831" width="23.6640625" style="167" customWidth="1"/>
    <col min="3832" max="3832" width="26" style="167" customWidth="1"/>
    <col min="3833" max="3833" width="21.5" style="167" customWidth="1"/>
    <col min="3834" max="3834" width="20.83203125" style="167" customWidth="1"/>
    <col min="3835" max="3835" width="0" style="167" hidden="1" customWidth="1"/>
    <col min="3836" max="4083" width="9.1640625" style="167"/>
    <col min="4084" max="4084" width="21.5" style="167" customWidth="1"/>
    <col min="4085" max="4085" width="16.5" style="167" customWidth="1"/>
    <col min="4086" max="4086" width="18" style="167" customWidth="1"/>
    <col min="4087" max="4087" width="23.6640625" style="167" customWidth="1"/>
    <col min="4088" max="4088" width="26" style="167" customWidth="1"/>
    <col min="4089" max="4089" width="21.5" style="167" customWidth="1"/>
    <col min="4090" max="4090" width="20.83203125" style="167" customWidth="1"/>
    <col min="4091" max="4091" width="0" style="167" hidden="1" customWidth="1"/>
    <col min="4092" max="4339" width="9.1640625" style="167"/>
    <col min="4340" max="4340" width="21.5" style="167" customWidth="1"/>
    <col min="4341" max="4341" width="16.5" style="167" customWidth="1"/>
    <col min="4342" max="4342" width="18" style="167" customWidth="1"/>
    <col min="4343" max="4343" width="23.6640625" style="167" customWidth="1"/>
    <col min="4344" max="4344" width="26" style="167" customWidth="1"/>
    <col min="4345" max="4345" width="21.5" style="167" customWidth="1"/>
    <col min="4346" max="4346" width="20.83203125" style="167" customWidth="1"/>
    <col min="4347" max="4347" width="0" style="167" hidden="1" customWidth="1"/>
    <col min="4348" max="4595" width="9.1640625" style="167"/>
    <col min="4596" max="4596" width="21.5" style="167" customWidth="1"/>
    <col min="4597" max="4597" width="16.5" style="167" customWidth="1"/>
    <col min="4598" max="4598" width="18" style="167" customWidth="1"/>
    <col min="4599" max="4599" width="23.6640625" style="167" customWidth="1"/>
    <col min="4600" max="4600" width="26" style="167" customWidth="1"/>
    <col min="4601" max="4601" width="21.5" style="167" customWidth="1"/>
    <col min="4602" max="4602" width="20.83203125" style="167" customWidth="1"/>
    <col min="4603" max="4603" width="0" style="167" hidden="1" customWidth="1"/>
    <col min="4604" max="4851" width="9.1640625" style="167"/>
    <col min="4852" max="4852" width="21.5" style="167" customWidth="1"/>
    <col min="4853" max="4853" width="16.5" style="167" customWidth="1"/>
    <col min="4854" max="4854" width="18" style="167" customWidth="1"/>
    <col min="4855" max="4855" width="23.6640625" style="167" customWidth="1"/>
    <col min="4856" max="4856" width="26" style="167" customWidth="1"/>
    <col min="4857" max="4857" width="21.5" style="167" customWidth="1"/>
    <col min="4858" max="4858" width="20.83203125" style="167" customWidth="1"/>
    <col min="4859" max="4859" width="0" style="167" hidden="1" customWidth="1"/>
    <col min="4860" max="5107" width="9.1640625" style="167"/>
    <col min="5108" max="5108" width="21.5" style="167" customWidth="1"/>
    <col min="5109" max="5109" width="16.5" style="167" customWidth="1"/>
    <col min="5110" max="5110" width="18" style="167" customWidth="1"/>
    <col min="5111" max="5111" width="23.6640625" style="167" customWidth="1"/>
    <col min="5112" max="5112" width="26" style="167" customWidth="1"/>
    <col min="5113" max="5113" width="21.5" style="167" customWidth="1"/>
    <col min="5114" max="5114" width="20.83203125" style="167" customWidth="1"/>
    <col min="5115" max="5115" width="0" style="167" hidden="1" customWidth="1"/>
    <col min="5116" max="5363" width="9.1640625" style="167"/>
    <col min="5364" max="5364" width="21.5" style="167" customWidth="1"/>
    <col min="5365" max="5365" width="16.5" style="167" customWidth="1"/>
    <col min="5366" max="5366" width="18" style="167" customWidth="1"/>
    <col min="5367" max="5367" width="23.6640625" style="167" customWidth="1"/>
    <col min="5368" max="5368" width="26" style="167" customWidth="1"/>
    <col min="5369" max="5369" width="21.5" style="167" customWidth="1"/>
    <col min="5370" max="5370" width="20.83203125" style="167" customWidth="1"/>
    <col min="5371" max="5371" width="0" style="167" hidden="1" customWidth="1"/>
    <col min="5372" max="5619" width="9.1640625" style="167"/>
    <col min="5620" max="5620" width="21.5" style="167" customWidth="1"/>
    <col min="5621" max="5621" width="16.5" style="167" customWidth="1"/>
    <col min="5622" max="5622" width="18" style="167" customWidth="1"/>
    <col min="5623" max="5623" width="23.6640625" style="167" customWidth="1"/>
    <col min="5624" max="5624" width="26" style="167" customWidth="1"/>
    <col min="5625" max="5625" width="21.5" style="167" customWidth="1"/>
    <col min="5626" max="5626" width="20.83203125" style="167" customWidth="1"/>
    <col min="5627" max="5627" width="0" style="167" hidden="1" customWidth="1"/>
    <col min="5628" max="5875" width="9.1640625" style="167"/>
    <col min="5876" max="5876" width="21.5" style="167" customWidth="1"/>
    <col min="5877" max="5877" width="16.5" style="167" customWidth="1"/>
    <col min="5878" max="5878" width="18" style="167" customWidth="1"/>
    <col min="5879" max="5879" width="23.6640625" style="167" customWidth="1"/>
    <col min="5880" max="5880" width="26" style="167" customWidth="1"/>
    <col min="5881" max="5881" width="21.5" style="167" customWidth="1"/>
    <col min="5882" max="5882" width="20.83203125" style="167" customWidth="1"/>
    <col min="5883" max="5883" width="0" style="167" hidden="1" customWidth="1"/>
    <col min="5884" max="6131" width="9.1640625" style="167"/>
    <col min="6132" max="6132" width="21.5" style="167" customWidth="1"/>
    <col min="6133" max="6133" width="16.5" style="167" customWidth="1"/>
    <col min="6134" max="6134" width="18" style="167" customWidth="1"/>
    <col min="6135" max="6135" width="23.6640625" style="167" customWidth="1"/>
    <col min="6136" max="6136" width="26" style="167" customWidth="1"/>
    <col min="6137" max="6137" width="21.5" style="167" customWidth="1"/>
    <col min="6138" max="6138" width="20.83203125" style="167" customWidth="1"/>
    <col min="6139" max="6139" width="0" style="167" hidden="1" customWidth="1"/>
    <col min="6140" max="6387" width="9.1640625" style="167"/>
    <col min="6388" max="6388" width="21.5" style="167" customWidth="1"/>
    <col min="6389" max="6389" width="16.5" style="167" customWidth="1"/>
    <col min="6390" max="6390" width="18" style="167" customWidth="1"/>
    <col min="6391" max="6391" width="23.6640625" style="167" customWidth="1"/>
    <col min="6392" max="6392" width="26" style="167" customWidth="1"/>
    <col min="6393" max="6393" width="21.5" style="167" customWidth="1"/>
    <col min="6394" max="6394" width="20.83203125" style="167" customWidth="1"/>
    <col min="6395" max="6395" width="0" style="167" hidden="1" customWidth="1"/>
    <col min="6396" max="6643" width="9.1640625" style="167"/>
    <col min="6644" max="6644" width="21.5" style="167" customWidth="1"/>
    <col min="6645" max="6645" width="16.5" style="167" customWidth="1"/>
    <col min="6646" max="6646" width="18" style="167" customWidth="1"/>
    <col min="6647" max="6647" width="23.6640625" style="167" customWidth="1"/>
    <col min="6648" max="6648" width="26" style="167" customWidth="1"/>
    <col min="6649" max="6649" width="21.5" style="167" customWidth="1"/>
    <col min="6650" max="6650" width="20.83203125" style="167" customWidth="1"/>
    <col min="6651" max="6651" width="0" style="167" hidden="1" customWidth="1"/>
    <col min="6652" max="6899" width="9.1640625" style="167"/>
    <col min="6900" max="6900" width="21.5" style="167" customWidth="1"/>
    <col min="6901" max="6901" width="16.5" style="167" customWidth="1"/>
    <col min="6902" max="6902" width="18" style="167" customWidth="1"/>
    <col min="6903" max="6903" width="23.6640625" style="167" customWidth="1"/>
    <col min="6904" max="6904" width="26" style="167" customWidth="1"/>
    <col min="6905" max="6905" width="21.5" style="167" customWidth="1"/>
    <col min="6906" max="6906" width="20.83203125" style="167" customWidth="1"/>
    <col min="6907" max="6907" width="0" style="167" hidden="1" customWidth="1"/>
    <col min="6908" max="7155" width="9.1640625" style="167"/>
    <col min="7156" max="7156" width="21.5" style="167" customWidth="1"/>
    <col min="7157" max="7157" width="16.5" style="167" customWidth="1"/>
    <col min="7158" max="7158" width="18" style="167" customWidth="1"/>
    <col min="7159" max="7159" width="23.6640625" style="167" customWidth="1"/>
    <col min="7160" max="7160" width="26" style="167" customWidth="1"/>
    <col min="7161" max="7161" width="21.5" style="167" customWidth="1"/>
    <col min="7162" max="7162" width="20.83203125" style="167" customWidth="1"/>
    <col min="7163" max="7163" width="0" style="167" hidden="1" customWidth="1"/>
    <col min="7164" max="7411" width="9.1640625" style="167"/>
    <col min="7412" max="7412" width="21.5" style="167" customWidth="1"/>
    <col min="7413" max="7413" width="16.5" style="167" customWidth="1"/>
    <col min="7414" max="7414" width="18" style="167" customWidth="1"/>
    <col min="7415" max="7415" width="23.6640625" style="167" customWidth="1"/>
    <col min="7416" max="7416" width="26" style="167" customWidth="1"/>
    <col min="7417" max="7417" width="21.5" style="167" customWidth="1"/>
    <col min="7418" max="7418" width="20.83203125" style="167" customWidth="1"/>
    <col min="7419" max="7419" width="0" style="167" hidden="1" customWidth="1"/>
    <col min="7420" max="7667" width="9.1640625" style="167"/>
    <col min="7668" max="7668" width="21.5" style="167" customWidth="1"/>
    <col min="7669" max="7669" width="16.5" style="167" customWidth="1"/>
    <col min="7670" max="7670" width="18" style="167" customWidth="1"/>
    <col min="7671" max="7671" width="23.6640625" style="167" customWidth="1"/>
    <col min="7672" max="7672" width="26" style="167" customWidth="1"/>
    <col min="7673" max="7673" width="21.5" style="167" customWidth="1"/>
    <col min="7674" max="7674" width="20.83203125" style="167" customWidth="1"/>
    <col min="7675" max="7675" width="0" style="167" hidden="1" customWidth="1"/>
    <col min="7676" max="7923" width="9.1640625" style="167"/>
    <col min="7924" max="7924" width="21.5" style="167" customWidth="1"/>
    <col min="7925" max="7925" width="16.5" style="167" customWidth="1"/>
    <col min="7926" max="7926" width="18" style="167" customWidth="1"/>
    <col min="7927" max="7927" width="23.6640625" style="167" customWidth="1"/>
    <col min="7928" max="7928" width="26" style="167" customWidth="1"/>
    <col min="7929" max="7929" width="21.5" style="167" customWidth="1"/>
    <col min="7930" max="7930" width="20.83203125" style="167" customWidth="1"/>
    <col min="7931" max="7931" width="0" style="167" hidden="1" customWidth="1"/>
    <col min="7932" max="8179" width="9.1640625" style="167"/>
    <col min="8180" max="8180" width="21.5" style="167" customWidth="1"/>
    <col min="8181" max="8181" width="16.5" style="167" customWidth="1"/>
    <col min="8182" max="8182" width="18" style="167" customWidth="1"/>
    <col min="8183" max="8183" width="23.6640625" style="167" customWidth="1"/>
    <col min="8184" max="8184" width="26" style="167" customWidth="1"/>
    <col min="8185" max="8185" width="21.5" style="167" customWidth="1"/>
    <col min="8186" max="8186" width="20.83203125" style="167" customWidth="1"/>
    <col min="8187" max="8187" width="0" style="167" hidden="1" customWidth="1"/>
    <col min="8188" max="8435" width="9.1640625" style="167"/>
    <col min="8436" max="8436" width="21.5" style="167" customWidth="1"/>
    <col min="8437" max="8437" width="16.5" style="167" customWidth="1"/>
    <col min="8438" max="8438" width="18" style="167" customWidth="1"/>
    <col min="8439" max="8439" width="23.6640625" style="167" customWidth="1"/>
    <col min="8440" max="8440" width="26" style="167" customWidth="1"/>
    <col min="8441" max="8441" width="21.5" style="167" customWidth="1"/>
    <col min="8442" max="8442" width="20.83203125" style="167" customWidth="1"/>
    <col min="8443" max="8443" width="0" style="167" hidden="1" customWidth="1"/>
    <col min="8444" max="8691" width="9.1640625" style="167"/>
    <col min="8692" max="8692" width="21.5" style="167" customWidth="1"/>
    <col min="8693" max="8693" width="16.5" style="167" customWidth="1"/>
    <col min="8694" max="8694" width="18" style="167" customWidth="1"/>
    <col min="8695" max="8695" width="23.6640625" style="167" customWidth="1"/>
    <col min="8696" max="8696" width="26" style="167" customWidth="1"/>
    <col min="8697" max="8697" width="21.5" style="167" customWidth="1"/>
    <col min="8698" max="8698" width="20.83203125" style="167" customWidth="1"/>
    <col min="8699" max="8699" width="0" style="167" hidden="1" customWidth="1"/>
    <col min="8700" max="8947" width="9.1640625" style="167"/>
    <col min="8948" max="8948" width="21.5" style="167" customWidth="1"/>
    <col min="8949" max="8949" width="16.5" style="167" customWidth="1"/>
    <col min="8950" max="8950" width="18" style="167" customWidth="1"/>
    <col min="8951" max="8951" width="23.6640625" style="167" customWidth="1"/>
    <col min="8952" max="8952" width="26" style="167" customWidth="1"/>
    <col min="8953" max="8953" width="21.5" style="167" customWidth="1"/>
    <col min="8954" max="8954" width="20.83203125" style="167" customWidth="1"/>
    <col min="8955" max="8955" width="0" style="167" hidden="1" customWidth="1"/>
    <col min="8956" max="9203" width="9.1640625" style="167"/>
    <col min="9204" max="9204" width="21.5" style="167" customWidth="1"/>
    <col min="9205" max="9205" width="16.5" style="167" customWidth="1"/>
    <col min="9206" max="9206" width="18" style="167" customWidth="1"/>
    <col min="9207" max="9207" width="23.6640625" style="167" customWidth="1"/>
    <col min="9208" max="9208" width="26" style="167" customWidth="1"/>
    <col min="9209" max="9209" width="21.5" style="167" customWidth="1"/>
    <col min="9210" max="9210" width="20.83203125" style="167" customWidth="1"/>
    <col min="9211" max="9211" width="0" style="167" hidden="1" customWidth="1"/>
    <col min="9212" max="9459" width="9.1640625" style="167"/>
    <col min="9460" max="9460" width="21.5" style="167" customWidth="1"/>
    <col min="9461" max="9461" width="16.5" style="167" customWidth="1"/>
    <col min="9462" max="9462" width="18" style="167" customWidth="1"/>
    <col min="9463" max="9463" width="23.6640625" style="167" customWidth="1"/>
    <col min="9464" max="9464" width="26" style="167" customWidth="1"/>
    <col min="9465" max="9465" width="21.5" style="167" customWidth="1"/>
    <col min="9466" max="9466" width="20.83203125" style="167" customWidth="1"/>
    <col min="9467" max="9467" width="0" style="167" hidden="1" customWidth="1"/>
    <col min="9468" max="9715" width="9.1640625" style="167"/>
    <col min="9716" max="9716" width="21.5" style="167" customWidth="1"/>
    <col min="9717" max="9717" width="16.5" style="167" customWidth="1"/>
    <col min="9718" max="9718" width="18" style="167" customWidth="1"/>
    <col min="9719" max="9719" width="23.6640625" style="167" customWidth="1"/>
    <col min="9720" max="9720" width="26" style="167" customWidth="1"/>
    <col min="9721" max="9721" width="21.5" style="167" customWidth="1"/>
    <col min="9722" max="9722" width="20.83203125" style="167" customWidth="1"/>
    <col min="9723" max="9723" width="0" style="167" hidden="1" customWidth="1"/>
    <col min="9724" max="9971" width="9.1640625" style="167"/>
    <col min="9972" max="9972" width="21.5" style="167" customWidth="1"/>
    <col min="9973" max="9973" width="16.5" style="167" customWidth="1"/>
    <col min="9974" max="9974" width="18" style="167" customWidth="1"/>
    <col min="9975" max="9975" width="23.6640625" style="167" customWidth="1"/>
    <col min="9976" max="9976" width="26" style="167" customWidth="1"/>
    <col min="9977" max="9977" width="21.5" style="167" customWidth="1"/>
    <col min="9978" max="9978" width="20.83203125" style="167" customWidth="1"/>
    <col min="9979" max="9979" width="0" style="167" hidden="1" customWidth="1"/>
    <col min="9980" max="10227" width="9.1640625" style="167"/>
    <col min="10228" max="10228" width="21.5" style="167" customWidth="1"/>
    <col min="10229" max="10229" width="16.5" style="167" customWidth="1"/>
    <col min="10230" max="10230" width="18" style="167" customWidth="1"/>
    <col min="10231" max="10231" width="23.6640625" style="167" customWidth="1"/>
    <col min="10232" max="10232" width="26" style="167" customWidth="1"/>
    <col min="10233" max="10233" width="21.5" style="167" customWidth="1"/>
    <col min="10234" max="10234" width="20.83203125" style="167" customWidth="1"/>
    <col min="10235" max="10235" width="0" style="167" hidden="1" customWidth="1"/>
    <col min="10236" max="10483" width="9.1640625" style="167"/>
    <col min="10484" max="10484" width="21.5" style="167" customWidth="1"/>
    <col min="10485" max="10485" width="16.5" style="167" customWidth="1"/>
    <col min="10486" max="10486" width="18" style="167" customWidth="1"/>
    <col min="10487" max="10487" width="23.6640625" style="167" customWidth="1"/>
    <col min="10488" max="10488" width="26" style="167" customWidth="1"/>
    <col min="10489" max="10489" width="21.5" style="167" customWidth="1"/>
    <col min="10490" max="10490" width="20.83203125" style="167" customWidth="1"/>
    <col min="10491" max="10491" width="0" style="167" hidden="1" customWidth="1"/>
    <col min="10492" max="10739" width="9.1640625" style="167"/>
    <col min="10740" max="10740" width="21.5" style="167" customWidth="1"/>
    <col min="10741" max="10741" width="16.5" style="167" customWidth="1"/>
    <col min="10742" max="10742" width="18" style="167" customWidth="1"/>
    <col min="10743" max="10743" width="23.6640625" style="167" customWidth="1"/>
    <col min="10744" max="10744" width="26" style="167" customWidth="1"/>
    <col min="10745" max="10745" width="21.5" style="167" customWidth="1"/>
    <col min="10746" max="10746" width="20.83203125" style="167" customWidth="1"/>
    <col min="10747" max="10747" width="0" style="167" hidden="1" customWidth="1"/>
    <col min="10748" max="10995" width="9.1640625" style="167"/>
    <col min="10996" max="10996" width="21.5" style="167" customWidth="1"/>
    <col min="10997" max="10997" width="16.5" style="167" customWidth="1"/>
    <col min="10998" max="10998" width="18" style="167" customWidth="1"/>
    <col min="10999" max="10999" width="23.6640625" style="167" customWidth="1"/>
    <col min="11000" max="11000" width="26" style="167" customWidth="1"/>
    <col min="11001" max="11001" width="21.5" style="167" customWidth="1"/>
    <col min="11002" max="11002" width="20.83203125" style="167" customWidth="1"/>
    <col min="11003" max="11003" width="0" style="167" hidden="1" customWidth="1"/>
    <col min="11004" max="11251" width="9.1640625" style="167"/>
    <col min="11252" max="11252" width="21.5" style="167" customWidth="1"/>
    <col min="11253" max="11253" width="16.5" style="167" customWidth="1"/>
    <col min="11254" max="11254" width="18" style="167" customWidth="1"/>
    <col min="11255" max="11255" width="23.6640625" style="167" customWidth="1"/>
    <col min="11256" max="11256" width="26" style="167" customWidth="1"/>
    <col min="11257" max="11257" width="21.5" style="167" customWidth="1"/>
    <col min="11258" max="11258" width="20.83203125" style="167" customWidth="1"/>
    <col min="11259" max="11259" width="0" style="167" hidden="1" customWidth="1"/>
    <col min="11260" max="11507" width="9.1640625" style="167"/>
    <col min="11508" max="11508" width="21.5" style="167" customWidth="1"/>
    <col min="11509" max="11509" width="16.5" style="167" customWidth="1"/>
    <col min="11510" max="11510" width="18" style="167" customWidth="1"/>
    <col min="11511" max="11511" width="23.6640625" style="167" customWidth="1"/>
    <col min="11512" max="11512" width="26" style="167" customWidth="1"/>
    <col min="11513" max="11513" width="21.5" style="167" customWidth="1"/>
    <col min="11514" max="11514" width="20.83203125" style="167" customWidth="1"/>
    <col min="11515" max="11515" width="0" style="167" hidden="1" customWidth="1"/>
    <col min="11516" max="11763" width="9.1640625" style="167"/>
    <col min="11764" max="11764" width="21.5" style="167" customWidth="1"/>
    <col min="11765" max="11765" width="16.5" style="167" customWidth="1"/>
    <col min="11766" max="11766" width="18" style="167" customWidth="1"/>
    <col min="11767" max="11767" width="23.6640625" style="167" customWidth="1"/>
    <col min="11768" max="11768" width="26" style="167" customWidth="1"/>
    <col min="11769" max="11769" width="21.5" style="167" customWidth="1"/>
    <col min="11770" max="11770" width="20.83203125" style="167" customWidth="1"/>
    <col min="11771" max="11771" width="0" style="167" hidden="1" customWidth="1"/>
    <col min="11772" max="12019" width="9.1640625" style="167"/>
    <col min="12020" max="12020" width="21.5" style="167" customWidth="1"/>
    <col min="12021" max="12021" width="16.5" style="167" customWidth="1"/>
    <col min="12022" max="12022" width="18" style="167" customWidth="1"/>
    <col min="12023" max="12023" width="23.6640625" style="167" customWidth="1"/>
    <col min="12024" max="12024" width="26" style="167" customWidth="1"/>
    <col min="12025" max="12025" width="21.5" style="167" customWidth="1"/>
    <col min="12026" max="12026" width="20.83203125" style="167" customWidth="1"/>
    <col min="12027" max="12027" width="0" style="167" hidden="1" customWidth="1"/>
    <col min="12028" max="12275" width="9.1640625" style="167"/>
    <col min="12276" max="12276" width="21.5" style="167" customWidth="1"/>
    <col min="12277" max="12277" width="16.5" style="167" customWidth="1"/>
    <col min="12278" max="12278" width="18" style="167" customWidth="1"/>
    <col min="12279" max="12279" width="23.6640625" style="167" customWidth="1"/>
    <col min="12280" max="12280" width="26" style="167" customWidth="1"/>
    <col min="12281" max="12281" width="21.5" style="167" customWidth="1"/>
    <col min="12282" max="12282" width="20.83203125" style="167" customWidth="1"/>
    <col min="12283" max="12283" width="0" style="167" hidden="1" customWidth="1"/>
    <col min="12284" max="12531" width="9.1640625" style="167"/>
    <col min="12532" max="12532" width="21.5" style="167" customWidth="1"/>
    <col min="12533" max="12533" width="16.5" style="167" customWidth="1"/>
    <col min="12534" max="12534" width="18" style="167" customWidth="1"/>
    <col min="12535" max="12535" width="23.6640625" style="167" customWidth="1"/>
    <col min="12536" max="12536" width="26" style="167" customWidth="1"/>
    <col min="12537" max="12537" width="21.5" style="167" customWidth="1"/>
    <col min="12538" max="12538" width="20.83203125" style="167" customWidth="1"/>
    <col min="12539" max="12539" width="0" style="167" hidden="1" customWidth="1"/>
    <col min="12540" max="12787" width="9.1640625" style="167"/>
    <col min="12788" max="12788" width="21.5" style="167" customWidth="1"/>
    <col min="12789" max="12789" width="16.5" style="167" customWidth="1"/>
    <col min="12790" max="12790" width="18" style="167" customWidth="1"/>
    <col min="12791" max="12791" width="23.6640625" style="167" customWidth="1"/>
    <col min="12792" max="12792" width="26" style="167" customWidth="1"/>
    <col min="12793" max="12793" width="21.5" style="167" customWidth="1"/>
    <col min="12794" max="12794" width="20.83203125" style="167" customWidth="1"/>
    <col min="12795" max="12795" width="0" style="167" hidden="1" customWidth="1"/>
    <col min="12796" max="13043" width="9.1640625" style="167"/>
    <col min="13044" max="13044" width="21.5" style="167" customWidth="1"/>
    <col min="13045" max="13045" width="16.5" style="167" customWidth="1"/>
    <col min="13046" max="13046" width="18" style="167" customWidth="1"/>
    <col min="13047" max="13047" width="23.6640625" style="167" customWidth="1"/>
    <col min="13048" max="13048" width="26" style="167" customWidth="1"/>
    <col min="13049" max="13049" width="21.5" style="167" customWidth="1"/>
    <col min="13050" max="13050" width="20.83203125" style="167" customWidth="1"/>
    <col min="13051" max="13051" width="0" style="167" hidden="1" customWidth="1"/>
    <col min="13052" max="13299" width="9.1640625" style="167"/>
    <col min="13300" max="13300" width="21.5" style="167" customWidth="1"/>
    <col min="13301" max="13301" width="16.5" style="167" customWidth="1"/>
    <col min="13302" max="13302" width="18" style="167" customWidth="1"/>
    <col min="13303" max="13303" width="23.6640625" style="167" customWidth="1"/>
    <col min="13304" max="13304" width="26" style="167" customWidth="1"/>
    <col min="13305" max="13305" width="21.5" style="167" customWidth="1"/>
    <col min="13306" max="13306" width="20.83203125" style="167" customWidth="1"/>
    <col min="13307" max="13307" width="0" style="167" hidden="1" customWidth="1"/>
    <col min="13308" max="13555" width="9.1640625" style="167"/>
    <col min="13556" max="13556" width="21.5" style="167" customWidth="1"/>
    <col min="13557" max="13557" width="16.5" style="167" customWidth="1"/>
    <col min="13558" max="13558" width="18" style="167" customWidth="1"/>
    <col min="13559" max="13559" width="23.6640625" style="167" customWidth="1"/>
    <col min="13560" max="13560" width="26" style="167" customWidth="1"/>
    <col min="13561" max="13561" width="21.5" style="167" customWidth="1"/>
    <col min="13562" max="13562" width="20.83203125" style="167" customWidth="1"/>
    <col min="13563" max="13563" width="0" style="167" hidden="1" customWidth="1"/>
    <col min="13564" max="13811" width="9.1640625" style="167"/>
    <col min="13812" max="13812" width="21.5" style="167" customWidth="1"/>
    <col min="13813" max="13813" width="16.5" style="167" customWidth="1"/>
    <col min="13814" max="13814" width="18" style="167" customWidth="1"/>
    <col min="13815" max="13815" width="23.6640625" style="167" customWidth="1"/>
    <col min="13816" max="13816" width="26" style="167" customWidth="1"/>
    <col min="13817" max="13817" width="21.5" style="167" customWidth="1"/>
    <col min="13818" max="13818" width="20.83203125" style="167" customWidth="1"/>
    <col min="13819" max="13819" width="0" style="167" hidden="1" customWidth="1"/>
    <col min="13820" max="14067" width="9.1640625" style="167"/>
    <col min="14068" max="14068" width="21.5" style="167" customWidth="1"/>
    <col min="14069" max="14069" width="16.5" style="167" customWidth="1"/>
    <col min="14070" max="14070" width="18" style="167" customWidth="1"/>
    <col min="14071" max="14071" width="23.6640625" style="167" customWidth="1"/>
    <col min="14072" max="14072" width="26" style="167" customWidth="1"/>
    <col min="14073" max="14073" width="21.5" style="167" customWidth="1"/>
    <col min="14074" max="14074" width="20.83203125" style="167" customWidth="1"/>
    <col min="14075" max="14075" width="0" style="167" hidden="1" customWidth="1"/>
    <col min="14076" max="14323" width="9.1640625" style="167"/>
    <col min="14324" max="14324" width="21.5" style="167" customWidth="1"/>
    <col min="14325" max="14325" width="16.5" style="167" customWidth="1"/>
    <col min="14326" max="14326" width="18" style="167" customWidth="1"/>
    <col min="14327" max="14327" width="23.6640625" style="167" customWidth="1"/>
    <col min="14328" max="14328" width="26" style="167" customWidth="1"/>
    <col min="14329" max="14329" width="21.5" style="167" customWidth="1"/>
    <col min="14330" max="14330" width="20.83203125" style="167" customWidth="1"/>
    <col min="14331" max="14331" width="0" style="167" hidden="1" customWidth="1"/>
    <col min="14332" max="14579" width="9.1640625" style="167"/>
    <col min="14580" max="14580" width="21.5" style="167" customWidth="1"/>
    <col min="14581" max="14581" width="16.5" style="167" customWidth="1"/>
    <col min="14582" max="14582" width="18" style="167" customWidth="1"/>
    <col min="14583" max="14583" width="23.6640625" style="167" customWidth="1"/>
    <col min="14584" max="14584" width="26" style="167" customWidth="1"/>
    <col min="14585" max="14585" width="21.5" style="167" customWidth="1"/>
    <col min="14586" max="14586" width="20.83203125" style="167" customWidth="1"/>
    <col min="14587" max="14587" width="0" style="167" hidden="1" customWidth="1"/>
    <col min="14588" max="14835" width="9.1640625" style="167"/>
    <col min="14836" max="14836" width="21.5" style="167" customWidth="1"/>
    <col min="14837" max="14837" width="16.5" style="167" customWidth="1"/>
    <col min="14838" max="14838" width="18" style="167" customWidth="1"/>
    <col min="14839" max="14839" width="23.6640625" style="167" customWidth="1"/>
    <col min="14840" max="14840" width="26" style="167" customWidth="1"/>
    <col min="14841" max="14841" width="21.5" style="167" customWidth="1"/>
    <col min="14842" max="14842" width="20.83203125" style="167" customWidth="1"/>
    <col min="14843" max="14843" width="0" style="167" hidden="1" customWidth="1"/>
    <col min="14844" max="15091" width="9.1640625" style="167"/>
    <col min="15092" max="15092" width="21.5" style="167" customWidth="1"/>
    <col min="15093" max="15093" width="16.5" style="167" customWidth="1"/>
    <col min="15094" max="15094" width="18" style="167" customWidth="1"/>
    <col min="15095" max="15095" width="23.6640625" style="167" customWidth="1"/>
    <col min="15096" max="15096" width="26" style="167" customWidth="1"/>
    <col min="15097" max="15097" width="21.5" style="167" customWidth="1"/>
    <col min="15098" max="15098" width="20.83203125" style="167" customWidth="1"/>
    <col min="15099" max="15099" width="0" style="167" hidden="1" customWidth="1"/>
    <col min="15100" max="15347" width="9.1640625" style="167"/>
    <col min="15348" max="15348" width="21.5" style="167" customWidth="1"/>
    <col min="15349" max="15349" width="16.5" style="167" customWidth="1"/>
    <col min="15350" max="15350" width="18" style="167" customWidth="1"/>
    <col min="15351" max="15351" width="23.6640625" style="167" customWidth="1"/>
    <col min="15352" max="15352" width="26" style="167" customWidth="1"/>
    <col min="15353" max="15353" width="21.5" style="167" customWidth="1"/>
    <col min="15354" max="15354" width="20.83203125" style="167" customWidth="1"/>
    <col min="15355" max="15355" width="0" style="167" hidden="1" customWidth="1"/>
    <col min="15356" max="15603" width="9.1640625" style="167"/>
    <col min="15604" max="15604" width="21.5" style="167" customWidth="1"/>
    <col min="15605" max="15605" width="16.5" style="167" customWidth="1"/>
    <col min="15606" max="15606" width="18" style="167" customWidth="1"/>
    <col min="15607" max="15607" width="23.6640625" style="167" customWidth="1"/>
    <col min="15608" max="15608" width="26" style="167" customWidth="1"/>
    <col min="15609" max="15609" width="21.5" style="167" customWidth="1"/>
    <col min="15610" max="15610" width="20.83203125" style="167" customWidth="1"/>
    <col min="15611" max="15611" width="0" style="167" hidden="1" customWidth="1"/>
    <col min="15612" max="15859" width="9.1640625" style="167"/>
    <col min="15860" max="15860" width="21.5" style="167" customWidth="1"/>
    <col min="15861" max="15861" width="16.5" style="167" customWidth="1"/>
    <col min="15862" max="15862" width="18" style="167" customWidth="1"/>
    <col min="15863" max="15863" width="23.6640625" style="167" customWidth="1"/>
    <col min="15864" max="15864" width="26" style="167" customWidth="1"/>
    <col min="15865" max="15865" width="21.5" style="167" customWidth="1"/>
    <col min="15866" max="15866" width="20.83203125" style="167" customWidth="1"/>
    <col min="15867" max="15867" width="0" style="167" hidden="1" customWidth="1"/>
    <col min="15868" max="16115" width="9.1640625" style="167"/>
    <col min="16116" max="16116" width="21.5" style="167" customWidth="1"/>
    <col min="16117" max="16117" width="16.5" style="167" customWidth="1"/>
    <col min="16118" max="16118" width="18" style="167" customWidth="1"/>
    <col min="16119" max="16119" width="23.6640625" style="167" customWidth="1"/>
    <col min="16120" max="16120" width="26" style="167" customWidth="1"/>
    <col min="16121" max="16121" width="21.5" style="167" customWidth="1"/>
    <col min="16122" max="16122" width="20.83203125" style="167" customWidth="1"/>
    <col min="16123" max="16123" width="0" style="167" hidden="1" customWidth="1"/>
    <col min="16124" max="16384" width="9.1640625" style="167"/>
  </cols>
  <sheetData>
    <row r="1" spans="2:15" ht="9" customHeight="1"/>
    <row r="2" spans="2:15" ht="30" customHeight="1">
      <c r="B2" s="204" t="s">
        <v>252</v>
      </c>
      <c r="C2" s="205"/>
      <c r="D2" s="205"/>
      <c r="E2" s="205"/>
      <c r="F2" s="205"/>
      <c r="G2" s="205"/>
      <c r="H2" s="205"/>
      <c r="I2" s="205"/>
      <c r="J2" s="206"/>
    </row>
    <row r="3" spans="2:15" ht="30" customHeight="1">
      <c r="B3" s="780" t="s">
        <v>232</v>
      </c>
      <c r="C3" s="781"/>
      <c r="D3" s="781"/>
      <c r="E3" s="781"/>
      <c r="F3" s="781"/>
      <c r="G3" s="781"/>
      <c r="H3" s="781"/>
      <c r="I3" s="781"/>
      <c r="J3" s="782"/>
    </row>
    <row r="4" spans="2:15" ht="15" customHeight="1" thickBot="1">
      <c r="B4" s="325"/>
      <c r="C4" s="325"/>
      <c r="D4" s="325"/>
      <c r="E4" s="325"/>
      <c r="F4" s="325"/>
      <c r="G4" s="325"/>
      <c r="H4" s="325"/>
      <c r="I4" s="325"/>
      <c r="J4" s="325"/>
    </row>
    <row r="5" spans="2:15" ht="45" customHeight="1" thickBot="1">
      <c r="B5" s="785" t="s">
        <v>350</v>
      </c>
      <c r="C5" s="786"/>
      <c r="D5" s="787"/>
      <c r="E5" s="325"/>
      <c r="F5" s="780" t="s">
        <v>230</v>
      </c>
      <c r="G5" s="781"/>
      <c r="H5" s="781"/>
      <c r="I5" s="781"/>
      <c r="J5" s="782"/>
    </row>
    <row r="6" spans="2:15" ht="15" thickBot="1">
      <c r="B6" s="479" t="s">
        <v>54</v>
      </c>
      <c r="C6" s="480" t="s">
        <v>65</v>
      </c>
      <c r="D6" s="481" t="s">
        <v>64</v>
      </c>
      <c r="E6" s="181"/>
      <c r="F6" s="481" t="s">
        <v>231</v>
      </c>
      <c r="G6" s="481" t="s">
        <v>231</v>
      </c>
      <c r="H6" s="481" t="s">
        <v>231</v>
      </c>
      <c r="I6" s="481" t="s">
        <v>231</v>
      </c>
      <c r="J6" s="481" t="s">
        <v>231</v>
      </c>
      <c r="K6" s="481" t="s">
        <v>231</v>
      </c>
      <c r="L6" s="481" t="s">
        <v>231</v>
      </c>
      <c r="M6" s="481" t="s">
        <v>231</v>
      </c>
      <c r="N6" s="481" t="s">
        <v>231</v>
      </c>
      <c r="O6" s="481" t="s">
        <v>231</v>
      </c>
    </row>
    <row r="7" spans="2:15" s="734" customFormat="1" ht="30" customHeight="1">
      <c r="B7" s="730" t="s">
        <v>498</v>
      </c>
      <c r="C7" s="731" t="s">
        <v>56</v>
      </c>
      <c r="D7" s="732">
        <f>'Cash Flow'!G72</f>
        <v>32.049999999999997</v>
      </c>
      <c r="E7" s="733"/>
      <c r="F7" s="732"/>
      <c r="G7" s="732"/>
      <c r="H7" s="732"/>
      <c r="I7" s="732"/>
      <c r="J7" s="732"/>
      <c r="K7" s="732"/>
      <c r="L7" s="732"/>
      <c r="M7" s="732"/>
      <c r="N7" s="732"/>
      <c r="O7" s="732"/>
    </row>
    <row r="8" spans="2:15" ht="15.75" customHeight="1">
      <c r="B8" s="207" t="s">
        <v>225</v>
      </c>
      <c r="C8" s="208" t="s">
        <v>1</v>
      </c>
      <c r="D8" s="326">
        <f>Inputs!$Q$10</f>
        <v>0</v>
      </c>
      <c r="E8" s="260"/>
      <c r="F8" s="326"/>
      <c r="G8" s="326"/>
      <c r="H8" s="326"/>
      <c r="I8" s="326"/>
      <c r="J8" s="326"/>
      <c r="K8" s="326"/>
      <c r="L8" s="326"/>
      <c r="M8" s="326"/>
      <c r="N8" s="326"/>
      <c r="O8" s="326"/>
    </row>
    <row r="9" spans="2:15" ht="15.75" customHeight="1">
      <c r="B9" s="209" t="s">
        <v>109</v>
      </c>
      <c r="C9" s="210" t="s">
        <v>1</v>
      </c>
      <c r="D9" s="326">
        <f>Inputs!$Q$9</f>
        <v>0</v>
      </c>
      <c r="E9" s="260"/>
      <c r="F9" s="326"/>
      <c r="G9" s="326"/>
      <c r="H9" s="326"/>
      <c r="I9" s="326"/>
      <c r="J9" s="326"/>
      <c r="K9" s="326"/>
      <c r="L9" s="326"/>
      <c r="M9" s="326"/>
      <c r="N9" s="326"/>
      <c r="O9" s="326"/>
    </row>
    <row r="10" spans="2:15" ht="15">
      <c r="B10" s="502" t="s">
        <v>325</v>
      </c>
      <c r="C10" s="503"/>
      <c r="D10" s="486" t="str">
        <f>IF(Inputs!$G$57="Pass","Yes","No, see Inputs Worksheet")</f>
        <v>Yes</v>
      </c>
      <c r="E10" s="181"/>
      <c r="F10" s="748"/>
      <c r="G10" s="748"/>
      <c r="H10" s="748"/>
      <c r="I10" s="748"/>
      <c r="J10" s="748"/>
      <c r="K10" s="748"/>
      <c r="L10" s="748"/>
      <c r="M10" s="748"/>
      <c r="N10" s="748"/>
      <c r="O10" s="748"/>
    </row>
    <row r="11" spans="2:15" ht="15">
      <c r="B11" s="504" t="s">
        <v>326</v>
      </c>
      <c r="C11" s="505"/>
      <c r="D11" s="486" t="str">
        <f>IF(Inputs!$G$60="Pass","Yes","No, see Inputs Worksheet")</f>
        <v>Yes</v>
      </c>
      <c r="E11" s="181"/>
      <c r="F11" s="748"/>
      <c r="G11" s="748"/>
      <c r="H11" s="748"/>
      <c r="I11" s="748"/>
      <c r="J11" s="748"/>
      <c r="K11" s="748"/>
      <c r="L11" s="748"/>
      <c r="M11" s="748"/>
      <c r="N11" s="748"/>
      <c r="O11" s="748"/>
    </row>
    <row r="12" spans="2:15" ht="15.75" customHeight="1">
      <c r="B12" s="465" t="s">
        <v>342</v>
      </c>
      <c r="C12" s="463"/>
      <c r="D12" s="464"/>
      <c r="E12" s="181"/>
      <c r="F12" s="464"/>
      <c r="G12" s="464"/>
      <c r="H12" s="464"/>
      <c r="I12" s="464"/>
      <c r="J12" s="464"/>
      <c r="K12" s="464"/>
      <c r="L12" s="464"/>
      <c r="M12" s="464"/>
      <c r="N12" s="464"/>
      <c r="O12" s="464"/>
    </row>
    <row r="13" spans="2:15" ht="15.75" customHeight="1">
      <c r="B13" s="338"/>
      <c r="C13" s="208"/>
      <c r="D13" s="339"/>
      <c r="E13" s="181"/>
      <c r="F13" s="339"/>
      <c r="G13" s="339"/>
      <c r="H13" s="339"/>
      <c r="I13" s="339"/>
      <c r="J13" s="339"/>
      <c r="K13" s="339"/>
      <c r="L13" s="339"/>
      <c r="M13" s="339"/>
      <c r="N13" s="339"/>
      <c r="O13" s="339"/>
    </row>
    <row r="14" spans="2:15" s="734" customFormat="1" ht="30" customHeight="1">
      <c r="B14" s="735" t="s">
        <v>499</v>
      </c>
      <c r="C14" s="736" t="s">
        <v>56</v>
      </c>
      <c r="D14" s="737">
        <f>-PMT(Inputs!$G$62,Inputs!$Q$8,NPV(Inputs!$G$62,'Cash Flow'!G14:AJ14))</f>
        <v>32.049999999999983</v>
      </c>
      <c r="E14" s="738"/>
      <c r="F14" s="737"/>
      <c r="G14" s="737"/>
      <c r="H14" s="737"/>
      <c r="I14" s="737"/>
      <c r="J14" s="737"/>
      <c r="K14" s="737"/>
      <c r="L14" s="737"/>
      <c r="M14" s="737"/>
      <c r="N14" s="737"/>
      <c r="O14" s="737"/>
    </row>
    <row r="15" spans="2:15" s="187" customFormat="1">
      <c r="C15" s="211"/>
      <c r="D15" s="212"/>
      <c r="E15" s="186"/>
      <c r="F15" s="212"/>
      <c r="G15" s="212"/>
      <c r="H15" s="212"/>
      <c r="I15" s="212"/>
      <c r="J15" s="212"/>
      <c r="K15" s="212"/>
      <c r="L15" s="212"/>
      <c r="M15" s="212"/>
      <c r="N15" s="212"/>
      <c r="O15" s="212"/>
    </row>
    <row r="16" spans="2:15" s="187" customFormat="1" ht="15.75" customHeight="1">
      <c r="B16" s="213" t="s">
        <v>53</v>
      </c>
      <c r="C16" s="341"/>
      <c r="D16" s="340"/>
      <c r="E16" s="181"/>
      <c r="F16" s="340"/>
      <c r="G16" s="340"/>
      <c r="H16" s="340"/>
      <c r="I16" s="340"/>
      <c r="J16" s="340"/>
      <c r="K16" s="340"/>
      <c r="L16" s="340"/>
      <c r="M16" s="340"/>
      <c r="N16" s="340"/>
      <c r="O16" s="340"/>
    </row>
    <row r="17" spans="2:15">
      <c r="B17" s="207" t="s">
        <v>16</v>
      </c>
      <c r="C17" s="208"/>
      <c r="D17" s="412" t="str">
        <f>Inputs!$G$5</f>
        <v>Photovoltaic</v>
      </c>
      <c r="E17" s="214"/>
      <c r="F17" s="412"/>
      <c r="G17" s="412"/>
      <c r="H17" s="412"/>
      <c r="I17" s="412"/>
      <c r="J17" s="412"/>
      <c r="K17" s="412"/>
      <c r="L17" s="412"/>
      <c r="M17" s="412"/>
      <c r="N17" s="412"/>
      <c r="O17" s="412"/>
    </row>
    <row r="18" spans="2:15">
      <c r="B18" s="207" t="s">
        <v>31</v>
      </c>
      <c r="C18" s="208" t="str">
        <f>Inputs!F8</f>
        <v>kW dc</v>
      </c>
      <c r="D18" s="531">
        <f>Inputs!G8</f>
        <v>2000</v>
      </c>
      <c r="E18" s="216"/>
      <c r="F18" s="531"/>
      <c r="G18" s="531"/>
      <c r="H18" s="531"/>
      <c r="I18" s="531"/>
      <c r="J18" s="531"/>
      <c r="K18" s="531"/>
      <c r="L18" s="531"/>
      <c r="M18" s="531"/>
      <c r="N18" s="531"/>
      <c r="O18" s="531"/>
    </row>
    <row r="19" spans="2:15">
      <c r="B19" s="207" t="s">
        <v>293</v>
      </c>
      <c r="C19" s="208">
        <f>Inputs!$F$12</f>
        <v>0</v>
      </c>
      <c r="D19" s="217">
        <f>Inputs!$G$12</f>
        <v>0.17701791999999997</v>
      </c>
      <c r="E19" s="218"/>
      <c r="F19" s="217"/>
      <c r="G19" s="217"/>
      <c r="H19" s="217"/>
      <c r="I19" s="217"/>
      <c r="J19" s="217"/>
      <c r="K19" s="217"/>
      <c r="L19" s="217"/>
      <c r="M19" s="217"/>
      <c r="N19" s="217"/>
      <c r="O19" s="217"/>
    </row>
    <row r="20" spans="2:15">
      <c r="B20" s="207" t="s">
        <v>301</v>
      </c>
      <c r="C20" s="208" t="s">
        <v>2</v>
      </c>
      <c r="D20" s="531">
        <f>Inputs!G13</f>
        <v>3101353.9583999994</v>
      </c>
      <c r="E20" s="218"/>
      <c r="F20" s="531"/>
      <c r="G20" s="531"/>
      <c r="H20" s="531"/>
      <c r="I20" s="531"/>
      <c r="J20" s="531"/>
      <c r="K20" s="531"/>
      <c r="L20" s="531"/>
      <c r="M20" s="531"/>
      <c r="N20" s="531"/>
      <c r="O20" s="531"/>
    </row>
    <row r="21" spans="2:15">
      <c r="B21" s="207" t="s">
        <v>239</v>
      </c>
      <c r="C21" s="208" t="s">
        <v>55</v>
      </c>
      <c r="D21" s="219">
        <f>Inputs!G15</f>
        <v>25</v>
      </c>
      <c r="E21" s="218"/>
      <c r="F21" s="219"/>
      <c r="G21" s="219"/>
      <c r="H21" s="219"/>
      <c r="I21" s="219"/>
      <c r="J21" s="219"/>
      <c r="K21" s="219"/>
      <c r="L21" s="219"/>
      <c r="M21" s="219"/>
      <c r="N21" s="219"/>
      <c r="O21" s="219"/>
    </row>
    <row r="22" spans="2:15">
      <c r="B22" s="207" t="str">
        <f>Inputs!$O$8</f>
        <v>Payment Duration for Cost-Based Tariff</v>
      </c>
      <c r="C22" s="208" t="s">
        <v>55</v>
      </c>
      <c r="D22" s="219">
        <f>Inputs!$Q$8</f>
        <v>25</v>
      </c>
      <c r="E22" s="214"/>
      <c r="F22" s="219"/>
      <c r="G22" s="219"/>
      <c r="H22" s="219"/>
      <c r="I22" s="219"/>
      <c r="J22" s="219"/>
      <c r="K22" s="219"/>
      <c r="L22" s="219"/>
      <c r="M22" s="219"/>
      <c r="N22" s="219"/>
      <c r="O22" s="219"/>
    </row>
    <row r="23" spans="2:15">
      <c r="B23" s="207" t="s">
        <v>486</v>
      </c>
      <c r="C23" s="208" t="s">
        <v>1</v>
      </c>
      <c r="D23" s="710">
        <f>Inputs!Q9</f>
        <v>0</v>
      </c>
      <c r="E23" s="214"/>
      <c r="F23" s="710"/>
      <c r="G23" s="710"/>
      <c r="H23" s="710"/>
      <c r="I23" s="710"/>
      <c r="J23" s="710"/>
      <c r="K23" s="710"/>
      <c r="L23" s="710"/>
      <c r="M23" s="710"/>
      <c r="N23" s="710"/>
      <c r="O23" s="710"/>
    </row>
    <row r="24" spans="2:15">
      <c r="B24" s="207"/>
      <c r="C24" s="208"/>
      <c r="D24" s="219"/>
      <c r="E24" s="214"/>
      <c r="F24" s="219"/>
      <c r="G24" s="219"/>
      <c r="H24" s="219"/>
      <c r="I24" s="219"/>
      <c r="J24" s="219"/>
      <c r="K24" s="219"/>
      <c r="L24" s="219"/>
      <c r="M24" s="219"/>
      <c r="N24" s="219"/>
      <c r="O24" s="219"/>
    </row>
    <row r="25" spans="2:15">
      <c r="B25" s="207" t="s">
        <v>478</v>
      </c>
      <c r="C25" s="208" t="s">
        <v>0</v>
      </c>
      <c r="D25" s="220">
        <f>Inputs!$G26-Inputs!G69</f>
        <v>7389914.239275042</v>
      </c>
      <c r="E25" s="221"/>
      <c r="F25" s="220"/>
      <c r="G25" s="220"/>
      <c r="H25" s="220"/>
      <c r="I25" s="220"/>
      <c r="J25" s="220"/>
      <c r="K25" s="220"/>
      <c r="L25" s="220"/>
      <c r="M25" s="220"/>
      <c r="N25" s="220"/>
      <c r="O25" s="220"/>
    </row>
    <row r="26" spans="2:15" ht="15">
      <c r="B26" s="207" t="s">
        <v>478</v>
      </c>
      <c r="C26" s="222" t="s">
        <v>32</v>
      </c>
      <c r="D26" s="223">
        <f>D25/D18/1000</f>
        <v>3.6949571196375208</v>
      </c>
      <c r="E26" s="224"/>
      <c r="F26" s="223"/>
      <c r="G26" s="223"/>
      <c r="H26" s="223"/>
      <c r="I26" s="223"/>
      <c r="J26" s="223"/>
      <c r="K26" s="223"/>
      <c r="L26" s="223"/>
      <c r="M26" s="223"/>
      <c r="N26" s="223"/>
      <c r="O26" s="223"/>
    </row>
    <row r="27" spans="2:15">
      <c r="B27" s="207"/>
      <c r="C27" s="208"/>
      <c r="D27" s="219"/>
      <c r="E27" s="214"/>
      <c r="F27" s="219"/>
      <c r="G27" s="219"/>
      <c r="H27" s="219"/>
      <c r="I27" s="219"/>
      <c r="J27" s="219"/>
      <c r="K27" s="219"/>
      <c r="L27" s="219"/>
      <c r="M27" s="219"/>
      <c r="N27" s="219"/>
      <c r="O27" s="219"/>
    </row>
    <row r="28" spans="2:15" ht="15">
      <c r="B28" s="207" t="s">
        <v>481</v>
      </c>
      <c r="C28" s="707" t="s">
        <v>480</v>
      </c>
      <c r="D28" s="708">
        <f>'Cash Flow'!G37</f>
        <v>-4.056922234536775</v>
      </c>
      <c r="E28" s="214"/>
      <c r="F28" s="708"/>
      <c r="G28" s="708"/>
      <c r="H28" s="708"/>
      <c r="I28" s="708"/>
      <c r="J28" s="708"/>
      <c r="K28" s="708"/>
      <c r="L28" s="708"/>
      <c r="M28" s="708"/>
      <c r="N28" s="708"/>
      <c r="O28" s="708"/>
    </row>
    <row r="29" spans="2:15">
      <c r="B29" s="207"/>
      <c r="C29" s="208"/>
      <c r="D29" s="219"/>
      <c r="E29" s="214"/>
      <c r="F29" s="219"/>
      <c r="G29" s="219"/>
      <c r="H29" s="219"/>
      <c r="I29" s="219"/>
      <c r="J29" s="219"/>
      <c r="K29" s="219"/>
      <c r="L29" s="219"/>
      <c r="M29" s="219"/>
      <c r="N29" s="219"/>
      <c r="O29" s="219"/>
    </row>
    <row r="30" spans="2:15" ht="15">
      <c r="B30" s="207" t="str">
        <f>Inputs!$E$61</f>
        <v>% Equity (% hard costs) (soft costs also equity funded)</v>
      </c>
      <c r="C30" s="222" t="s">
        <v>1</v>
      </c>
      <c r="D30" s="225">
        <f>Inputs!$G61</f>
        <v>0.55000000000000004</v>
      </c>
      <c r="E30" s="226"/>
      <c r="F30" s="225"/>
      <c r="G30" s="225"/>
      <c r="H30" s="225"/>
      <c r="I30" s="225"/>
      <c r="J30" s="225"/>
      <c r="K30" s="225"/>
      <c r="L30" s="225"/>
      <c r="M30" s="225"/>
      <c r="N30" s="225"/>
      <c r="O30" s="225"/>
    </row>
    <row r="31" spans="2:15">
      <c r="B31" s="207" t="str">
        <f>Inputs!$E$62</f>
        <v>Target After-Tax Equity IRR</v>
      </c>
      <c r="C31" s="208" t="s">
        <v>1</v>
      </c>
      <c r="D31" s="327">
        <f>Inputs!$G62</f>
        <v>0.12</v>
      </c>
      <c r="E31" s="226"/>
      <c r="F31" s="327"/>
      <c r="G31" s="327"/>
      <c r="H31" s="327"/>
      <c r="I31" s="327"/>
      <c r="J31" s="327"/>
      <c r="K31" s="327"/>
      <c r="L31" s="327"/>
      <c r="M31" s="327"/>
      <c r="N31" s="327"/>
      <c r="O31" s="327"/>
    </row>
    <row r="32" spans="2:15" ht="15">
      <c r="B32" s="207" t="str">
        <f>Inputs!$E$51</f>
        <v>% Debt (% of hard costs) (mortgage-style amort.)</v>
      </c>
      <c r="C32" s="222" t="s">
        <v>1</v>
      </c>
      <c r="D32" s="225">
        <f>Inputs!$G51</f>
        <v>0.45</v>
      </c>
      <c r="E32" s="226"/>
      <c r="F32" s="225"/>
      <c r="G32" s="225"/>
      <c r="H32" s="225"/>
      <c r="I32" s="225"/>
      <c r="J32" s="225"/>
      <c r="K32" s="225"/>
      <c r="L32" s="225"/>
      <c r="M32" s="225"/>
      <c r="N32" s="225"/>
      <c r="O32" s="225"/>
    </row>
    <row r="33" spans="2:15" ht="15">
      <c r="B33" s="207" t="s">
        <v>482</v>
      </c>
      <c r="C33" s="222" t="s">
        <v>55</v>
      </c>
      <c r="D33" s="219">
        <f>IF(D32&gt;0%,Inputs!G52,"NA")</f>
        <v>18</v>
      </c>
      <c r="E33" s="226"/>
      <c r="F33" s="219"/>
      <c r="G33" s="219"/>
      <c r="H33" s="219"/>
      <c r="I33" s="219"/>
      <c r="J33" s="219"/>
      <c r="K33" s="219"/>
      <c r="L33" s="219"/>
      <c r="M33" s="219"/>
      <c r="N33" s="219"/>
      <c r="O33" s="219"/>
    </row>
    <row r="34" spans="2:15" ht="15">
      <c r="B34" s="207" t="str">
        <f>Inputs!$E$53</f>
        <v>Interest Rate on Term Debt</v>
      </c>
      <c r="C34" s="222" t="s">
        <v>1</v>
      </c>
      <c r="D34" s="327">
        <f>IF(D32&gt;0%,Inputs!$G53,"NA")</f>
        <v>7.0000000000000007E-2</v>
      </c>
      <c r="E34" s="226"/>
      <c r="F34" s="327"/>
      <c r="G34" s="327"/>
      <c r="H34" s="327"/>
      <c r="I34" s="327"/>
      <c r="J34" s="327"/>
      <c r="K34" s="327"/>
      <c r="L34" s="327"/>
      <c r="M34" s="327"/>
      <c r="N34" s="327"/>
      <c r="O34" s="327"/>
    </row>
    <row r="35" spans="2:15">
      <c r="B35" s="207" t="str">
        <f>Inputs!$E$73</f>
        <v>Is owner a taxable entity?</v>
      </c>
      <c r="C35" s="215"/>
      <c r="D35" s="225" t="str">
        <f>Inputs!$G$73</f>
        <v>Yes</v>
      </c>
      <c r="E35" s="227"/>
      <c r="F35" s="225"/>
      <c r="G35" s="225"/>
      <c r="H35" s="225"/>
      <c r="I35" s="225"/>
      <c r="J35" s="225"/>
      <c r="K35" s="225"/>
      <c r="L35" s="225"/>
      <c r="M35" s="225"/>
      <c r="N35" s="225"/>
      <c r="O35" s="225"/>
    </row>
    <row r="36" spans="2:15">
      <c r="B36" s="207" t="s">
        <v>483</v>
      </c>
      <c r="C36" s="705"/>
      <c r="D36" s="225" t="str">
        <f>IF($D$35="Yes",Inputs!G75,"NA")</f>
        <v>As Generated</v>
      </c>
      <c r="E36" s="227"/>
      <c r="F36" s="225"/>
      <c r="G36" s="225"/>
      <c r="H36" s="225"/>
      <c r="I36" s="225"/>
      <c r="J36" s="225"/>
      <c r="K36" s="225"/>
      <c r="L36" s="225"/>
      <c r="M36" s="225"/>
      <c r="N36" s="225"/>
      <c r="O36" s="225"/>
    </row>
    <row r="37" spans="2:15">
      <c r="B37" s="207" t="s">
        <v>484</v>
      </c>
      <c r="C37" s="705"/>
      <c r="D37" s="225" t="str">
        <f>IF($D$35="Yes",Inputs!G77,"NA")</f>
        <v>As Generated</v>
      </c>
      <c r="E37" s="227"/>
      <c r="F37" s="225"/>
      <c r="G37" s="225"/>
      <c r="H37" s="225"/>
      <c r="I37" s="225"/>
      <c r="J37" s="225"/>
      <c r="K37" s="225"/>
      <c r="L37" s="225"/>
      <c r="M37" s="225"/>
      <c r="N37" s="225"/>
      <c r="O37" s="225"/>
    </row>
    <row r="38" spans="2:15">
      <c r="B38" s="709"/>
      <c r="C38" s="215"/>
      <c r="D38" s="225"/>
      <c r="E38" s="227"/>
      <c r="F38" s="225"/>
      <c r="G38" s="225"/>
      <c r="H38" s="225"/>
      <c r="I38" s="225"/>
      <c r="J38" s="225"/>
      <c r="K38" s="225"/>
      <c r="L38" s="225"/>
      <c r="M38" s="225"/>
      <c r="N38" s="225"/>
      <c r="O38" s="225"/>
    </row>
    <row r="39" spans="2:15">
      <c r="B39" s="207" t="s">
        <v>330</v>
      </c>
      <c r="C39" s="208"/>
      <c r="D39" s="220" t="str">
        <f>Inputs!Q19</f>
        <v>Neither</v>
      </c>
      <c r="E39" s="227"/>
      <c r="F39" s="220"/>
      <c r="G39" s="220"/>
      <c r="H39" s="220"/>
      <c r="I39" s="220"/>
      <c r="J39" s="220"/>
      <c r="K39" s="220"/>
      <c r="L39" s="220"/>
      <c r="M39" s="220"/>
      <c r="N39" s="220"/>
      <c r="O39" s="220"/>
    </row>
    <row r="40" spans="2:15">
      <c r="B40" s="207" t="s">
        <v>487</v>
      </c>
      <c r="C40" s="208"/>
      <c r="D40" s="220" t="str">
        <f>IF($D$39="Cost-Based",Inputs!$Q$20,Inputs!$Q$24)</f>
        <v>Tax Credit</v>
      </c>
      <c r="E40" s="227"/>
      <c r="F40" s="220"/>
      <c r="G40" s="220"/>
      <c r="H40" s="220"/>
      <c r="I40" s="220"/>
      <c r="J40" s="220"/>
      <c r="K40" s="220"/>
      <c r="L40" s="220"/>
      <c r="M40" s="220"/>
      <c r="N40" s="220"/>
      <c r="O40" s="220"/>
    </row>
    <row r="41" spans="2:15">
      <c r="B41" s="207"/>
      <c r="C41" s="208"/>
      <c r="D41" s="220"/>
      <c r="E41" s="227"/>
      <c r="F41" s="220"/>
      <c r="G41" s="220"/>
      <c r="H41" s="220"/>
      <c r="I41" s="220"/>
      <c r="J41" s="220"/>
      <c r="K41" s="220"/>
      <c r="L41" s="220"/>
      <c r="M41" s="220"/>
      <c r="N41" s="220"/>
      <c r="O41" s="220"/>
    </row>
    <row r="42" spans="2:15">
      <c r="B42" s="207" t="s">
        <v>201</v>
      </c>
      <c r="C42" s="228"/>
      <c r="D42" s="219" t="str">
        <f>IF(AND(Inputs!$Q$29=0,Inputs!$Q$45=0),"No","Yes")</f>
        <v>No</v>
      </c>
      <c r="E42" s="227"/>
      <c r="F42" s="219"/>
      <c r="G42" s="219"/>
      <c r="H42" s="219"/>
      <c r="I42" s="219"/>
      <c r="J42" s="219"/>
      <c r="K42" s="219"/>
      <c r="L42" s="219"/>
      <c r="M42" s="219"/>
      <c r="N42" s="219"/>
      <c r="O42" s="219"/>
    </row>
    <row r="43" spans="2:15">
      <c r="B43" s="338" t="s">
        <v>488</v>
      </c>
      <c r="C43" s="208" t="s">
        <v>0</v>
      </c>
      <c r="D43" s="715" t="str">
        <f>IF(D42="No","NA",Inputs!G69)</f>
        <v>NA</v>
      </c>
      <c r="E43" s="227"/>
      <c r="F43" s="715"/>
      <c r="G43" s="715"/>
      <c r="H43" s="715"/>
      <c r="I43" s="715"/>
      <c r="J43" s="715"/>
      <c r="K43" s="715"/>
      <c r="L43" s="715"/>
      <c r="M43" s="715"/>
      <c r="N43" s="715"/>
      <c r="O43" s="715"/>
    </row>
    <row r="44" spans="2:15">
      <c r="B44" s="338"/>
      <c r="C44" s="228"/>
      <c r="D44" s="219"/>
      <c r="E44" s="227"/>
      <c r="F44" s="219"/>
      <c r="G44" s="219"/>
      <c r="H44" s="219"/>
      <c r="I44" s="219"/>
      <c r="J44" s="219"/>
      <c r="K44" s="219"/>
      <c r="L44" s="219"/>
      <c r="M44" s="219"/>
      <c r="N44" s="219"/>
      <c r="O44" s="219"/>
    </row>
    <row r="45" spans="2:15">
      <c r="B45" s="714" t="s">
        <v>489</v>
      </c>
      <c r="C45" s="190"/>
      <c r="D45" s="716" t="str">
        <f>IF(Inputs!$G$73="No","NA",Inputs!P70)</f>
        <v>Yes</v>
      </c>
      <c r="E45" s="228"/>
      <c r="F45" s="716"/>
      <c r="G45" s="716"/>
      <c r="H45" s="716"/>
      <c r="I45" s="716"/>
      <c r="J45" s="716"/>
      <c r="K45" s="716"/>
      <c r="L45" s="716"/>
      <c r="M45" s="716"/>
      <c r="N45" s="716"/>
      <c r="O45" s="716"/>
    </row>
    <row r="46" spans="2:15" ht="150.75" customHeight="1">
      <c r="B46" s="711" t="s">
        <v>327</v>
      </c>
      <c r="C46" s="712"/>
      <c r="D46" s="713"/>
      <c r="F46" s="713"/>
      <c r="G46" s="713"/>
      <c r="H46" s="713"/>
      <c r="I46" s="713"/>
      <c r="J46" s="713"/>
      <c r="K46" s="713"/>
      <c r="L46" s="713"/>
      <c r="M46" s="713"/>
      <c r="N46" s="713"/>
      <c r="O46" s="713"/>
    </row>
    <row r="47" spans="2:15" ht="30" customHeight="1">
      <c r="B47" s="252"/>
      <c r="C47" s="252"/>
      <c r="D47" s="252"/>
      <c r="E47" s="252"/>
      <c r="F47" s="252"/>
      <c r="G47" s="252"/>
      <c r="H47" s="252"/>
      <c r="I47" s="252"/>
      <c r="J47" s="252"/>
    </row>
    <row r="48" spans="2:15" s="253" customFormat="1" ht="18">
      <c r="B48" s="252"/>
      <c r="C48" s="252"/>
      <c r="D48" s="254"/>
      <c r="E48" s="252"/>
      <c r="F48" s="252"/>
      <c r="G48" s="252"/>
      <c r="H48" s="252"/>
      <c r="I48" s="252"/>
      <c r="J48" s="252"/>
    </row>
    <row r="49" spans="2:11">
      <c r="B49" s="228"/>
      <c r="C49" s="228"/>
      <c r="D49" s="784"/>
      <c r="E49" s="784"/>
      <c r="F49" s="784"/>
      <c r="G49" s="784"/>
      <c r="H49" s="784"/>
      <c r="I49" s="784"/>
      <c r="J49" s="255"/>
      <c r="K49" s="228"/>
    </row>
    <row r="50" spans="2:11">
      <c r="B50" s="228"/>
      <c r="C50" s="249"/>
      <c r="D50" s="250"/>
      <c r="E50" s="250"/>
      <c r="F50" s="250"/>
      <c r="G50" s="250"/>
      <c r="H50" s="250"/>
      <c r="I50" s="250"/>
      <c r="J50" s="250"/>
      <c r="K50" s="228"/>
    </row>
    <row r="51" spans="2:11">
      <c r="B51" s="783"/>
      <c r="C51" s="251"/>
      <c r="D51" s="228"/>
      <c r="E51" s="228"/>
      <c r="F51" s="228"/>
      <c r="G51" s="228"/>
      <c r="H51" s="228"/>
      <c r="I51" s="228"/>
      <c r="J51" s="228"/>
      <c r="K51" s="228"/>
    </row>
    <row r="52" spans="2:11">
      <c r="B52" s="783"/>
      <c r="C52" s="251"/>
      <c r="D52" s="228"/>
      <c r="E52" s="228"/>
      <c r="F52" s="228"/>
      <c r="G52" s="228"/>
      <c r="H52" s="228"/>
      <c r="I52" s="228"/>
      <c r="J52" s="228"/>
      <c r="K52" s="228"/>
    </row>
    <row r="53" spans="2:11">
      <c r="B53" s="783"/>
      <c r="C53" s="251"/>
      <c r="D53" s="228"/>
      <c r="E53" s="228"/>
      <c r="F53" s="228"/>
      <c r="G53" s="228"/>
      <c r="H53" s="228"/>
      <c r="I53" s="228"/>
      <c r="J53" s="228"/>
      <c r="K53" s="228"/>
    </row>
    <row r="54" spans="2:11">
      <c r="B54" s="783"/>
      <c r="C54" s="251"/>
      <c r="D54" s="228"/>
      <c r="E54" s="228"/>
      <c r="F54" s="228"/>
      <c r="G54" s="228"/>
      <c r="H54" s="228"/>
      <c r="I54" s="228"/>
      <c r="J54" s="228"/>
      <c r="K54" s="228"/>
    </row>
    <row r="55" spans="2:11">
      <c r="B55" s="783"/>
      <c r="C55" s="251"/>
      <c r="D55" s="228"/>
      <c r="E55" s="228"/>
      <c r="F55" s="228"/>
      <c r="G55" s="228"/>
      <c r="H55" s="228"/>
      <c r="I55" s="228"/>
      <c r="J55" s="228"/>
      <c r="K55" s="228"/>
    </row>
    <row r="56" spans="2:11">
      <c r="B56" s="228"/>
      <c r="C56" s="228"/>
      <c r="D56" s="228"/>
      <c r="E56" s="228"/>
      <c r="F56" s="228"/>
      <c r="G56" s="228"/>
      <c r="H56" s="228"/>
      <c r="I56" s="228"/>
      <c r="J56" s="228"/>
      <c r="K56" s="228"/>
    </row>
    <row r="57" spans="2:11">
      <c r="B57" s="228"/>
      <c r="C57" s="228"/>
      <c r="D57" s="228"/>
      <c r="E57" s="228"/>
      <c r="F57" s="228"/>
      <c r="G57" s="228"/>
      <c r="H57" s="228"/>
      <c r="I57" s="228"/>
      <c r="J57" s="228"/>
      <c r="K57" s="228"/>
    </row>
    <row r="58" spans="2:11">
      <c r="B58" s="228"/>
      <c r="C58" s="228"/>
      <c r="D58" s="228"/>
      <c r="E58" s="228"/>
      <c r="F58" s="228"/>
      <c r="G58" s="228"/>
      <c r="H58" s="228"/>
      <c r="I58" s="228"/>
      <c r="J58" s="228"/>
      <c r="K58" s="228"/>
    </row>
    <row r="59" spans="2:11" ht="15.75" customHeight="1">
      <c r="B59" s="228"/>
      <c r="C59" s="228"/>
      <c r="D59" s="228"/>
      <c r="E59" s="228"/>
      <c r="F59" s="228"/>
      <c r="G59" s="228"/>
      <c r="H59" s="228"/>
      <c r="I59" s="228"/>
      <c r="J59" s="228"/>
      <c r="K59" s="228"/>
    </row>
    <row r="60" spans="2:11">
      <c r="B60" s="228"/>
      <c r="C60" s="228"/>
      <c r="D60" s="228"/>
      <c r="E60" s="228"/>
      <c r="F60" s="228"/>
      <c r="G60" s="228"/>
      <c r="H60" s="228"/>
      <c r="I60" s="228"/>
      <c r="J60" s="228"/>
      <c r="K60" s="228"/>
    </row>
    <row r="61" spans="2:11">
      <c r="B61" s="228"/>
      <c r="C61" s="228"/>
      <c r="D61" s="228"/>
      <c r="E61" s="228"/>
      <c r="F61" s="228"/>
      <c r="G61" s="228"/>
      <c r="H61" s="228"/>
      <c r="I61" s="228"/>
      <c r="J61" s="228"/>
      <c r="K61" s="228"/>
    </row>
    <row r="62" spans="2:11">
      <c r="B62" s="228"/>
      <c r="C62" s="228"/>
      <c r="D62" s="228"/>
      <c r="E62" s="228"/>
      <c r="F62" s="228"/>
      <c r="G62" s="228"/>
      <c r="H62" s="228"/>
      <c r="I62" s="228"/>
      <c r="J62" s="228"/>
      <c r="K62" s="228"/>
    </row>
    <row r="63" spans="2:11">
      <c r="B63" s="228"/>
      <c r="C63" s="228"/>
      <c r="D63" s="228"/>
      <c r="E63" s="228"/>
      <c r="F63" s="228"/>
      <c r="G63" s="228"/>
      <c r="H63" s="228"/>
      <c r="I63" s="228"/>
      <c r="J63" s="228"/>
      <c r="K63" s="228"/>
    </row>
    <row r="64" spans="2:11">
      <c r="B64" s="228"/>
      <c r="C64" s="228"/>
      <c r="D64" s="228"/>
      <c r="E64" s="228"/>
      <c r="F64" s="228"/>
      <c r="G64" s="228"/>
      <c r="H64" s="228"/>
      <c r="I64" s="228"/>
      <c r="J64" s="228"/>
      <c r="K64" s="228"/>
    </row>
    <row r="65" spans="2:11">
      <c r="B65" s="228"/>
      <c r="C65" s="228"/>
      <c r="D65" s="228"/>
      <c r="E65" s="228"/>
      <c r="F65" s="228"/>
      <c r="G65" s="228"/>
      <c r="H65" s="228"/>
      <c r="I65" s="228"/>
      <c r="J65" s="228"/>
      <c r="K65" s="228"/>
    </row>
  </sheetData>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7" priority="9">
      <formula>$D10="Yes"</formula>
    </cfRule>
  </conditionalFormatting>
  <conditionalFormatting sqref="D11">
    <cfRule type="expression" dxfId="6" priority="7">
      <formula>$D11="Yes"</formula>
    </cfRule>
  </conditionalFormatting>
  <conditionalFormatting sqref="B10:C10">
    <cfRule type="expression" dxfId="5" priority="6">
      <formula>$D$10="Yes"</formula>
    </cfRule>
  </conditionalFormatting>
  <conditionalFormatting sqref="B11:C11">
    <cfRule type="expression" dxfId="4"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S38"/>
  <sheetViews>
    <sheetView showGridLines="0" zoomScale="70" zoomScaleNormal="70" workbookViewId="0">
      <pane xSplit="1" ySplit="5" topLeftCell="B6" activePane="bottomRight" state="frozen"/>
      <selection pane="topRight" activeCell="B1" sqref="B1"/>
      <selection pane="bottomLeft" activeCell="A6" sqref="A6"/>
      <selection pane="bottomRight" activeCell="S43" sqref="S43"/>
    </sheetView>
  </sheetViews>
  <sheetFormatPr baseColWidth="10" defaultColWidth="8.83203125" defaultRowHeight="14"/>
  <cols>
    <col min="1" max="1" width="2.5" style="167" customWidth="1"/>
    <col min="2" max="2" width="9.6640625" style="167" customWidth="1"/>
    <col min="3" max="3" width="15" style="167" customWidth="1"/>
    <col min="4" max="4" width="12.83203125" style="167" customWidth="1"/>
    <col min="5" max="5" width="13.6640625" style="167" customWidth="1"/>
    <col min="6" max="6" width="12.5" style="167" bestFit="1" customWidth="1"/>
    <col min="7" max="7" width="13" style="168" customWidth="1"/>
    <col min="8" max="8" width="12.5" style="167" customWidth="1"/>
    <col min="9" max="9" width="13.6640625" style="167" bestFit="1" customWidth="1"/>
    <col min="10" max="10" width="13.6640625" style="167" customWidth="1"/>
    <col min="11" max="11" width="15.83203125" style="167" customWidth="1"/>
    <col min="12" max="12" width="14.5" style="167" customWidth="1"/>
    <col min="13" max="13" width="15.6640625" style="167" customWidth="1"/>
    <col min="14" max="14" width="16.5" style="167" customWidth="1"/>
    <col min="15" max="15" width="11.5" style="167" customWidth="1"/>
    <col min="16" max="16" width="11.1640625" style="167" customWidth="1"/>
    <col min="17" max="17" width="9.1640625" style="167"/>
    <col min="18" max="18" width="24.83203125" style="167" bestFit="1" customWidth="1"/>
    <col min="19" max="19" width="29.33203125" style="167" bestFit="1" customWidth="1"/>
    <col min="20" max="235" width="9.1640625" style="167"/>
    <col min="236" max="236" width="21.5" style="167" customWidth="1"/>
    <col min="237" max="237" width="16.5" style="167" customWidth="1"/>
    <col min="238" max="238" width="18" style="167" customWidth="1"/>
    <col min="239" max="239" width="23.6640625" style="167" customWidth="1"/>
    <col min="240" max="240" width="26" style="167" customWidth="1"/>
    <col min="241" max="241" width="21.5" style="167" customWidth="1"/>
    <col min="242" max="242" width="20.83203125" style="167" customWidth="1"/>
    <col min="243" max="243" width="0" style="167" hidden="1" customWidth="1"/>
    <col min="244" max="491" width="9.1640625" style="167"/>
    <col min="492" max="492" width="21.5" style="167" customWidth="1"/>
    <col min="493" max="493" width="16.5" style="167" customWidth="1"/>
    <col min="494" max="494" width="18" style="167" customWidth="1"/>
    <col min="495" max="495" width="23.6640625" style="167" customWidth="1"/>
    <col min="496" max="496" width="26" style="167" customWidth="1"/>
    <col min="497" max="497" width="21.5" style="167" customWidth="1"/>
    <col min="498" max="498" width="20.83203125" style="167" customWidth="1"/>
    <col min="499" max="499" width="0" style="167" hidden="1" customWidth="1"/>
    <col min="500" max="747" width="9.1640625" style="167"/>
    <col min="748" max="748" width="21.5" style="167" customWidth="1"/>
    <col min="749" max="749" width="16.5" style="167" customWidth="1"/>
    <col min="750" max="750" width="18" style="167" customWidth="1"/>
    <col min="751" max="751" width="23.6640625" style="167" customWidth="1"/>
    <col min="752" max="752" width="26" style="167" customWidth="1"/>
    <col min="753" max="753" width="21.5" style="167" customWidth="1"/>
    <col min="754" max="754" width="20.83203125" style="167" customWidth="1"/>
    <col min="755" max="755" width="0" style="167" hidden="1" customWidth="1"/>
    <col min="756" max="1003" width="9.1640625" style="167"/>
    <col min="1004" max="1004" width="21.5" style="167" customWidth="1"/>
    <col min="1005" max="1005" width="16.5" style="167" customWidth="1"/>
    <col min="1006" max="1006" width="18" style="167" customWidth="1"/>
    <col min="1007" max="1007" width="23.6640625" style="167" customWidth="1"/>
    <col min="1008" max="1008" width="26" style="167" customWidth="1"/>
    <col min="1009" max="1009" width="21.5" style="167" customWidth="1"/>
    <col min="1010" max="1010" width="20.83203125" style="167" customWidth="1"/>
    <col min="1011" max="1011" width="0" style="167" hidden="1" customWidth="1"/>
    <col min="1012" max="1259" width="9.1640625" style="167"/>
    <col min="1260" max="1260" width="21.5" style="167" customWidth="1"/>
    <col min="1261" max="1261" width="16.5" style="167" customWidth="1"/>
    <col min="1262" max="1262" width="18" style="167" customWidth="1"/>
    <col min="1263" max="1263" width="23.6640625" style="167" customWidth="1"/>
    <col min="1264" max="1264" width="26" style="167" customWidth="1"/>
    <col min="1265" max="1265" width="21.5" style="167" customWidth="1"/>
    <col min="1266" max="1266" width="20.83203125" style="167" customWidth="1"/>
    <col min="1267" max="1267" width="0" style="167" hidden="1" customWidth="1"/>
    <col min="1268" max="1515" width="9.1640625" style="167"/>
    <col min="1516" max="1516" width="21.5" style="167" customWidth="1"/>
    <col min="1517" max="1517" width="16.5" style="167" customWidth="1"/>
    <col min="1518" max="1518" width="18" style="167" customWidth="1"/>
    <col min="1519" max="1519" width="23.6640625" style="167" customWidth="1"/>
    <col min="1520" max="1520" width="26" style="167" customWidth="1"/>
    <col min="1521" max="1521" width="21.5" style="167" customWidth="1"/>
    <col min="1522" max="1522" width="20.83203125" style="167" customWidth="1"/>
    <col min="1523" max="1523" width="0" style="167" hidden="1" customWidth="1"/>
    <col min="1524" max="1771" width="9.1640625" style="167"/>
    <col min="1772" max="1772" width="21.5" style="167" customWidth="1"/>
    <col min="1773" max="1773" width="16.5" style="167" customWidth="1"/>
    <col min="1774" max="1774" width="18" style="167" customWidth="1"/>
    <col min="1775" max="1775" width="23.6640625" style="167" customWidth="1"/>
    <col min="1776" max="1776" width="26" style="167" customWidth="1"/>
    <col min="1777" max="1777" width="21.5" style="167" customWidth="1"/>
    <col min="1778" max="1778" width="20.83203125" style="167" customWidth="1"/>
    <col min="1779" max="1779" width="0" style="167" hidden="1" customWidth="1"/>
    <col min="1780" max="2027" width="9.1640625" style="167"/>
    <col min="2028" max="2028" width="21.5" style="167" customWidth="1"/>
    <col min="2029" max="2029" width="16.5" style="167" customWidth="1"/>
    <col min="2030" max="2030" width="18" style="167" customWidth="1"/>
    <col min="2031" max="2031" width="23.6640625" style="167" customWidth="1"/>
    <col min="2032" max="2032" width="26" style="167" customWidth="1"/>
    <col min="2033" max="2033" width="21.5" style="167" customWidth="1"/>
    <col min="2034" max="2034" width="20.83203125" style="167" customWidth="1"/>
    <col min="2035" max="2035" width="0" style="167" hidden="1" customWidth="1"/>
    <col min="2036" max="2283" width="9.1640625" style="167"/>
    <col min="2284" max="2284" width="21.5" style="167" customWidth="1"/>
    <col min="2285" max="2285" width="16.5" style="167" customWidth="1"/>
    <col min="2286" max="2286" width="18" style="167" customWidth="1"/>
    <col min="2287" max="2287" width="23.6640625" style="167" customWidth="1"/>
    <col min="2288" max="2288" width="26" style="167" customWidth="1"/>
    <col min="2289" max="2289" width="21.5" style="167" customWidth="1"/>
    <col min="2290" max="2290" width="20.83203125" style="167" customWidth="1"/>
    <col min="2291" max="2291" width="0" style="167" hidden="1" customWidth="1"/>
    <col min="2292" max="2539" width="9.1640625" style="167"/>
    <col min="2540" max="2540" width="21.5" style="167" customWidth="1"/>
    <col min="2541" max="2541" width="16.5" style="167" customWidth="1"/>
    <col min="2542" max="2542" width="18" style="167" customWidth="1"/>
    <col min="2543" max="2543" width="23.6640625" style="167" customWidth="1"/>
    <col min="2544" max="2544" width="26" style="167" customWidth="1"/>
    <col min="2545" max="2545" width="21.5" style="167" customWidth="1"/>
    <col min="2546" max="2546" width="20.83203125" style="167" customWidth="1"/>
    <col min="2547" max="2547" width="0" style="167" hidden="1" customWidth="1"/>
    <col min="2548" max="2795" width="9.1640625" style="167"/>
    <col min="2796" max="2796" width="21.5" style="167" customWidth="1"/>
    <col min="2797" max="2797" width="16.5" style="167" customWidth="1"/>
    <col min="2798" max="2798" width="18" style="167" customWidth="1"/>
    <col min="2799" max="2799" width="23.6640625" style="167" customWidth="1"/>
    <col min="2800" max="2800" width="26" style="167" customWidth="1"/>
    <col min="2801" max="2801" width="21.5" style="167" customWidth="1"/>
    <col min="2802" max="2802" width="20.83203125" style="167" customWidth="1"/>
    <col min="2803" max="2803" width="0" style="167" hidden="1" customWidth="1"/>
    <col min="2804" max="3051" width="9.1640625" style="167"/>
    <col min="3052" max="3052" width="21.5" style="167" customWidth="1"/>
    <col min="3053" max="3053" width="16.5" style="167" customWidth="1"/>
    <col min="3054" max="3054" width="18" style="167" customWidth="1"/>
    <col min="3055" max="3055" width="23.6640625" style="167" customWidth="1"/>
    <col min="3056" max="3056" width="26" style="167" customWidth="1"/>
    <col min="3057" max="3057" width="21.5" style="167" customWidth="1"/>
    <col min="3058" max="3058" width="20.83203125" style="167" customWidth="1"/>
    <col min="3059" max="3059" width="0" style="167" hidden="1" customWidth="1"/>
    <col min="3060" max="3307" width="9.1640625" style="167"/>
    <col min="3308" max="3308" width="21.5" style="167" customWidth="1"/>
    <col min="3309" max="3309" width="16.5" style="167" customWidth="1"/>
    <col min="3310" max="3310" width="18" style="167" customWidth="1"/>
    <col min="3311" max="3311" width="23.6640625" style="167" customWidth="1"/>
    <col min="3312" max="3312" width="26" style="167" customWidth="1"/>
    <col min="3313" max="3313" width="21.5" style="167" customWidth="1"/>
    <col min="3314" max="3314" width="20.83203125" style="167" customWidth="1"/>
    <col min="3315" max="3315" width="0" style="167" hidden="1" customWidth="1"/>
    <col min="3316" max="3563" width="9.1640625" style="167"/>
    <col min="3564" max="3564" width="21.5" style="167" customWidth="1"/>
    <col min="3565" max="3565" width="16.5" style="167" customWidth="1"/>
    <col min="3566" max="3566" width="18" style="167" customWidth="1"/>
    <col min="3567" max="3567" width="23.6640625" style="167" customWidth="1"/>
    <col min="3568" max="3568" width="26" style="167" customWidth="1"/>
    <col min="3569" max="3569" width="21.5" style="167" customWidth="1"/>
    <col min="3570" max="3570" width="20.83203125" style="167" customWidth="1"/>
    <col min="3571" max="3571" width="0" style="167" hidden="1" customWidth="1"/>
    <col min="3572" max="3819" width="9.1640625" style="167"/>
    <col min="3820" max="3820" width="21.5" style="167" customWidth="1"/>
    <col min="3821" max="3821" width="16.5" style="167" customWidth="1"/>
    <col min="3822" max="3822" width="18" style="167" customWidth="1"/>
    <col min="3823" max="3823" width="23.6640625" style="167" customWidth="1"/>
    <col min="3824" max="3824" width="26" style="167" customWidth="1"/>
    <col min="3825" max="3825" width="21.5" style="167" customWidth="1"/>
    <col min="3826" max="3826" width="20.83203125" style="167" customWidth="1"/>
    <col min="3827" max="3827" width="0" style="167" hidden="1" customWidth="1"/>
    <col min="3828" max="4075" width="9.1640625" style="167"/>
    <col min="4076" max="4076" width="21.5" style="167" customWidth="1"/>
    <col min="4077" max="4077" width="16.5" style="167" customWidth="1"/>
    <col min="4078" max="4078" width="18" style="167" customWidth="1"/>
    <col min="4079" max="4079" width="23.6640625" style="167" customWidth="1"/>
    <col min="4080" max="4080" width="26" style="167" customWidth="1"/>
    <col min="4081" max="4081" width="21.5" style="167" customWidth="1"/>
    <col min="4082" max="4082" width="20.83203125" style="167" customWidth="1"/>
    <col min="4083" max="4083" width="0" style="167" hidden="1" customWidth="1"/>
    <col min="4084" max="4331" width="9.1640625" style="167"/>
    <col min="4332" max="4332" width="21.5" style="167" customWidth="1"/>
    <col min="4333" max="4333" width="16.5" style="167" customWidth="1"/>
    <col min="4334" max="4334" width="18" style="167" customWidth="1"/>
    <col min="4335" max="4335" width="23.6640625" style="167" customWidth="1"/>
    <col min="4336" max="4336" width="26" style="167" customWidth="1"/>
    <col min="4337" max="4337" width="21.5" style="167" customWidth="1"/>
    <col min="4338" max="4338" width="20.83203125" style="167" customWidth="1"/>
    <col min="4339" max="4339" width="0" style="167" hidden="1" customWidth="1"/>
    <col min="4340" max="4587" width="9.1640625" style="167"/>
    <col min="4588" max="4588" width="21.5" style="167" customWidth="1"/>
    <col min="4589" max="4589" width="16.5" style="167" customWidth="1"/>
    <col min="4590" max="4590" width="18" style="167" customWidth="1"/>
    <col min="4591" max="4591" width="23.6640625" style="167" customWidth="1"/>
    <col min="4592" max="4592" width="26" style="167" customWidth="1"/>
    <col min="4593" max="4593" width="21.5" style="167" customWidth="1"/>
    <col min="4594" max="4594" width="20.83203125" style="167" customWidth="1"/>
    <col min="4595" max="4595" width="0" style="167" hidden="1" customWidth="1"/>
    <col min="4596" max="4843" width="9.1640625" style="167"/>
    <col min="4844" max="4844" width="21.5" style="167" customWidth="1"/>
    <col min="4845" max="4845" width="16.5" style="167" customWidth="1"/>
    <col min="4846" max="4846" width="18" style="167" customWidth="1"/>
    <col min="4847" max="4847" width="23.6640625" style="167" customWidth="1"/>
    <col min="4848" max="4848" width="26" style="167" customWidth="1"/>
    <col min="4849" max="4849" width="21.5" style="167" customWidth="1"/>
    <col min="4850" max="4850" width="20.83203125" style="167" customWidth="1"/>
    <col min="4851" max="4851" width="0" style="167" hidden="1" customWidth="1"/>
    <col min="4852" max="5099" width="9.1640625" style="167"/>
    <col min="5100" max="5100" width="21.5" style="167" customWidth="1"/>
    <col min="5101" max="5101" width="16.5" style="167" customWidth="1"/>
    <col min="5102" max="5102" width="18" style="167" customWidth="1"/>
    <col min="5103" max="5103" width="23.6640625" style="167" customWidth="1"/>
    <col min="5104" max="5104" width="26" style="167" customWidth="1"/>
    <col min="5105" max="5105" width="21.5" style="167" customWidth="1"/>
    <col min="5106" max="5106" width="20.83203125" style="167" customWidth="1"/>
    <col min="5107" max="5107" width="0" style="167" hidden="1" customWidth="1"/>
    <col min="5108" max="5355" width="9.1640625" style="167"/>
    <col min="5356" max="5356" width="21.5" style="167" customWidth="1"/>
    <col min="5357" max="5357" width="16.5" style="167" customWidth="1"/>
    <col min="5358" max="5358" width="18" style="167" customWidth="1"/>
    <col min="5359" max="5359" width="23.6640625" style="167" customWidth="1"/>
    <col min="5360" max="5360" width="26" style="167" customWidth="1"/>
    <col min="5361" max="5361" width="21.5" style="167" customWidth="1"/>
    <col min="5362" max="5362" width="20.83203125" style="167" customWidth="1"/>
    <col min="5363" max="5363" width="0" style="167" hidden="1" customWidth="1"/>
    <col min="5364" max="5611" width="9.1640625" style="167"/>
    <col min="5612" max="5612" width="21.5" style="167" customWidth="1"/>
    <col min="5613" max="5613" width="16.5" style="167" customWidth="1"/>
    <col min="5614" max="5614" width="18" style="167" customWidth="1"/>
    <col min="5615" max="5615" width="23.6640625" style="167" customWidth="1"/>
    <col min="5616" max="5616" width="26" style="167" customWidth="1"/>
    <col min="5617" max="5617" width="21.5" style="167" customWidth="1"/>
    <col min="5618" max="5618" width="20.83203125" style="167" customWidth="1"/>
    <col min="5619" max="5619" width="0" style="167" hidden="1" customWidth="1"/>
    <col min="5620" max="5867" width="9.1640625" style="167"/>
    <col min="5868" max="5868" width="21.5" style="167" customWidth="1"/>
    <col min="5869" max="5869" width="16.5" style="167" customWidth="1"/>
    <col min="5870" max="5870" width="18" style="167" customWidth="1"/>
    <col min="5871" max="5871" width="23.6640625" style="167" customWidth="1"/>
    <col min="5872" max="5872" width="26" style="167" customWidth="1"/>
    <col min="5873" max="5873" width="21.5" style="167" customWidth="1"/>
    <col min="5874" max="5874" width="20.83203125" style="167" customWidth="1"/>
    <col min="5875" max="5875" width="0" style="167" hidden="1" customWidth="1"/>
    <col min="5876" max="6123" width="9.1640625" style="167"/>
    <col min="6124" max="6124" width="21.5" style="167" customWidth="1"/>
    <col min="6125" max="6125" width="16.5" style="167" customWidth="1"/>
    <col min="6126" max="6126" width="18" style="167" customWidth="1"/>
    <col min="6127" max="6127" width="23.6640625" style="167" customWidth="1"/>
    <col min="6128" max="6128" width="26" style="167" customWidth="1"/>
    <col min="6129" max="6129" width="21.5" style="167" customWidth="1"/>
    <col min="6130" max="6130" width="20.83203125" style="167" customWidth="1"/>
    <col min="6131" max="6131" width="0" style="167" hidden="1" customWidth="1"/>
    <col min="6132" max="6379" width="9.1640625" style="167"/>
    <col min="6380" max="6380" width="21.5" style="167" customWidth="1"/>
    <col min="6381" max="6381" width="16.5" style="167" customWidth="1"/>
    <col min="6382" max="6382" width="18" style="167" customWidth="1"/>
    <col min="6383" max="6383" width="23.6640625" style="167" customWidth="1"/>
    <col min="6384" max="6384" width="26" style="167" customWidth="1"/>
    <col min="6385" max="6385" width="21.5" style="167" customWidth="1"/>
    <col min="6386" max="6386" width="20.83203125" style="167" customWidth="1"/>
    <col min="6387" max="6387" width="0" style="167" hidden="1" customWidth="1"/>
    <col min="6388" max="6635" width="9.1640625" style="167"/>
    <col min="6636" max="6636" width="21.5" style="167" customWidth="1"/>
    <col min="6637" max="6637" width="16.5" style="167" customWidth="1"/>
    <col min="6638" max="6638" width="18" style="167" customWidth="1"/>
    <col min="6639" max="6639" width="23.6640625" style="167" customWidth="1"/>
    <col min="6640" max="6640" width="26" style="167" customWidth="1"/>
    <col min="6641" max="6641" width="21.5" style="167" customWidth="1"/>
    <col min="6642" max="6642" width="20.83203125" style="167" customWidth="1"/>
    <col min="6643" max="6643" width="0" style="167" hidden="1" customWidth="1"/>
    <col min="6644" max="6891" width="9.1640625" style="167"/>
    <col min="6892" max="6892" width="21.5" style="167" customWidth="1"/>
    <col min="6893" max="6893" width="16.5" style="167" customWidth="1"/>
    <col min="6894" max="6894" width="18" style="167" customWidth="1"/>
    <col min="6895" max="6895" width="23.6640625" style="167" customWidth="1"/>
    <col min="6896" max="6896" width="26" style="167" customWidth="1"/>
    <col min="6897" max="6897" width="21.5" style="167" customWidth="1"/>
    <col min="6898" max="6898" width="20.83203125" style="167" customWidth="1"/>
    <col min="6899" max="6899" width="0" style="167" hidden="1" customWidth="1"/>
    <col min="6900" max="7147" width="9.1640625" style="167"/>
    <col min="7148" max="7148" width="21.5" style="167" customWidth="1"/>
    <col min="7149" max="7149" width="16.5" style="167" customWidth="1"/>
    <col min="7150" max="7150" width="18" style="167" customWidth="1"/>
    <col min="7151" max="7151" width="23.6640625" style="167" customWidth="1"/>
    <col min="7152" max="7152" width="26" style="167" customWidth="1"/>
    <col min="7153" max="7153" width="21.5" style="167" customWidth="1"/>
    <col min="7154" max="7154" width="20.83203125" style="167" customWidth="1"/>
    <col min="7155" max="7155" width="0" style="167" hidden="1" customWidth="1"/>
    <col min="7156" max="7403" width="9.1640625" style="167"/>
    <col min="7404" max="7404" width="21.5" style="167" customWidth="1"/>
    <col min="7405" max="7405" width="16.5" style="167" customWidth="1"/>
    <col min="7406" max="7406" width="18" style="167" customWidth="1"/>
    <col min="7407" max="7407" width="23.6640625" style="167" customWidth="1"/>
    <col min="7408" max="7408" width="26" style="167" customWidth="1"/>
    <col min="7409" max="7409" width="21.5" style="167" customWidth="1"/>
    <col min="7410" max="7410" width="20.83203125" style="167" customWidth="1"/>
    <col min="7411" max="7411" width="0" style="167" hidden="1" customWidth="1"/>
    <col min="7412" max="7659" width="9.1640625" style="167"/>
    <col min="7660" max="7660" width="21.5" style="167" customWidth="1"/>
    <col min="7661" max="7661" width="16.5" style="167" customWidth="1"/>
    <col min="7662" max="7662" width="18" style="167" customWidth="1"/>
    <col min="7663" max="7663" width="23.6640625" style="167" customWidth="1"/>
    <col min="7664" max="7664" width="26" style="167" customWidth="1"/>
    <col min="7665" max="7665" width="21.5" style="167" customWidth="1"/>
    <col min="7666" max="7666" width="20.83203125" style="167" customWidth="1"/>
    <col min="7667" max="7667" width="0" style="167" hidden="1" customWidth="1"/>
    <col min="7668" max="7915" width="9.1640625" style="167"/>
    <col min="7916" max="7916" width="21.5" style="167" customWidth="1"/>
    <col min="7917" max="7917" width="16.5" style="167" customWidth="1"/>
    <col min="7918" max="7918" width="18" style="167" customWidth="1"/>
    <col min="7919" max="7919" width="23.6640625" style="167" customWidth="1"/>
    <col min="7920" max="7920" width="26" style="167" customWidth="1"/>
    <col min="7921" max="7921" width="21.5" style="167" customWidth="1"/>
    <col min="7922" max="7922" width="20.83203125" style="167" customWidth="1"/>
    <col min="7923" max="7923" width="0" style="167" hidden="1" customWidth="1"/>
    <col min="7924" max="8171" width="9.1640625" style="167"/>
    <col min="8172" max="8172" width="21.5" style="167" customWidth="1"/>
    <col min="8173" max="8173" width="16.5" style="167" customWidth="1"/>
    <col min="8174" max="8174" width="18" style="167" customWidth="1"/>
    <col min="8175" max="8175" width="23.6640625" style="167" customWidth="1"/>
    <col min="8176" max="8176" width="26" style="167" customWidth="1"/>
    <col min="8177" max="8177" width="21.5" style="167" customWidth="1"/>
    <col min="8178" max="8178" width="20.83203125" style="167" customWidth="1"/>
    <col min="8179" max="8179" width="0" style="167" hidden="1" customWidth="1"/>
    <col min="8180" max="8427" width="9.1640625" style="167"/>
    <col min="8428" max="8428" width="21.5" style="167" customWidth="1"/>
    <col min="8429" max="8429" width="16.5" style="167" customWidth="1"/>
    <col min="8430" max="8430" width="18" style="167" customWidth="1"/>
    <col min="8431" max="8431" width="23.6640625" style="167" customWidth="1"/>
    <col min="8432" max="8432" width="26" style="167" customWidth="1"/>
    <col min="8433" max="8433" width="21.5" style="167" customWidth="1"/>
    <col min="8434" max="8434" width="20.83203125" style="167" customWidth="1"/>
    <col min="8435" max="8435" width="0" style="167" hidden="1" customWidth="1"/>
    <col min="8436" max="8683" width="9.1640625" style="167"/>
    <col min="8684" max="8684" width="21.5" style="167" customWidth="1"/>
    <col min="8685" max="8685" width="16.5" style="167" customWidth="1"/>
    <col min="8686" max="8686" width="18" style="167" customWidth="1"/>
    <col min="8687" max="8687" width="23.6640625" style="167" customWidth="1"/>
    <col min="8688" max="8688" width="26" style="167" customWidth="1"/>
    <col min="8689" max="8689" width="21.5" style="167" customWidth="1"/>
    <col min="8690" max="8690" width="20.83203125" style="167" customWidth="1"/>
    <col min="8691" max="8691" width="0" style="167" hidden="1" customWidth="1"/>
    <col min="8692" max="8939" width="9.1640625" style="167"/>
    <col min="8940" max="8940" width="21.5" style="167" customWidth="1"/>
    <col min="8941" max="8941" width="16.5" style="167" customWidth="1"/>
    <col min="8942" max="8942" width="18" style="167" customWidth="1"/>
    <col min="8943" max="8943" width="23.6640625" style="167" customWidth="1"/>
    <col min="8944" max="8944" width="26" style="167" customWidth="1"/>
    <col min="8945" max="8945" width="21.5" style="167" customWidth="1"/>
    <col min="8946" max="8946" width="20.83203125" style="167" customWidth="1"/>
    <col min="8947" max="8947" width="0" style="167" hidden="1" customWidth="1"/>
    <col min="8948" max="9195" width="9.1640625" style="167"/>
    <col min="9196" max="9196" width="21.5" style="167" customWidth="1"/>
    <col min="9197" max="9197" width="16.5" style="167" customWidth="1"/>
    <col min="9198" max="9198" width="18" style="167" customWidth="1"/>
    <col min="9199" max="9199" width="23.6640625" style="167" customWidth="1"/>
    <col min="9200" max="9200" width="26" style="167" customWidth="1"/>
    <col min="9201" max="9201" width="21.5" style="167" customWidth="1"/>
    <col min="9202" max="9202" width="20.83203125" style="167" customWidth="1"/>
    <col min="9203" max="9203" width="0" style="167" hidden="1" customWidth="1"/>
    <col min="9204" max="9451" width="9.1640625" style="167"/>
    <col min="9452" max="9452" width="21.5" style="167" customWidth="1"/>
    <col min="9453" max="9453" width="16.5" style="167" customWidth="1"/>
    <col min="9454" max="9454" width="18" style="167" customWidth="1"/>
    <col min="9455" max="9455" width="23.6640625" style="167" customWidth="1"/>
    <col min="9456" max="9456" width="26" style="167" customWidth="1"/>
    <col min="9457" max="9457" width="21.5" style="167" customWidth="1"/>
    <col min="9458" max="9458" width="20.83203125" style="167" customWidth="1"/>
    <col min="9459" max="9459" width="0" style="167" hidden="1" customWidth="1"/>
    <col min="9460" max="9707" width="9.1640625" style="167"/>
    <col min="9708" max="9708" width="21.5" style="167" customWidth="1"/>
    <col min="9709" max="9709" width="16.5" style="167" customWidth="1"/>
    <col min="9710" max="9710" width="18" style="167" customWidth="1"/>
    <col min="9711" max="9711" width="23.6640625" style="167" customWidth="1"/>
    <col min="9712" max="9712" width="26" style="167" customWidth="1"/>
    <col min="9713" max="9713" width="21.5" style="167" customWidth="1"/>
    <col min="9714" max="9714" width="20.83203125" style="167" customWidth="1"/>
    <col min="9715" max="9715" width="0" style="167" hidden="1" customWidth="1"/>
    <col min="9716" max="9963" width="9.1640625" style="167"/>
    <col min="9964" max="9964" width="21.5" style="167" customWidth="1"/>
    <col min="9965" max="9965" width="16.5" style="167" customWidth="1"/>
    <col min="9966" max="9966" width="18" style="167" customWidth="1"/>
    <col min="9967" max="9967" width="23.6640625" style="167" customWidth="1"/>
    <col min="9968" max="9968" width="26" style="167" customWidth="1"/>
    <col min="9969" max="9969" width="21.5" style="167" customWidth="1"/>
    <col min="9970" max="9970" width="20.83203125" style="167" customWidth="1"/>
    <col min="9971" max="9971" width="0" style="167" hidden="1" customWidth="1"/>
    <col min="9972" max="10219" width="9.1640625" style="167"/>
    <col min="10220" max="10220" width="21.5" style="167" customWidth="1"/>
    <col min="10221" max="10221" width="16.5" style="167" customWidth="1"/>
    <col min="10222" max="10222" width="18" style="167" customWidth="1"/>
    <col min="10223" max="10223" width="23.6640625" style="167" customWidth="1"/>
    <col min="10224" max="10224" width="26" style="167" customWidth="1"/>
    <col min="10225" max="10225" width="21.5" style="167" customWidth="1"/>
    <col min="10226" max="10226" width="20.83203125" style="167" customWidth="1"/>
    <col min="10227" max="10227" width="0" style="167" hidden="1" customWidth="1"/>
    <col min="10228" max="10475" width="9.1640625" style="167"/>
    <col min="10476" max="10476" width="21.5" style="167" customWidth="1"/>
    <col min="10477" max="10477" width="16.5" style="167" customWidth="1"/>
    <col min="10478" max="10478" width="18" style="167" customWidth="1"/>
    <col min="10479" max="10479" width="23.6640625" style="167" customWidth="1"/>
    <col min="10480" max="10480" width="26" style="167" customWidth="1"/>
    <col min="10481" max="10481" width="21.5" style="167" customWidth="1"/>
    <col min="10482" max="10482" width="20.83203125" style="167" customWidth="1"/>
    <col min="10483" max="10483" width="0" style="167" hidden="1" customWidth="1"/>
    <col min="10484" max="10731" width="9.1640625" style="167"/>
    <col min="10732" max="10732" width="21.5" style="167" customWidth="1"/>
    <col min="10733" max="10733" width="16.5" style="167" customWidth="1"/>
    <col min="10734" max="10734" width="18" style="167" customWidth="1"/>
    <col min="10735" max="10735" width="23.6640625" style="167" customWidth="1"/>
    <col min="10736" max="10736" width="26" style="167" customWidth="1"/>
    <col min="10737" max="10737" width="21.5" style="167" customWidth="1"/>
    <col min="10738" max="10738" width="20.83203125" style="167" customWidth="1"/>
    <col min="10739" max="10739" width="0" style="167" hidden="1" customWidth="1"/>
    <col min="10740" max="10987" width="9.1640625" style="167"/>
    <col min="10988" max="10988" width="21.5" style="167" customWidth="1"/>
    <col min="10989" max="10989" width="16.5" style="167" customWidth="1"/>
    <col min="10990" max="10990" width="18" style="167" customWidth="1"/>
    <col min="10991" max="10991" width="23.6640625" style="167" customWidth="1"/>
    <col min="10992" max="10992" width="26" style="167" customWidth="1"/>
    <col min="10993" max="10993" width="21.5" style="167" customWidth="1"/>
    <col min="10994" max="10994" width="20.83203125" style="167" customWidth="1"/>
    <col min="10995" max="10995" width="0" style="167" hidden="1" customWidth="1"/>
    <col min="10996" max="11243" width="9.1640625" style="167"/>
    <col min="11244" max="11244" width="21.5" style="167" customWidth="1"/>
    <col min="11245" max="11245" width="16.5" style="167" customWidth="1"/>
    <col min="11246" max="11246" width="18" style="167" customWidth="1"/>
    <col min="11247" max="11247" width="23.6640625" style="167" customWidth="1"/>
    <col min="11248" max="11248" width="26" style="167" customWidth="1"/>
    <col min="11249" max="11249" width="21.5" style="167" customWidth="1"/>
    <col min="11250" max="11250" width="20.83203125" style="167" customWidth="1"/>
    <col min="11251" max="11251" width="0" style="167" hidden="1" customWidth="1"/>
    <col min="11252" max="11499" width="9.1640625" style="167"/>
    <col min="11500" max="11500" width="21.5" style="167" customWidth="1"/>
    <col min="11501" max="11501" width="16.5" style="167" customWidth="1"/>
    <col min="11502" max="11502" width="18" style="167" customWidth="1"/>
    <col min="11503" max="11503" width="23.6640625" style="167" customWidth="1"/>
    <col min="11504" max="11504" width="26" style="167" customWidth="1"/>
    <col min="11505" max="11505" width="21.5" style="167" customWidth="1"/>
    <col min="11506" max="11506" width="20.83203125" style="167" customWidth="1"/>
    <col min="11507" max="11507" width="0" style="167" hidden="1" customWidth="1"/>
    <col min="11508" max="11755" width="9.1640625" style="167"/>
    <col min="11756" max="11756" width="21.5" style="167" customWidth="1"/>
    <col min="11757" max="11757" width="16.5" style="167" customWidth="1"/>
    <col min="11758" max="11758" width="18" style="167" customWidth="1"/>
    <col min="11759" max="11759" width="23.6640625" style="167" customWidth="1"/>
    <col min="11760" max="11760" width="26" style="167" customWidth="1"/>
    <col min="11761" max="11761" width="21.5" style="167" customWidth="1"/>
    <col min="11762" max="11762" width="20.83203125" style="167" customWidth="1"/>
    <col min="11763" max="11763" width="0" style="167" hidden="1" customWidth="1"/>
    <col min="11764" max="12011" width="9.1640625" style="167"/>
    <col min="12012" max="12012" width="21.5" style="167" customWidth="1"/>
    <col min="12013" max="12013" width="16.5" style="167" customWidth="1"/>
    <col min="12014" max="12014" width="18" style="167" customWidth="1"/>
    <col min="12015" max="12015" width="23.6640625" style="167" customWidth="1"/>
    <col min="12016" max="12016" width="26" style="167" customWidth="1"/>
    <col min="12017" max="12017" width="21.5" style="167" customWidth="1"/>
    <col min="12018" max="12018" width="20.83203125" style="167" customWidth="1"/>
    <col min="12019" max="12019" width="0" style="167" hidden="1" customWidth="1"/>
    <col min="12020" max="12267" width="9.1640625" style="167"/>
    <col min="12268" max="12268" width="21.5" style="167" customWidth="1"/>
    <col min="12269" max="12269" width="16.5" style="167" customWidth="1"/>
    <col min="12270" max="12270" width="18" style="167" customWidth="1"/>
    <col min="12271" max="12271" width="23.6640625" style="167" customWidth="1"/>
    <col min="12272" max="12272" width="26" style="167" customWidth="1"/>
    <col min="12273" max="12273" width="21.5" style="167" customWidth="1"/>
    <col min="12274" max="12274" width="20.83203125" style="167" customWidth="1"/>
    <col min="12275" max="12275" width="0" style="167" hidden="1" customWidth="1"/>
    <col min="12276" max="12523" width="9.1640625" style="167"/>
    <col min="12524" max="12524" width="21.5" style="167" customWidth="1"/>
    <col min="12525" max="12525" width="16.5" style="167" customWidth="1"/>
    <col min="12526" max="12526" width="18" style="167" customWidth="1"/>
    <col min="12527" max="12527" width="23.6640625" style="167" customWidth="1"/>
    <col min="12528" max="12528" width="26" style="167" customWidth="1"/>
    <col min="12529" max="12529" width="21.5" style="167" customWidth="1"/>
    <col min="12530" max="12530" width="20.83203125" style="167" customWidth="1"/>
    <col min="12531" max="12531" width="0" style="167" hidden="1" customWidth="1"/>
    <col min="12532" max="12779" width="9.1640625" style="167"/>
    <col min="12780" max="12780" width="21.5" style="167" customWidth="1"/>
    <col min="12781" max="12781" width="16.5" style="167" customWidth="1"/>
    <col min="12782" max="12782" width="18" style="167" customWidth="1"/>
    <col min="12783" max="12783" width="23.6640625" style="167" customWidth="1"/>
    <col min="12784" max="12784" width="26" style="167" customWidth="1"/>
    <col min="12785" max="12785" width="21.5" style="167" customWidth="1"/>
    <col min="12786" max="12786" width="20.83203125" style="167" customWidth="1"/>
    <col min="12787" max="12787" width="0" style="167" hidden="1" customWidth="1"/>
    <col min="12788" max="13035" width="9.1640625" style="167"/>
    <col min="13036" max="13036" width="21.5" style="167" customWidth="1"/>
    <col min="13037" max="13037" width="16.5" style="167" customWidth="1"/>
    <col min="13038" max="13038" width="18" style="167" customWidth="1"/>
    <col min="13039" max="13039" width="23.6640625" style="167" customWidth="1"/>
    <col min="13040" max="13040" width="26" style="167" customWidth="1"/>
    <col min="13041" max="13041" width="21.5" style="167" customWidth="1"/>
    <col min="13042" max="13042" width="20.83203125" style="167" customWidth="1"/>
    <col min="13043" max="13043" width="0" style="167" hidden="1" customWidth="1"/>
    <col min="13044" max="13291" width="9.1640625" style="167"/>
    <col min="13292" max="13292" width="21.5" style="167" customWidth="1"/>
    <col min="13293" max="13293" width="16.5" style="167" customWidth="1"/>
    <col min="13294" max="13294" width="18" style="167" customWidth="1"/>
    <col min="13295" max="13295" width="23.6640625" style="167" customWidth="1"/>
    <col min="13296" max="13296" width="26" style="167" customWidth="1"/>
    <col min="13297" max="13297" width="21.5" style="167" customWidth="1"/>
    <col min="13298" max="13298" width="20.83203125" style="167" customWidth="1"/>
    <col min="13299" max="13299" width="0" style="167" hidden="1" customWidth="1"/>
    <col min="13300" max="13547" width="9.1640625" style="167"/>
    <col min="13548" max="13548" width="21.5" style="167" customWidth="1"/>
    <col min="13549" max="13549" width="16.5" style="167" customWidth="1"/>
    <col min="13550" max="13550" width="18" style="167" customWidth="1"/>
    <col min="13551" max="13551" width="23.6640625" style="167" customWidth="1"/>
    <col min="13552" max="13552" width="26" style="167" customWidth="1"/>
    <col min="13553" max="13553" width="21.5" style="167" customWidth="1"/>
    <col min="13554" max="13554" width="20.83203125" style="167" customWidth="1"/>
    <col min="13555" max="13555" width="0" style="167" hidden="1" customWidth="1"/>
    <col min="13556" max="13803" width="9.1640625" style="167"/>
    <col min="13804" max="13804" width="21.5" style="167" customWidth="1"/>
    <col min="13805" max="13805" width="16.5" style="167" customWidth="1"/>
    <col min="13806" max="13806" width="18" style="167" customWidth="1"/>
    <col min="13807" max="13807" width="23.6640625" style="167" customWidth="1"/>
    <col min="13808" max="13808" width="26" style="167" customWidth="1"/>
    <col min="13809" max="13809" width="21.5" style="167" customWidth="1"/>
    <col min="13810" max="13810" width="20.83203125" style="167" customWidth="1"/>
    <col min="13811" max="13811" width="0" style="167" hidden="1" customWidth="1"/>
    <col min="13812" max="14059" width="9.1640625" style="167"/>
    <col min="14060" max="14060" width="21.5" style="167" customWidth="1"/>
    <col min="14061" max="14061" width="16.5" style="167" customWidth="1"/>
    <col min="14062" max="14062" width="18" style="167" customWidth="1"/>
    <col min="14063" max="14063" width="23.6640625" style="167" customWidth="1"/>
    <col min="14064" max="14064" width="26" style="167" customWidth="1"/>
    <col min="14065" max="14065" width="21.5" style="167" customWidth="1"/>
    <col min="14066" max="14066" width="20.83203125" style="167" customWidth="1"/>
    <col min="14067" max="14067" width="0" style="167" hidden="1" customWidth="1"/>
    <col min="14068" max="14315" width="9.1640625" style="167"/>
    <col min="14316" max="14316" width="21.5" style="167" customWidth="1"/>
    <col min="14317" max="14317" width="16.5" style="167" customWidth="1"/>
    <col min="14318" max="14318" width="18" style="167" customWidth="1"/>
    <col min="14319" max="14319" width="23.6640625" style="167" customWidth="1"/>
    <col min="14320" max="14320" width="26" style="167" customWidth="1"/>
    <col min="14321" max="14321" width="21.5" style="167" customWidth="1"/>
    <col min="14322" max="14322" width="20.83203125" style="167" customWidth="1"/>
    <col min="14323" max="14323" width="0" style="167" hidden="1" customWidth="1"/>
    <col min="14324" max="14571" width="9.1640625" style="167"/>
    <col min="14572" max="14572" width="21.5" style="167" customWidth="1"/>
    <col min="14573" max="14573" width="16.5" style="167" customWidth="1"/>
    <col min="14574" max="14574" width="18" style="167" customWidth="1"/>
    <col min="14575" max="14575" width="23.6640625" style="167" customWidth="1"/>
    <col min="14576" max="14576" width="26" style="167" customWidth="1"/>
    <col min="14577" max="14577" width="21.5" style="167" customWidth="1"/>
    <col min="14578" max="14578" width="20.83203125" style="167" customWidth="1"/>
    <col min="14579" max="14579" width="0" style="167" hidden="1" customWidth="1"/>
    <col min="14580" max="14827" width="9.1640625" style="167"/>
    <col min="14828" max="14828" width="21.5" style="167" customWidth="1"/>
    <col min="14829" max="14829" width="16.5" style="167" customWidth="1"/>
    <col min="14830" max="14830" width="18" style="167" customWidth="1"/>
    <col min="14831" max="14831" width="23.6640625" style="167" customWidth="1"/>
    <col min="14832" max="14832" width="26" style="167" customWidth="1"/>
    <col min="14833" max="14833" width="21.5" style="167" customWidth="1"/>
    <col min="14834" max="14834" width="20.83203125" style="167" customWidth="1"/>
    <col min="14835" max="14835" width="0" style="167" hidden="1" customWidth="1"/>
    <col min="14836" max="15083" width="9.1640625" style="167"/>
    <col min="15084" max="15084" width="21.5" style="167" customWidth="1"/>
    <col min="15085" max="15085" width="16.5" style="167" customWidth="1"/>
    <col min="15086" max="15086" width="18" style="167" customWidth="1"/>
    <col min="15087" max="15087" width="23.6640625" style="167" customWidth="1"/>
    <col min="15088" max="15088" width="26" style="167" customWidth="1"/>
    <col min="15089" max="15089" width="21.5" style="167" customWidth="1"/>
    <col min="15090" max="15090" width="20.83203125" style="167" customWidth="1"/>
    <col min="15091" max="15091" width="0" style="167" hidden="1" customWidth="1"/>
    <col min="15092" max="15339" width="9.1640625" style="167"/>
    <col min="15340" max="15340" width="21.5" style="167" customWidth="1"/>
    <col min="15341" max="15341" width="16.5" style="167" customWidth="1"/>
    <col min="15342" max="15342" width="18" style="167" customWidth="1"/>
    <col min="15343" max="15343" width="23.6640625" style="167" customWidth="1"/>
    <col min="15344" max="15344" width="26" style="167" customWidth="1"/>
    <col min="15345" max="15345" width="21.5" style="167" customWidth="1"/>
    <col min="15346" max="15346" width="20.83203125" style="167" customWidth="1"/>
    <col min="15347" max="15347" width="0" style="167" hidden="1" customWidth="1"/>
    <col min="15348" max="15595" width="9.1640625" style="167"/>
    <col min="15596" max="15596" width="21.5" style="167" customWidth="1"/>
    <col min="15597" max="15597" width="16.5" style="167" customWidth="1"/>
    <col min="15598" max="15598" width="18" style="167" customWidth="1"/>
    <col min="15599" max="15599" width="23.6640625" style="167" customWidth="1"/>
    <col min="15600" max="15600" width="26" style="167" customWidth="1"/>
    <col min="15601" max="15601" width="21.5" style="167" customWidth="1"/>
    <col min="15602" max="15602" width="20.83203125" style="167" customWidth="1"/>
    <col min="15603" max="15603" width="0" style="167" hidden="1" customWidth="1"/>
    <col min="15604" max="15851" width="9.1640625" style="167"/>
    <col min="15852" max="15852" width="21.5" style="167" customWidth="1"/>
    <col min="15853" max="15853" width="16.5" style="167" customWidth="1"/>
    <col min="15854" max="15854" width="18" style="167" customWidth="1"/>
    <col min="15855" max="15855" width="23.6640625" style="167" customWidth="1"/>
    <col min="15856" max="15856" width="26" style="167" customWidth="1"/>
    <col min="15857" max="15857" width="21.5" style="167" customWidth="1"/>
    <col min="15858" max="15858" width="20.83203125" style="167" customWidth="1"/>
    <col min="15859" max="15859" width="0" style="167" hidden="1" customWidth="1"/>
    <col min="15860" max="16107" width="9.1640625" style="167"/>
    <col min="16108" max="16108" width="21.5" style="167" customWidth="1"/>
    <col min="16109" max="16109" width="16.5" style="167" customWidth="1"/>
    <col min="16110" max="16110" width="18" style="167" customWidth="1"/>
    <col min="16111" max="16111" width="23.6640625" style="167" customWidth="1"/>
    <col min="16112" max="16112" width="26" style="167" customWidth="1"/>
    <col min="16113" max="16113" width="21.5" style="167" customWidth="1"/>
    <col min="16114" max="16114" width="20.83203125" style="167" customWidth="1"/>
    <col min="16115" max="16115" width="0" style="167" hidden="1" customWidth="1"/>
    <col min="16116" max="16384" width="9.1640625" style="167"/>
  </cols>
  <sheetData>
    <row r="1" spans="2:19" ht="9" customHeight="1" thickBot="1"/>
    <row r="2" spans="2:19" s="169" customFormat="1" ht="30" customHeight="1" thickBot="1">
      <c r="B2" s="191" t="s">
        <v>57</v>
      </c>
      <c r="C2" s="192"/>
      <c r="D2" s="192"/>
      <c r="E2" s="192"/>
      <c r="F2" s="192"/>
      <c r="G2" s="193"/>
      <c r="H2" s="192"/>
      <c r="I2" s="192"/>
      <c r="J2" s="192"/>
      <c r="K2" s="192"/>
      <c r="L2" s="192"/>
      <c r="M2" s="194"/>
      <c r="N2" s="193"/>
      <c r="O2" s="193"/>
      <c r="P2" s="195"/>
    </row>
    <row r="3" spans="2:19">
      <c r="G3" s="196"/>
      <c r="M3" s="197"/>
      <c r="N3" s="198"/>
      <c r="O3" s="198"/>
      <c r="P3" s="198"/>
      <c r="R3" s="792" t="s">
        <v>289</v>
      </c>
      <c r="S3" s="793"/>
    </row>
    <row r="4" spans="2:19" ht="45" customHeight="1">
      <c r="B4" s="170" t="s">
        <v>251</v>
      </c>
      <c r="C4" s="171" t="s">
        <v>250</v>
      </c>
      <c r="D4" s="171" t="s">
        <v>58</v>
      </c>
      <c r="E4" s="171" t="s">
        <v>12</v>
      </c>
      <c r="F4" s="171" t="s">
        <v>62</v>
      </c>
      <c r="G4" s="171" t="s">
        <v>165</v>
      </c>
      <c r="H4" s="171" t="s">
        <v>287</v>
      </c>
      <c r="I4" s="171" t="s">
        <v>380</v>
      </c>
      <c r="J4" s="171" t="s">
        <v>381</v>
      </c>
      <c r="K4" s="171" t="s">
        <v>382</v>
      </c>
      <c r="L4" s="171" t="s">
        <v>383</v>
      </c>
      <c r="M4" s="171" t="s">
        <v>164</v>
      </c>
      <c r="N4" s="171" t="s">
        <v>60</v>
      </c>
      <c r="O4" s="171" t="s">
        <v>61</v>
      </c>
      <c r="P4" s="172" t="s">
        <v>62</v>
      </c>
      <c r="R4" s="788" t="s">
        <v>384</v>
      </c>
      <c r="S4" s="790" t="s">
        <v>288</v>
      </c>
    </row>
    <row r="5" spans="2:19" ht="15.75" customHeight="1">
      <c r="B5" s="173" t="s">
        <v>59</v>
      </c>
      <c r="C5" s="174" t="s">
        <v>56</v>
      </c>
      <c r="D5" s="174" t="s">
        <v>0</v>
      </c>
      <c r="E5" s="174" t="s">
        <v>0</v>
      </c>
      <c r="F5" s="174" t="s">
        <v>0</v>
      </c>
      <c r="G5" s="175" t="s">
        <v>0</v>
      </c>
      <c r="H5" s="175" t="s">
        <v>0</v>
      </c>
      <c r="I5" s="175" t="s">
        <v>0</v>
      </c>
      <c r="J5" s="175" t="s">
        <v>0</v>
      </c>
      <c r="K5" s="174" t="s">
        <v>0</v>
      </c>
      <c r="L5" s="174" t="s">
        <v>0</v>
      </c>
      <c r="M5" s="175" t="s">
        <v>0</v>
      </c>
      <c r="N5" s="175" t="s">
        <v>0</v>
      </c>
      <c r="O5" s="174" t="s">
        <v>1</v>
      </c>
      <c r="P5" s="176" t="s">
        <v>63</v>
      </c>
      <c r="R5" s="789"/>
      <c r="S5" s="791"/>
    </row>
    <row r="6" spans="2:19" ht="15.75" customHeight="1">
      <c r="B6" s="177">
        <v>0</v>
      </c>
      <c r="C6" s="178"/>
      <c r="D6" s="179"/>
      <c r="E6" s="179"/>
      <c r="F6" s="179"/>
      <c r="G6" s="180"/>
      <c r="H6" s="179"/>
      <c r="I6" s="179"/>
      <c r="J6" s="179"/>
      <c r="K6" s="179"/>
      <c r="L6" s="228"/>
      <c r="M6" s="180">
        <f>'Cash Flow'!F67</f>
        <v>-4239914.239275042</v>
      </c>
      <c r="N6" s="180">
        <f>M6</f>
        <v>-4239914.239275042</v>
      </c>
      <c r="O6" s="199"/>
      <c r="P6" s="200"/>
      <c r="R6" s="388"/>
      <c r="S6" s="389"/>
    </row>
    <row r="7" spans="2:19" s="187" customFormat="1" ht="15">
      <c r="B7" s="182">
        <v>1</v>
      </c>
      <c r="C7" s="183">
        <f>IF($B7&gt;Inputs!$G$15,"",IF($B7&lt;=Inputs!$Q$8,LOOKUP($B7,'Cash Flow'!$F$2:$AJ$2,'Cash Flow'!$F$14:$AJ$14),LOOKUP($B7,'Cash Flow'!$F$2:$AJ$2,'Cash Flow'!$F$16:$AJ$16)))</f>
        <v>32.049999999999997</v>
      </c>
      <c r="D7" s="180">
        <f>IF($B7&gt;Inputs!$G$15,"",LOOKUP($B7,'Cash Flow'!$F$2:$AJ$2,'Cash Flow'!$F$23:$AJ$23))</f>
        <v>998664.4506749229</v>
      </c>
      <c r="E7" s="180">
        <f>IF($B7&gt;Inputs!$G$15,"",LOOKUP($B7,'Cash Flow'!$F$2:$AJ$2,'Cash Flow'!$F$35:$AJ$35))</f>
        <v>-125819.51831001599</v>
      </c>
      <c r="F7" s="180">
        <f>IF($B7&gt;Inputs!$G$15,"",LOOKUP($B7,'Cash Flow'!$F$2:$AJ$2,'Cash Flow'!$F$85:$AJ$85))</f>
        <v>-313149.6952238403</v>
      </c>
      <c r="G7" s="180">
        <f>IF($B7&gt;Inputs!$G$15,"",LOOKUP($B7,'Cash Flow'!$F$2:$AJ$2,'Cash Flow'!$F$47:$AJ$47)+LOOKUP($B7,'Cash Flow'!$F$2:$AJ$2,'Cash Flow'!$F$48:$AJ$48))</f>
        <v>-52222.222222222219</v>
      </c>
      <c r="H7" s="180">
        <f>IF($B7&gt;Inputs!$G$15,"",SUM(D7:G7))</f>
        <v>507473.01491884433</v>
      </c>
      <c r="I7" s="180">
        <f>IF($B7&gt;Inputs!$G$15,"",LOOKUP($B7,'Cash Flow'!$F$2:$AJ$2,'Cash Flow'!$F$60:$AJ$60))</f>
        <v>-3594281.6512680827</v>
      </c>
      <c r="J7" s="180">
        <f>IF($B7&gt;Inputs!$G$15,"",LOOKUP($B7,'Cash Flow'!$F$2:$AJ$2,'Cash Flow'!$F$61:$AJ$61))</f>
        <v>-3594281.6512680827</v>
      </c>
      <c r="K7" s="180">
        <f>IF($B7&gt;Inputs!$G$15,"",LOOKUP($B7,'Cash Flow'!$F$2:$AJ$2,'Cash Flow'!$F$63:$AJ$63)+LOOKUP($B7,'Cash Flow'!$F$2:$AJ$2,'Cash Flow'!$F$65:$AJ$65))</f>
        <v>1151068.6988186033</v>
      </c>
      <c r="L7" s="180">
        <f>IF($B7&gt;Inputs!$G$15,"",LOOKUP($B7,'Cash Flow'!$F$2:$AJ$2,'Cash Flow'!$F$64:$AJ$64)+LOOKUP($B7,'Cash Flow'!$F$2:$AJ$2,'Cash Flow'!$F$66:$AJ$66))</f>
        <v>305513.94035778707</v>
      </c>
      <c r="M7" s="180">
        <f>IF($B7&gt;Inputs!$G$15,"",H7+K7+L7)</f>
        <v>1964055.6540952348</v>
      </c>
      <c r="N7" s="180">
        <f>IF($B7&gt;Inputs!$G$15,N6,N6+M7)</f>
        <v>-2275858.5851798072</v>
      </c>
      <c r="O7" s="184">
        <f>IF($B7&gt;Inputs!$G$15,"",LOOKUP($B7,'Cash Flow'!$F$2:$AJ$2,'Cash Flow'!$F$68:$AJ$68))</f>
        <v>-0.53676995730200028</v>
      </c>
      <c r="P7" s="185">
        <f>IF($B7&gt;Inputs!$G$15,"",LOOKUP($B7,'Cash Flow'!$F$2:$AJ$2,'Cash Flow'!$F$41:$AJ$41))</f>
        <v>2.6205444956799373</v>
      </c>
      <c r="R7" s="390">
        <f>IF($B7&gt;Inputs!$G$15,"",D7+K7+L7)</f>
        <v>2455247.0898513133</v>
      </c>
      <c r="S7" s="391">
        <f>IF($B7&gt;Inputs!$G$15,"",-(E7+F7+G7))</f>
        <v>491191.43575607857</v>
      </c>
    </row>
    <row r="8" spans="2:19" s="187" customFormat="1" ht="15.75" customHeight="1">
      <c r="B8" s="188">
        <v>2</v>
      </c>
      <c r="C8" s="183">
        <f>IF($B8&gt;Inputs!$G$15,"",IF($B8&lt;=Inputs!$Q$8,LOOKUP($B8,'Cash Flow'!$F$2:$AJ$2,'Cash Flow'!$F$14:$AJ$14),LOOKUP($B8,'Cash Flow'!$F$2:$AJ$2,'Cash Flow'!$F$16:$AJ$16)))</f>
        <v>32.049999999999997</v>
      </c>
      <c r="D8" s="180">
        <f>IF($B8&gt;Inputs!$G$15,"",LOOKUP($B8,'Cash Flow'!$F$2:$AJ$2,'Cash Flow'!$F$23:$AJ$23))</f>
        <v>994738.9754010312</v>
      </c>
      <c r="E8" s="180">
        <f>IF($B8&gt;Inputs!$G$15,"",LOOKUP($B8,'Cash Flow'!$F$2:$AJ$2,'Cash Flow'!$F$35:$AJ$35))</f>
        <v>-121406.4207184659</v>
      </c>
      <c r="F8" s="180">
        <f>IF($B8&gt;Inputs!$G$15,"",LOOKUP($B8,'Cash Flow'!$F$2:$AJ$2,'Cash Flow'!$F$85:$AJ$85))</f>
        <v>-313149.6952238403</v>
      </c>
      <c r="G8" s="180">
        <f>IF($B8&gt;Inputs!$G$15,"",LOOKUP($B8,'Cash Flow'!$F$2:$AJ$2,'Cash Flow'!$F$47:$AJ$47)+LOOKUP($B8,'Cash Flow'!$F$2:$AJ$2,'Cash Flow'!$F$48:$AJ$48))</f>
        <v>-52222.222222222219</v>
      </c>
      <c r="H8" s="180">
        <f>IF($B8&gt;Inputs!$G$15,"",SUM(D8:G8))</f>
        <v>507960.63723650272</v>
      </c>
      <c r="I8" s="180">
        <f>IF($B8&gt;Inputs!$G$15,"",LOOKUP($B8,'Cash Flow'!$F$2:$AJ$2,'Cash Flow'!$F$60:$AJ$60))</f>
        <v>-236248.39464270393</v>
      </c>
      <c r="J8" s="180">
        <f>IF($B8&gt;Inputs!$G$15,"",LOOKUP($B8,'Cash Flow'!$F$2:$AJ$2,'Cash Flow'!$F$61:$AJ$61))</f>
        <v>-236248.39464270393</v>
      </c>
      <c r="K8" s="180">
        <f>IF($B8&gt;Inputs!$G$15,"",LOOKUP($B8,'Cash Flow'!$F$2:$AJ$2,'Cash Flow'!$F$63:$AJ$63)+LOOKUP($B8,'Cash Flow'!$F$2:$AJ$2,'Cash Flow'!$F$65:$AJ$65))</f>
        <v>75658.548384325928</v>
      </c>
      <c r="L8" s="180">
        <f>IF($B8&gt;Inputs!$G$15,"",LOOKUP($B8,'Cash Flow'!$F$2:$AJ$2,'Cash Flow'!$F$64:$AJ$64)+LOOKUP($B8,'Cash Flow'!$F$2:$AJ$2,'Cash Flow'!$F$66:$AJ$66))</f>
        <v>20081.113544629836</v>
      </c>
      <c r="M8" s="180">
        <f>IF($B8&gt;Inputs!$G$15,"",H8+K8+L8)</f>
        <v>603700.29916545853</v>
      </c>
      <c r="N8" s="180">
        <f>IF($B8&gt;Inputs!$G$15,N7,N7+M8)</f>
        <v>-1672158.2860143487</v>
      </c>
      <c r="O8" s="184">
        <f>IF($B8&gt;Inputs!$G$15,"",LOOKUP($B8,'Cash Flow'!$F$2:$AJ$2,'Cash Flow'!$F$68:$AJ$68))</f>
        <v>-0.32563161151860787</v>
      </c>
      <c r="P8" s="185">
        <f>IF($B8&gt;Inputs!$G$15,"",LOOKUP($B8,'Cash Flow'!$F$2:$AJ$2,'Cash Flow'!$F$41:$AJ$41))</f>
        <v>2.6221016497346774</v>
      </c>
      <c r="R8" s="390">
        <f>IF($B8&gt;Inputs!$G$15,"",D8+K8+L8)</f>
        <v>1090478.637329987</v>
      </c>
      <c r="S8" s="391">
        <f>IF($B8&gt;Inputs!$G$15,"",-(E8+F8+G8))</f>
        <v>486778.33816452848</v>
      </c>
    </row>
    <row r="9" spans="2:19">
      <c r="B9" s="182">
        <v>3</v>
      </c>
      <c r="C9" s="183">
        <f>IF($B9&gt;Inputs!$G$15,"",IF($B9&lt;=Inputs!$Q$8,LOOKUP($B9,'Cash Flow'!$F$2:$AJ$2,'Cash Flow'!$F$14:$AJ$14),LOOKUP($B9,'Cash Flow'!$F$2:$AJ$2,'Cash Flow'!$F$16:$AJ$16)))</f>
        <v>32.049999999999997</v>
      </c>
      <c r="D9" s="180">
        <f>IF($B9&gt;Inputs!$G$15,"",LOOKUP($B9,'Cash Flow'!$F$2:$AJ$2,'Cash Flow'!$F$23:$AJ$23))</f>
        <v>990838.34972573142</v>
      </c>
      <c r="E9" s="180">
        <f>IF($B9&gt;Inputs!$G$15,"",LOOKUP($B9,'Cash Flow'!$F$2:$AJ$2,'Cash Flow'!$F$35:$AJ$35))</f>
        <v>-117505.84461487358</v>
      </c>
      <c r="F9" s="180">
        <f>IF($B9&gt;Inputs!$G$15,"",LOOKUP($B9,'Cash Flow'!$F$2:$AJ$2,'Cash Flow'!$F$85:$AJ$85))</f>
        <v>-313149.6952238403</v>
      </c>
      <c r="G9" s="180">
        <f>IF($B9&gt;Inputs!$G$15,"",LOOKUP($B9,'Cash Flow'!$F$2:$AJ$2,'Cash Flow'!$F$47:$AJ$47)+LOOKUP($B9,'Cash Flow'!$F$2:$AJ$2,'Cash Flow'!$F$48:$AJ$48))</f>
        <v>-52222.222222222219</v>
      </c>
      <c r="H9" s="180">
        <f>IF($B9&gt;Inputs!$G$15,"",SUM(D9:G9))</f>
        <v>507960.58766479522</v>
      </c>
      <c r="I9" s="180">
        <f>IF($B9&gt;Inputs!$G$15,"",LOOKUP($B9,'Cash Flow'!$F$2:$AJ$2,'Cash Flow'!$F$60:$AJ$60))</f>
        <v>103638.5179578542</v>
      </c>
      <c r="J9" s="180">
        <f>IF($B9&gt;Inputs!$G$15,"",LOOKUP($B9,'Cash Flow'!$F$2:$AJ$2,'Cash Flow'!$F$61:$AJ$61))</f>
        <v>103638.5179578542</v>
      </c>
      <c r="K9" s="180">
        <f>IF($B9&gt;Inputs!$G$15,"",LOOKUP($B9,'Cash Flow'!$F$2:$AJ$2,'Cash Flow'!$F$63:$AJ$63)+LOOKUP($B9,'Cash Flow'!$F$2:$AJ$2,'Cash Flow'!$F$65:$AJ$65))</f>
        <v>-33190.235376002805</v>
      </c>
      <c r="L9" s="180">
        <f>IF($B9&gt;Inputs!$G$15,"",LOOKUP($B9,'Cash Flow'!$F$2:$AJ$2,'Cash Flow'!$F$64:$AJ$64)+LOOKUP($B9,'Cash Flow'!$F$2:$AJ$2,'Cash Flow'!$F$66:$AJ$66))</f>
        <v>-8809.2740264176082</v>
      </c>
      <c r="M9" s="180">
        <f>IF($B9&gt;Inputs!$G$15,"",H9+K9+L9)</f>
        <v>465961.07826237485</v>
      </c>
      <c r="N9" s="180">
        <f>IF($B9&gt;Inputs!$G$15,N8,N8+M9)</f>
        <v>-1206197.207751974</v>
      </c>
      <c r="O9" s="184">
        <f>IF($B9&gt;Inputs!$G$15,"",LOOKUP($B9,'Cash Flow'!$F$2:$AJ$2,'Cash Flow'!$F$68:$AJ$68))</f>
        <v>-0.19213312094863322</v>
      </c>
      <c r="P9" s="185">
        <f>IF($B9&gt;Inputs!$G$15,"",LOOKUP($B9,'Cash Flow'!$F$2:$AJ$2,'Cash Flow'!$F$41:$AJ$41))</f>
        <v>2.6221014914343237</v>
      </c>
      <c r="R9" s="390">
        <f>IF($B9&gt;Inputs!$G$15,"",D9+K9+L9)</f>
        <v>948838.84032331093</v>
      </c>
      <c r="S9" s="391">
        <f>IF($B9&gt;Inputs!$G$15,"",-(E9+F9+G9))</f>
        <v>482877.76206093607</v>
      </c>
    </row>
    <row r="10" spans="2:19">
      <c r="B10" s="182">
        <v>4</v>
      </c>
      <c r="C10" s="183">
        <f>IF($B10&gt;Inputs!$G$15,"",IF($B10&lt;=Inputs!$Q$8,LOOKUP($B10,'Cash Flow'!$F$2:$AJ$2,'Cash Flow'!$F$14:$AJ$14),LOOKUP($B10,'Cash Flow'!$F$2:$AJ$2,'Cash Flow'!$F$16:$AJ$16)))</f>
        <v>32.049999999999997</v>
      </c>
      <c r="D10" s="180">
        <f>IF($B10&gt;Inputs!$G$15,"",LOOKUP($B10,'Cash Flow'!$F$2:$AJ$2,'Cash Flow'!$F$23:$AJ$23))</f>
        <v>986962.4494010302</v>
      </c>
      <c r="E10" s="180">
        <f>IF($B10&gt;Inputs!$G$15,"",LOOKUP($B10,'Cash Flow'!$F$2:$AJ$2,'Cash Flow'!$F$35:$AJ$35))</f>
        <v>-114067.97468779921</v>
      </c>
      <c r="F10" s="180">
        <f>IF($B10&gt;Inputs!$G$15,"",LOOKUP($B10,'Cash Flow'!$F$2:$AJ$2,'Cash Flow'!$F$85:$AJ$85))</f>
        <v>-313149.69522384024</v>
      </c>
      <c r="G10" s="180">
        <f>IF($B10&gt;Inputs!$G$15,"",LOOKUP($B10,'Cash Flow'!$F$2:$AJ$2,'Cash Flow'!$F$47:$AJ$47)+LOOKUP($B10,'Cash Flow'!$F$2:$AJ$2,'Cash Flow'!$F$48:$AJ$48))</f>
        <v>-52222.222222222219</v>
      </c>
      <c r="H10" s="180">
        <f>IF($B10&gt;Inputs!$G$15,"",SUM(D10:G10))</f>
        <v>507522.55726716854</v>
      </c>
      <c r="I10" s="180">
        <f>IF($B10&gt;Inputs!$G$15,"",LOOKUP($B10,'Cash Flow'!$F$2:$AJ$2,'Cash Flow'!$F$60:$AJ$60))</f>
        <v>311192.21208455163</v>
      </c>
      <c r="J10" s="180">
        <f>IF($B10&gt;Inputs!$G$15,"",LOOKUP($B10,'Cash Flow'!$F$2:$AJ$2,'Cash Flow'!$F$61:$AJ$61))</f>
        <v>311192.21208455163</v>
      </c>
      <c r="K10" s="180">
        <f>IF($B10&gt;Inputs!$G$15,"",LOOKUP($B10,'Cash Flow'!$F$2:$AJ$2,'Cash Flow'!$F$63:$AJ$63)+LOOKUP($B10,'Cash Flow'!$F$2:$AJ$2,'Cash Flow'!$F$65:$AJ$65))</f>
        <v>-99659.305920077662</v>
      </c>
      <c r="L10" s="180">
        <f>IF($B10&gt;Inputs!$G$15,"",LOOKUP($B10,'Cash Flow'!$F$2:$AJ$2,'Cash Flow'!$F$64:$AJ$64)+LOOKUP($B10,'Cash Flow'!$F$2:$AJ$2,'Cash Flow'!$F$66:$AJ$66))</f>
        <v>-26451.338027186892</v>
      </c>
      <c r="M10" s="180">
        <f>IF($B10&gt;Inputs!$G$15,"",H10+K10+L10)</f>
        <v>381411.91331990401</v>
      </c>
      <c r="N10" s="180">
        <f>IF($B10&gt;Inputs!$G$15,N9,N9+M10)</f>
        <v>-824785.29443206999</v>
      </c>
      <c r="O10" s="184">
        <f>IF($B10&gt;Inputs!$G$15,"",LOOKUP($B10,'Cash Flow'!$F$2:$AJ$2,'Cash Flow'!$F$68:$AJ$68))</f>
        <v>-0.11022812382234126</v>
      </c>
      <c r="P10" s="185">
        <f>IF($B10&gt;Inputs!$G$15,"",LOOKUP($B10,'Cash Flow'!$F$2:$AJ$2,'Cash Flow'!$F$41:$AJ$41))</f>
        <v>2.6207027022791447</v>
      </c>
      <c r="R10" s="390">
        <f>IF($B10&gt;Inputs!$G$15,"",D10+K10+L10)</f>
        <v>860851.80545376567</v>
      </c>
      <c r="S10" s="391">
        <f>IF($B10&gt;Inputs!$G$15,"",-(E10+F10+G10))</f>
        <v>479439.89213386166</v>
      </c>
    </row>
    <row r="11" spans="2:19">
      <c r="B11" s="188">
        <v>5</v>
      </c>
      <c r="C11" s="183">
        <f>IF($B11&gt;Inputs!$G$15,"",IF($B11&lt;=Inputs!$Q$8,LOOKUP($B11,'Cash Flow'!$F$2:$AJ$2,'Cash Flow'!$F$14:$AJ$14),LOOKUP($B11,'Cash Flow'!$F$2:$AJ$2,'Cash Flow'!$F$16:$AJ$16)))</f>
        <v>32.049999999999997</v>
      </c>
      <c r="D11" s="180">
        <f>IF($B11&gt;Inputs!$G$15,"",LOOKUP($B11,'Cash Flow'!$F$2:$AJ$2,'Cash Flow'!$F$23:$AJ$23))</f>
        <v>983111.1508001748</v>
      </c>
      <c r="E11" s="180">
        <f>IF($B11&gt;Inputs!$G$15,"",LOOKUP($B11,'Cash Flow'!$F$2:$AJ$2,'Cash Flow'!$F$35:$AJ$35))</f>
        <v>-111047.99865909622</v>
      </c>
      <c r="F11" s="180">
        <f>IF($B11&gt;Inputs!$G$15,"",LOOKUP($B11,'Cash Flow'!$F$2:$AJ$2,'Cash Flow'!$F$85:$AJ$85))</f>
        <v>-313149.6952238403</v>
      </c>
      <c r="G11" s="180">
        <f>IF($B11&gt;Inputs!$G$15,"",LOOKUP($B11,'Cash Flow'!$F$2:$AJ$2,'Cash Flow'!$F$47:$AJ$47)+LOOKUP($B11,'Cash Flow'!$F$2:$AJ$2,'Cash Flow'!$F$48:$AJ$48))</f>
        <v>-52222.222222222219</v>
      </c>
      <c r="H11" s="180">
        <f>IF($B11&gt;Inputs!$G$15,"",SUM(D11:G11))</f>
        <v>506691.23469501606</v>
      </c>
      <c r="I11" s="180">
        <f>IF($B11&gt;Inputs!$G$15,"",LOOKUP($B11,'Cash Flow'!$F$2:$AJ$2,'Cash Flow'!$F$60:$AJ$60))</f>
        <v>320500.37975342624</v>
      </c>
      <c r="J11" s="180">
        <f>IF($B11&gt;Inputs!$G$15,"",LOOKUP($B11,'Cash Flow'!$F$2:$AJ$2,'Cash Flow'!$F$61:$AJ$61))</f>
        <v>320500.37975342624</v>
      </c>
      <c r="K11" s="180">
        <f>IF($B11&gt;Inputs!$G$15,"",LOOKUP($B11,'Cash Flow'!$F$2:$AJ$2,'Cash Flow'!$F$63:$AJ$63)+LOOKUP($B11,'Cash Flow'!$F$2:$AJ$2,'Cash Flow'!$F$65:$AJ$65))</f>
        <v>-102640.24661603474</v>
      </c>
      <c r="L11" s="180">
        <f>IF($B11&gt;Inputs!$G$15,"",LOOKUP($B11,'Cash Flow'!$F$2:$AJ$2,'Cash Flow'!$F$64:$AJ$64)+LOOKUP($B11,'Cash Flow'!$F$2:$AJ$2,'Cash Flow'!$F$66:$AJ$66))</f>
        <v>-27242.532279041232</v>
      </c>
      <c r="M11" s="180">
        <f>IF($B11&gt;Inputs!$G$15,"",H11+K11+L11)</f>
        <v>376808.45579994004</v>
      </c>
      <c r="N11" s="180">
        <f>IF($B11&gt;Inputs!$G$15,N10,N10+M11)</f>
        <v>-447976.83863212995</v>
      </c>
      <c r="O11" s="184">
        <f>IF($B11&gt;Inputs!$G$15,"",LOOKUP($B11,'Cash Flow'!$F$2:$AJ$2,'Cash Flow'!$F$68:$AJ$68))</f>
        <v>-5.0492480297172126E-2</v>
      </c>
      <c r="P11" s="185">
        <f>IF($B11&gt;Inputs!$G$15,"",LOOKUP($B11,'Cash Flow'!$F$2:$AJ$2,'Cash Flow'!$F$41:$AJ$41))</f>
        <v>2.6180479892622337</v>
      </c>
      <c r="R11" s="390">
        <f>IF($B11&gt;Inputs!$G$15,"",D11+K11+L11)</f>
        <v>853228.37190509879</v>
      </c>
      <c r="S11" s="391">
        <f>IF($B11&gt;Inputs!$G$15,"",-(E11+F11+G11))</f>
        <v>476419.91610515874</v>
      </c>
    </row>
    <row r="12" spans="2:19">
      <c r="B12" s="182">
        <v>6</v>
      </c>
      <c r="C12" s="183">
        <f>IF($B12&gt;Inputs!$G$15,"",IF($B12&lt;=Inputs!$Q$8,LOOKUP($B12,'Cash Flow'!$F$2:$AJ$2,'Cash Flow'!$F$14:$AJ$14),LOOKUP($B12,'Cash Flow'!$F$2:$AJ$2,'Cash Flow'!$F$16:$AJ$16)))</f>
        <v>32.049999999999997</v>
      </c>
      <c r="D12" s="180">
        <f>IF($B12&gt;Inputs!$G$15,"",LOOKUP($B12,'Cash Flow'!$F$2:$AJ$2,'Cash Flow'!$F$23:$AJ$23))</f>
        <v>979284.33091454604</v>
      </c>
      <c r="E12" s="180">
        <f>IF($B12&gt;Inputs!$G$15,"",LOOKUP($B12,'Cash Flow'!$F$2:$AJ$2,'Cash Flow'!$F$35:$AJ$35))</f>
        <v>-108405.60733205252</v>
      </c>
      <c r="F12" s="180">
        <f>IF($B12&gt;Inputs!$G$15,"",LOOKUP($B12,'Cash Flow'!$F$2:$AJ$2,'Cash Flow'!$F$85:$AJ$85))</f>
        <v>-313149.6952238403</v>
      </c>
      <c r="G12" s="180">
        <f>IF($B12&gt;Inputs!$G$15,"",LOOKUP($B12,'Cash Flow'!$F$2:$AJ$2,'Cash Flow'!$F$47:$AJ$47)+LOOKUP($B12,'Cash Flow'!$F$2:$AJ$2,'Cash Flow'!$F$48:$AJ$48))</f>
        <v>-52222.222222222219</v>
      </c>
      <c r="H12" s="180">
        <f>IF($B12&gt;Inputs!$G$15,"",SUM(D12:G12))</f>
        <v>505506.80613643094</v>
      </c>
      <c r="I12" s="180">
        <f>IF($B12&gt;Inputs!$G$15,"",LOOKUP($B12,'Cash Flow'!$F$2:$AJ$2,'Cash Flow'!$F$60:$AJ$60))</f>
        <v>478420.09075273998</v>
      </c>
      <c r="J12" s="180">
        <f>IF($B12&gt;Inputs!$G$15,"",LOOKUP($B12,'Cash Flow'!$F$2:$AJ$2,'Cash Flow'!$F$61:$AJ$61))</f>
        <v>478420.09075273998</v>
      </c>
      <c r="K12" s="180">
        <f>IF($B12&gt;Inputs!$G$15,"",LOOKUP($B12,'Cash Flow'!$F$2:$AJ$2,'Cash Flow'!$F$63:$AJ$63)+LOOKUP($B12,'Cash Flow'!$F$2:$AJ$2,'Cash Flow'!$F$65:$AJ$65))</f>
        <v>-153214.03406356496</v>
      </c>
      <c r="L12" s="180">
        <f>IF($B12&gt;Inputs!$G$15,"",LOOKUP($B12,'Cash Flow'!$F$2:$AJ$2,'Cash Flow'!$F$64:$AJ$64)+LOOKUP($B12,'Cash Flow'!$F$2:$AJ$2,'Cash Flow'!$F$66:$AJ$66))</f>
        <v>-40665.707713982898</v>
      </c>
      <c r="M12" s="180">
        <f>IF($B12&gt;Inputs!$G$15,"",H12+K12+L12)</f>
        <v>311627.06435888307</v>
      </c>
      <c r="N12" s="180">
        <f>IF($B12&gt;Inputs!$G$15,N11,N11+M12)</f>
        <v>-136349.77427324688</v>
      </c>
      <c r="O12" s="184">
        <f>IF($B12&gt;Inputs!$G$15,"",LOOKUP($B12,'Cash Flow'!$F$2:$AJ$2,'Cash Flow'!$F$68:$AJ$68))</f>
        <v>-1.3419505214408711E-2</v>
      </c>
      <c r="P12" s="185">
        <f>IF($B12&gt;Inputs!$G$15,"",LOOKUP($B12,'Cash Flow'!$F$2:$AJ$2,'Cash Flow'!$F$41:$AJ$41))</f>
        <v>2.6142656813863199</v>
      </c>
      <c r="R12" s="390">
        <f>IF($B12&gt;Inputs!$G$15,"",D12+K12+L12)</f>
        <v>785404.58913699817</v>
      </c>
      <c r="S12" s="391">
        <f>IF($B12&gt;Inputs!$G$15,"",-(E12+F12+G12))</f>
        <v>473777.5247781151</v>
      </c>
    </row>
    <row r="13" spans="2:19">
      <c r="B13" s="182">
        <v>7</v>
      </c>
      <c r="C13" s="183">
        <f>IF($B13&gt;Inputs!$G$15,"",IF($B13&lt;=Inputs!$Q$8,LOOKUP($B13,'Cash Flow'!$F$2:$AJ$2,'Cash Flow'!$F$14:$AJ$14),LOOKUP($B13,'Cash Flow'!$F$2:$AJ$2,'Cash Flow'!$F$16:$AJ$16)))</f>
        <v>32.049999999999997</v>
      </c>
      <c r="D13" s="180">
        <f>IF($B13&gt;Inputs!$G$15,"",LOOKUP($B13,'Cash Flow'!$F$2:$AJ$2,'Cash Flow'!$F$23:$AJ$23))</f>
        <v>975481.86735056748</v>
      </c>
      <c r="E13" s="180">
        <f>IF($B13&gt;Inputs!$G$15,"",LOOKUP($B13,'Cash Flow'!$F$2:$AJ$2,'Cash Flow'!$F$35:$AJ$35))</f>
        <v>-106104.54464030406</v>
      </c>
      <c r="F13" s="180">
        <f>IF($B13&gt;Inputs!$G$15,"",LOOKUP($B13,'Cash Flow'!$F$2:$AJ$2,'Cash Flow'!$F$85:$AJ$85))</f>
        <v>-313149.6952238403</v>
      </c>
      <c r="G13" s="180">
        <f>IF($B13&gt;Inputs!$G$15,"",LOOKUP($B13,'Cash Flow'!$F$2:$AJ$2,'Cash Flow'!$F$47:$AJ$47)+LOOKUP($B13,'Cash Flow'!$F$2:$AJ$2,'Cash Flow'!$F$48:$AJ$48))</f>
        <v>-52222.222222222219</v>
      </c>
      <c r="H13" s="180">
        <f>IF($B13&gt;Inputs!$G$15,"",SUM(D13:G13))</f>
        <v>504005.40526420088</v>
      </c>
      <c r="I13" s="180">
        <f>IF($B13&gt;Inputs!$G$15,"",LOOKUP($B13,'Cash Flow'!$F$2:$AJ$2,'Cash Flow'!$F$60:$AJ$60))</f>
        <v>635563.40920746152</v>
      </c>
      <c r="J13" s="180">
        <f>IF($B13&gt;Inputs!$G$15,"",LOOKUP($B13,'Cash Flow'!$F$2:$AJ$2,'Cash Flow'!$F$61:$AJ$61))</f>
        <v>635563.40920746152</v>
      </c>
      <c r="K13" s="180">
        <f>IF($B13&gt;Inputs!$G$15,"",LOOKUP($B13,'Cash Flow'!$F$2:$AJ$2,'Cash Flow'!$F$63:$AJ$63)+LOOKUP($B13,'Cash Flow'!$F$2:$AJ$2,'Cash Flow'!$F$65:$AJ$65))</f>
        <v>-203539.18179868953</v>
      </c>
      <c r="L13" s="180">
        <f>IF($B13&gt;Inputs!$G$15,"",LOOKUP($B13,'Cash Flow'!$F$2:$AJ$2,'Cash Flow'!$F$64:$AJ$64)+LOOKUP($B13,'Cash Flow'!$F$2:$AJ$2,'Cash Flow'!$F$66:$AJ$66))</f>
        <v>-54022.889782634236</v>
      </c>
      <c r="M13" s="180">
        <f>IF($B13&gt;Inputs!$G$15,"",H13+K13+L13)</f>
        <v>246443.3336828771</v>
      </c>
      <c r="N13" s="180">
        <f>IF($B13&gt;Inputs!$G$15,N12,N12+M13)</f>
        <v>110093.55940963022</v>
      </c>
      <c r="O13" s="184">
        <f>IF($B13&gt;Inputs!$G$15,"",LOOKUP($B13,'Cash Flow'!$F$2:$AJ$2,'Cash Flow'!$F$68:$AJ$68))</f>
        <v>9.7489946556754692E-3</v>
      </c>
      <c r="P13" s="185">
        <f>IF($B13&gt;Inputs!$G$15,"",LOOKUP($B13,'Cash Flow'!$F$2:$AJ$2,'Cash Flow'!$F$41:$AJ$41))</f>
        <v>2.6094711665101138</v>
      </c>
      <c r="R13" s="390">
        <f>IF($B13&gt;Inputs!$G$15,"",D13+K13+L13)</f>
        <v>717919.79576924373</v>
      </c>
      <c r="S13" s="391">
        <f>IF($B13&gt;Inputs!$G$15,"",-(E13+F13+G13))</f>
        <v>471476.46208636661</v>
      </c>
    </row>
    <row r="14" spans="2:19">
      <c r="B14" s="188">
        <v>8</v>
      </c>
      <c r="C14" s="183">
        <f>IF($B14&gt;Inputs!$G$15,"",IF($B14&lt;=Inputs!$Q$8,LOOKUP($B14,'Cash Flow'!$F$2:$AJ$2,'Cash Flow'!$F$14:$AJ$14),LOOKUP($B14,'Cash Flow'!$F$2:$AJ$2,'Cash Flow'!$F$16:$AJ$16)))</f>
        <v>32.049999999999997</v>
      </c>
      <c r="D14" s="180">
        <f>IF($B14&gt;Inputs!$G$15,"",LOOKUP($B14,'Cash Flow'!$F$2:$AJ$2,'Cash Flow'!$F$23:$AJ$23))</f>
        <v>971703.63832663104</v>
      </c>
      <c r="E14" s="180">
        <f>IF($B14&gt;Inputs!$G$15,"",LOOKUP($B14,'Cash Flow'!$F$2:$AJ$2,'Cash Flow'!$F$35:$AJ$35))</f>
        <v>-104112.20269753295</v>
      </c>
      <c r="F14" s="180">
        <f>IF($B14&gt;Inputs!$G$15,"",LOOKUP($B14,'Cash Flow'!$F$2:$AJ$2,'Cash Flow'!$F$85:$AJ$85))</f>
        <v>-313149.6952238403</v>
      </c>
      <c r="G14" s="180">
        <f>IF($B14&gt;Inputs!$G$15,"",LOOKUP($B14,'Cash Flow'!$F$2:$AJ$2,'Cash Flow'!$F$47:$AJ$47)+LOOKUP($B14,'Cash Flow'!$F$2:$AJ$2,'Cash Flow'!$F$48:$AJ$48))</f>
        <v>-52222.222222222219</v>
      </c>
      <c r="H14" s="180">
        <f>IF($B14&gt;Inputs!$G$15,"",SUM(D14:G14))</f>
        <v>502219.51818303554</v>
      </c>
      <c r="I14" s="180">
        <f>IF($B14&gt;Inputs!$G$15,"",LOOKUP($B14,'Cash Flow'!$F$2:$AJ$2,'Cash Flow'!$F$60:$AJ$60))</f>
        <v>643510.47680613457</v>
      </c>
      <c r="J14" s="180">
        <f>IF($B14&gt;Inputs!$G$15,"",LOOKUP($B14,'Cash Flow'!$F$2:$AJ$2,'Cash Flow'!$F$61:$AJ$61))</f>
        <v>643510.47680613457</v>
      </c>
      <c r="K14" s="180">
        <f>IF($B14&gt;Inputs!$G$15,"",LOOKUP($B14,'Cash Flow'!$F$2:$AJ$2,'Cash Flow'!$F$63:$AJ$63)+LOOKUP($B14,'Cash Flow'!$F$2:$AJ$2,'Cash Flow'!$F$65:$AJ$65))</f>
        <v>-206084.23019716461</v>
      </c>
      <c r="L14" s="180">
        <f>IF($B14&gt;Inputs!$G$15,"",LOOKUP($B14,'Cash Flow'!$F$2:$AJ$2,'Cash Flow'!$F$64:$AJ$64)+LOOKUP($B14,'Cash Flow'!$F$2:$AJ$2,'Cash Flow'!$F$66:$AJ$66))</f>
        <v>-54698.390528521442</v>
      </c>
      <c r="M14" s="180">
        <f>IF($B14&gt;Inputs!$G$15,"",H14+K14+L14)</f>
        <v>241436.89745734952</v>
      </c>
      <c r="N14" s="180">
        <f>IF($B14&gt;Inputs!$G$15,N13,N13+M14)</f>
        <v>351530.45686697972</v>
      </c>
      <c r="O14" s="184">
        <f>IF($B14&gt;Inputs!$G$15,"",LOOKUP($B14,'Cash Flow'!$F$2:$AJ$2,'Cash Flow'!$F$68:$AJ$68))</f>
        <v>2.8112984854075318E-2</v>
      </c>
      <c r="P14" s="185">
        <f>IF($B14&gt;Inputs!$G$15,"",LOOKUP($B14,'Cash Flow'!$F$2:$AJ$2,'Cash Flow'!$F$41:$AJ$41))</f>
        <v>2.603768184490959</v>
      </c>
      <c r="R14" s="390">
        <f>IF($B14&gt;Inputs!$G$15,"",D14+K14+L14)</f>
        <v>710921.01760094496</v>
      </c>
      <c r="S14" s="391">
        <f>IF($B14&gt;Inputs!$G$15,"",-(E14+F14+G14))</f>
        <v>469484.1201435955</v>
      </c>
    </row>
    <row r="15" spans="2:19">
      <c r="B15" s="182">
        <v>9</v>
      </c>
      <c r="C15" s="183">
        <f>IF($B15&gt;Inputs!$G$15,"",IF($B15&lt;=Inputs!$Q$8,LOOKUP($B15,'Cash Flow'!$F$2:$AJ$2,'Cash Flow'!$F$14:$AJ$14),LOOKUP($B15,'Cash Flow'!$F$2:$AJ$2,'Cash Flow'!$F$16:$AJ$16)))</f>
        <v>32.049999999999997</v>
      </c>
      <c r="D15" s="180">
        <f>IF($B15&gt;Inputs!$G$15,"",LOOKUP($B15,'Cash Flow'!$F$2:$AJ$2,'Cash Flow'!$F$23:$AJ$23))</f>
        <v>967949.52267003653</v>
      </c>
      <c r="E15" s="180">
        <f>IF($B15&gt;Inputs!$G$15,"",LOOKUP($B15,'Cash Flow'!$F$2:$AJ$2,'Cash Flow'!$F$35:$AJ$35))</f>
        <v>-102399.25734796256</v>
      </c>
      <c r="F15" s="180">
        <f>IF($B15&gt;Inputs!$G$15,"",LOOKUP($B15,'Cash Flow'!$F$2:$AJ$2,'Cash Flow'!$F$85:$AJ$85))</f>
        <v>-313149.69522384024</v>
      </c>
      <c r="G15" s="180">
        <f>IF($B15&gt;Inputs!$G$15,"",LOOKUP($B15,'Cash Flow'!$F$2:$AJ$2,'Cash Flow'!$F$47:$AJ$47)+LOOKUP($B15,'Cash Flow'!$F$2:$AJ$2,'Cash Flow'!$F$48:$AJ$48))</f>
        <v>-52222.222222222219</v>
      </c>
      <c r="H15" s="180">
        <f>IF($B15&gt;Inputs!$G$15,"",SUM(D15:G15))</f>
        <v>500178.34787601139</v>
      </c>
      <c r="I15" s="180">
        <f>IF($B15&gt;Inputs!$G$15,"",LOOKUP($B15,'Cash Flow'!$F$2:$AJ$2,'Cash Flow'!$F$60:$AJ$60))</f>
        <v>651855.06800653739</v>
      </c>
      <c r="J15" s="180">
        <f>IF($B15&gt;Inputs!$G$15,"",LOOKUP($B15,'Cash Flow'!$F$2:$AJ$2,'Cash Flow'!$F$61:$AJ$61))</f>
        <v>651855.06800653739</v>
      </c>
      <c r="K15" s="180">
        <f>IF($B15&gt;Inputs!$G$15,"",LOOKUP($B15,'Cash Flow'!$F$2:$AJ$2,'Cash Flow'!$F$63:$AJ$63)+LOOKUP($B15,'Cash Flow'!$F$2:$AJ$2,'Cash Flow'!$F$65:$AJ$65))</f>
        <v>-208756.58552909357</v>
      </c>
      <c r="L15" s="180">
        <f>IF($B15&gt;Inputs!$G$15,"",LOOKUP($B15,'Cash Flow'!$F$2:$AJ$2,'Cash Flow'!$F$64:$AJ$64)+LOOKUP($B15,'Cash Flow'!$F$2:$AJ$2,'Cash Flow'!$F$66:$AJ$66))</f>
        <v>-55407.680780555682</v>
      </c>
      <c r="M15" s="180">
        <f>IF($B15&gt;Inputs!$G$15,"",H15+K15+L15)</f>
        <v>236014.08156636215</v>
      </c>
      <c r="N15" s="180">
        <f>IF($B15&gt;Inputs!$G$15,N14,N14+M15)</f>
        <v>587544.53843334189</v>
      </c>
      <c r="O15" s="184">
        <f>IF($B15&gt;Inputs!$G$15,"",LOOKUP($B15,'Cash Flow'!$F$2:$AJ$2,'Cash Flow'!$F$68:$AJ$68))</f>
        <v>4.2664920533315387E-2</v>
      </c>
      <c r="P15" s="185">
        <f>IF($B15&gt;Inputs!$G$15,"",LOOKUP($B15,'Cash Flow'!$F$2:$AJ$2,'Cash Flow'!$F$41:$AJ$41))</f>
        <v>2.5972499909938684</v>
      </c>
      <c r="R15" s="390">
        <f>IF($B15&gt;Inputs!$G$15,"",D15+K15+L15)</f>
        <v>703785.25636038731</v>
      </c>
      <c r="S15" s="391">
        <f>IF($B15&gt;Inputs!$G$15,"",-(E15+F15+G15))</f>
        <v>467771.17479402502</v>
      </c>
    </row>
    <row r="16" spans="2:19">
      <c r="B16" s="182">
        <v>10</v>
      </c>
      <c r="C16" s="183">
        <f>IF($B16&gt;Inputs!$G$15,"",IF($B16&lt;=Inputs!$Q$8,LOOKUP($B16,'Cash Flow'!$F$2:$AJ$2,'Cash Flow'!$F$14:$AJ$14),LOOKUP($B16,'Cash Flow'!$F$2:$AJ$2,'Cash Flow'!$F$16:$AJ$16)))</f>
        <v>32.049999999999997</v>
      </c>
      <c r="D16" s="180">
        <f>IF($B16&gt;Inputs!$G$15,"",LOOKUP($B16,'Cash Flow'!$F$2:$AJ$2,'Cash Flow'!$F$23:$AJ$23))</f>
        <v>958997.17759172479</v>
      </c>
      <c r="E16" s="180">
        <f>IF($B16&gt;Inputs!$G$15,"",LOOKUP($B16,'Cash Flow'!$F$2:$AJ$2,'Cash Flow'!$F$35:$AJ$35))</f>
        <v>-100939.3401676627</v>
      </c>
      <c r="F16" s="180">
        <f>IF($B16&gt;Inputs!$G$15,"",LOOKUP($B16,'Cash Flow'!$F$2:$AJ$2,'Cash Flow'!$F$85:$AJ$85))</f>
        <v>-313149.6952238403</v>
      </c>
      <c r="G16" s="180">
        <f>IF($B16&gt;Inputs!$G$15,"",LOOKUP($B16,'Cash Flow'!$F$2:$AJ$2,'Cash Flow'!$F$47:$AJ$47)+LOOKUP($B16,'Cash Flow'!$F$2:$AJ$2,'Cash Flow'!$F$48:$AJ$48))</f>
        <v>0</v>
      </c>
      <c r="H16" s="180">
        <f>IF($B16&gt;Inputs!$G$15,"",SUM(D16:G16))</f>
        <v>544908.14220022177</v>
      </c>
      <c r="I16" s="180">
        <f>IF($B16&gt;Inputs!$G$15,"",LOOKUP($B16,'Cash Flow'!$F$2:$AJ$2,'Cash Flow'!$F$60:$AJ$60))</f>
        <v>561534.39992147242</v>
      </c>
      <c r="J16" s="180">
        <f>IF($B16&gt;Inputs!$G$15,"",LOOKUP($B16,'Cash Flow'!$F$2:$AJ$2,'Cash Flow'!$F$61:$AJ$61))</f>
        <v>561534.39992147242</v>
      </c>
      <c r="K16" s="180">
        <f>IF($B16&gt;Inputs!$G$15,"",LOOKUP($B16,'Cash Flow'!$F$2:$AJ$2,'Cash Flow'!$F$63:$AJ$63)+LOOKUP($B16,'Cash Flow'!$F$2:$AJ$2,'Cash Flow'!$F$65:$AJ$65))</f>
        <v>-179831.39157485153</v>
      </c>
      <c r="L16" s="180">
        <f>IF($B16&gt;Inputs!$G$15,"",LOOKUP($B16,'Cash Flow'!$F$2:$AJ$2,'Cash Flow'!$F$64:$AJ$64)+LOOKUP($B16,'Cash Flow'!$F$2:$AJ$2,'Cash Flow'!$F$66:$AJ$66))</f>
        <v>-47730.423993325159</v>
      </c>
      <c r="M16" s="180">
        <f>IF($B16&gt;Inputs!$G$15,"",H16+K16+L16)</f>
        <v>317346.32663204509</v>
      </c>
      <c r="N16" s="180">
        <f>IF($B16&gt;Inputs!$G$15,N15,N15+M16)</f>
        <v>904890.86506538698</v>
      </c>
      <c r="O16" s="184">
        <f>IF($B16&gt;Inputs!$G$15,"",LOOKUP($B16,'Cash Flow'!$F$2:$AJ$2,'Cash Flow'!$F$68:$AJ$68))</f>
        <v>5.8204999785730571E-2</v>
      </c>
      <c r="P16" s="185">
        <f>IF($B16&gt;Inputs!$G$15,"",LOOKUP($B16,'Cash Flow'!$F$2:$AJ$2,'Cash Flow'!$F$41:$AJ$41))</f>
        <v>2.7400883683144568</v>
      </c>
      <c r="R16" s="390">
        <f>IF($B16&gt;Inputs!$G$15,"",D16+K16+L16)</f>
        <v>731435.36202354811</v>
      </c>
      <c r="S16" s="391">
        <f>IF($B16&gt;Inputs!$G$15,"",-(E16+F16+G16))</f>
        <v>414089.03539150301</v>
      </c>
    </row>
    <row r="17" spans="2:19">
      <c r="B17" s="188">
        <v>11</v>
      </c>
      <c r="C17" s="183">
        <f>IF($B17&gt;Inputs!$G$15,"",IF($B17&lt;=Inputs!$Q$8,LOOKUP($B17,'Cash Flow'!$F$2:$AJ$2,'Cash Flow'!$F$14:$AJ$14),LOOKUP($B17,'Cash Flow'!$F$2:$AJ$2,'Cash Flow'!$F$16:$AJ$16)))</f>
        <v>32.049999999999997</v>
      </c>
      <c r="D17" s="180">
        <f>IF($B17&gt;Inputs!$G$15,"",LOOKUP($B17,'Cash Flow'!$F$2:$AJ$2,'Cash Flow'!$F$23:$AJ$23))</f>
        <v>950068.70534991589</v>
      </c>
      <c r="E17" s="180">
        <f>IF($B17&gt;Inputs!$G$15,"",LOOKUP($B17,'Cash Flow'!$F$2:$AJ$2,'Cash Flow'!$F$35:$AJ$35))</f>
        <v>-99708.743271677391</v>
      </c>
      <c r="F17" s="180">
        <f>IF($B17&gt;Inputs!$G$15,"",LOOKUP($B17,'Cash Flow'!$F$2:$AJ$2,'Cash Flow'!$F$85:$AJ$85))</f>
        <v>-313149.6952238403</v>
      </c>
      <c r="G17" s="180">
        <f>IF($B17&gt;Inputs!$G$15,"",LOOKUP($B17,'Cash Flow'!$F$2:$AJ$2,'Cash Flow'!$F$47:$AJ$47)+LOOKUP($B17,'Cash Flow'!$F$2:$AJ$2,'Cash Flow'!$F$48:$AJ$48))</f>
        <v>-52222.222222222219</v>
      </c>
      <c r="H17" s="180">
        <f>IF($B17&gt;Inputs!$G$15,"",SUM(D17:G17))</f>
        <v>484988.04463217594</v>
      </c>
      <c r="I17" s="180">
        <f>IF($B17&gt;Inputs!$G$15,"",LOOKUP($B17,'Cash Flow'!$F$2:$AJ$2,'Cash Flow'!$F$60:$AJ$60))</f>
        <v>509331.31257550215</v>
      </c>
      <c r="J17" s="180">
        <f>IF($B17&gt;Inputs!$G$15,"",LOOKUP($B17,'Cash Flow'!$F$2:$AJ$2,'Cash Flow'!$F$61:$AJ$61))</f>
        <v>509331.31257550215</v>
      </c>
      <c r="K17" s="180">
        <f>IF($B17&gt;Inputs!$G$15,"",LOOKUP($B17,'Cash Flow'!$F$2:$AJ$2,'Cash Flow'!$F$63:$AJ$63)+LOOKUP($B17,'Cash Flow'!$F$2:$AJ$2,'Cash Flow'!$F$65:$AJ$65))</f>
        <v>-163113.35285230455</v>
      </c>
      <c r="L17" s="180">
        <f>IF($B17&gt;Inputs!$G$15,"",LOOKUP($B17,'Cash Flow'!$F$2:$AJ$2,'Cash Flow'!$F$64:$AJ$64)+LOOKUP($B17,'Cash Flow'!$F$2:$AJ$2,'Cash Flow'!$F$66:$AJ$66))</f>
        <v>-43293.161568917683</v>
      </c>
      <c r="M17" s="180">
        <f>IF($B17&gt;Inputs!$G$15,"",H17+K17+L17)</f>
        <v>278581.53021095367</v>
      </c>
      <c r="N17" s="180">
        <f>IF($B17&gt;Inputs!$G$15,N16,N16+M17)</f>
        <v>1183472.3952763407</v>
      </c>
      <c r="O17" s="184">
        <f>IF($B17&gt;Inputs!$G$15,"",LOOKUP($B17,'Cash Flow'!$F$2:$AJ$2,'Cash Flow'!$F$68:$AJ$68))</f>
        <v>6.8997019409086091E-2</v>
      </c>
      <c r="P17" s="185">
        <f>IF($B17&gt;Inputs!$G$15,"",LOOKUP($B17,'Cash Flow'!$F$2:$AJ$2,'Cash Flow'!$F$41:$AJ$41))</f>
        <v>2.5487418701956748</v>
      </c>
      <c r="R17" s="390">
        <f>IF($B17&gt;Inputs!$G$15,"",D17+K17+L17)</f>
        <v>743662.19092869363</v>
      </c>
      <c r="S17" s="391">
        <f>IF($B17&gt;Inputs!$G$15,"",-(E17+F17+G17))</f>
        <v>465080.66071773996</v>
      </c>
    </row>
    <row r="18" spans="2:19">
      <c r="B18" s="182">
        <v>12</v>
      </c>
      <c r="C18" s="183">
        <f>IF($B18&gt;Inputs!$G$15,"",IF($B18&lt;=Inputs!$Q$8,LOOKUP($B18,'Cash Flow'!$F$2:$AJ$2,'Cash Flow'!$F$14:$AJ$14),LOOKUP($B18,'Cash Flow'!$F$2:$AJ$2,'Cash Flow'!$F$16:$AJ$16)))</f>
        <v>32.049999999999997</v>
      </c>
      <c r="D18" s="180">
        <f>IF($B18&gt;Inputs!$G$15,"",LOOKUP($B18,'Cash Flow'!$F$2:$AJ$2,'Cash Flow'!$F$23:$AJ$23))</f>
        <v>946386.20880264917</v>
      </c>
      <c r="E18" s="180">
        <f>IF($B18&gt;Inputs!$G$15,"",LOOKUP($B18,'Cash Flow'!$F$2:$AJ$2,'Cash Flow'!$F$35:$AJ$35))</f>
        <v>-98686.153646488645</v>
      </c>
      <c r="F18" s="180">
        <f>IF($B18&gt;Inputs!$G$15,"",LOOKUP($B18,'Cash Flow'!$F$2:$AJ$2,'Cash Flow'!$F$85:$AJ$85))</f>
        <v>-313149.6952238403</v>
      </c>
      <c r="G18" s="180">
        <f>IF($B18&gt;Inputs!$G$15,"",LOOKUP($B18,'Cash Flow'!$F$2:$AJ$2,'Cash Flow'!$F$47:$AJ$47)+LOOKUP($B18,'Cash Flow'!$F$2:$AJ$2,'Cash Flow'!$F$48:$AJ$48))</f>
        <v>-52222.222222222219</v>
      </c>
      <c r="H18" s="180">
        <f>IF($B18&gt;Inputs!$G$15,"",SUM(D18:G18))</f>
        <v>482328.13771009794</v>
      </c>
      <c r="I18" s="180">
        <f>IF($B18&gt;Inputs!$G$15,"",LOOKUP($B18,'Cash Flow'!$F$2:$AJ$2,'Cash Flow'!$F$60:$AJ$60))</f>
        <v>579670.32381326705</v>
      </c>
      <c r="J18" s="180">
        <f>IF($B18&gt;Inputs!$G$15,"",LOOKUP($B18,'Cash Flow'!$F$2:$AJ$2,'Cash Flow'!$F$61:$AJ$61))</f>
        <v>579670.32381326705</v>
      </c>
      <c r="K18" s="180">
        <f>IF($B18&gt;Inputs!$G$15,"",LOOKUP($B18,'Cash Flow'!$F$2:$AJ$2,'Cash Flow'!$F$63:$AJ$63)+LOOKUP($B18,'Cash Flow'!$F$2:$AJ$2,'Cash Flow'!$F$65:$AJ$65))</f>
        <v>-185639.42120119877</v>
      </c>
      <c r="L18" s="180">
        <f>IF($B18&gt;Inputs!$G$15,"",LOOKUP($B18,'Cash Flow'!$F$2:$AJ$2,'Cash Flow'!$F$64:$AJ$64)+LOOKUP($B18,'Cash Flow'!$F$2:$AJ$2,'Cash Flow'!$F$66:$AJ$66))</f>
        <v>-49271.977524127702</v>
      </c>
      <c r="M18" s="180">
        <f>IF($B18&gt;Inputs!$G$15,"",H18+K18+L18)</f>
        <v>247416.73898477148</v>
      </c>
      <c r="N18" s="180">
        <f>IF($B18&gt;Inputs!$G$15,N17,N17+M18)</f>
        <v>1430889.1342611122</v>
      </c>
      <c r="O18" s="184">
        <f>IF($B18&gt;Inputs!$G$15,"",LOOKUP($B18,'Cash Flow'!$F$2:$AJ$2,'Cash Flow'!$F$68:$AJ$68))</f>
        <v>7.6809575686212828E-2</v>
      </c>
      <c r="P18" s="185">
        <f>IF($B18&gt;Inputs!$G$15,"",LOOKUP($B18,'Cash Flow'!$F$2:$AJ$2,'Cash Flow'!$F$41:$AJ$41))</f>
        <v>2.5402478273700009</v>
      </c>
      <c r="R18" s="390">
        <f>IF($B18&gt;Inputs!$G$15,"",D18+K18+L18)</f>
        <v>711474.81007732276</v>
      </c>
      <c r="S18" s="391">
        <f>IF($B18&gt;Inputs!$G$15,"",-(E18+F18+G18))</f>
        <v>464058.07109255122</v>
      </c>
    </row>
    <row r="19" spans="2:19">
      <c r="B19" s="182">
        <v>13</v>
      </c>
      <c r="C19" s="183">
        <f>IF($B19&gt;Inputs!$G$15,"",IF($B19&lt;=Inputs!$Q$8,LOOKUP($B19,'Cash Flow'!$F$2:$AJ$2,'Cash Flow'!$F$14:$AJ$14),LOOKUP($B19,'Cash Flow'!$F$2:$AJ$2,'Cash Flow'!$F$16:$AJ$16)))</f>
        <v>32.049999999999997</v>
      </c>
      <c r="D19" s="180">
        <f>IF($B19&gt;Inputs!$G$15,"",LOOKUP($B19,'Cash Flow'!$F$2:$AJ$2,'Cash Flow'!$F$23:$AJ$23))</f>
        <v>942727.34696034133</v>
      </c>
      <c r="E19" s="180">
        <f>IF($B19&gt;Inputs!$G$15,"",LOOKUP($B19,'Cash Flow'!$F$2:$AJ$2,'Cash Flow'!$F$35:$AJ$35))</f>
        <v>-97852.414055379661</v>
      </c>
      <c r="F19" s="180">
        <f>IF($B19&gt;Inputs!$G$15,"",LOOKUP($B19,'Cash Flow'!$F$2:$AJ$2,'Cash Flow'!$F$85:$AJ$85))</f>
        <v>-313149.6952238403</v>
      </c>
      <c r="G19" s="180">
        <f>IF($B19&gt;Inputs!$G$15,"",LOOKUP($B19,'Cash Flow'!$F$2:$AJ$2,'Cash Flow'!$F$47:$AJ$47)+LOOKUP($B19,'Cash Flow'!$F$2:$AJ$2,'Cash Flow'!$F$48:$AJ$48))</f>
        <v>-52222.222222222219</v>
      </c>
      <c r="H19" s="180">
        <f>IF($B19&gt;Inputs!$G$15,"",SUM(D19:G19))</f>
        <v>479503.01545889908</v>
      </c>
      <c r="I19" s="180">
        <f>IF($B19&gt;Inputs!$G$15,"",LOOKUP($B19,'Cash Flow'!$F$2:$AJ$2,'Cash Flow'!$F$60:$AJ$60))</f>
        <v>626563.67399310018</v>
      </c>
      <c r="J19" s="180">
        <f>IF($B19&gt;Inputs!$G$15,"",LOOKUP($B19,'Cash Flow'!$F$2:$AJ$2,'Cash Flow'!$F$61:$AJ$61))</f>
        <v>626563.67399310018</v>
      </c>
      <c r="K19" s="180">
        <f>IF($B19&gt;Inputs!$G$15,"",LOOKUP($B19,'Cash Flow'!$F$2:$AJ$2,'Cash Flow'!$F$63:$AJ$63)+LOOKUP($B19,'Cash Flow'!$F$2:$AJ$2,'Cash Flow'!$F$65:$AJ$65))</f>
        <v>-200657.01659629031</v>
      </c>
      <c r="L19" s="180">
        <f>IF($B19&gt;Inputs!$G$15,"",LOOKUP($B19,'Cash Flow'!$F$2:$AJ$2,'Cash Flow'!$F$64:$AJ$64)+LOOKUP($B19,'Cash Flow'!$F$2:$AJ$2,'Cash Flow'!$F$66:$AJ$66))</f>
        <v>-53257.912289413522</v>
      </c>
      <c r="M19" s="180">
        <f>IF($B19&gt;Inputs!$G$15,"",H19+K19+L19)</f>
        <v>225588.08657319529</v>
      </c>
      <c r="N19" s="180">
        <f>IF($B19&gt;Inputs!$G$15,N18,N18+M19)</f>
        <v>1656477.2208343074</v>
      </c>
      <c r="O19" s="184">
        <f>IF($B19&gt;Inputs!$G$15,"",LOOKUP($B19,'Cash Flow'!$F$2:$AJ$2,'Cash Flow'!$F$68:$AJ$68))</f>
        <v>8.2728901723537085E-2</v>
      </c>
      <c r="P19" s="185">
        <f>IF($B19&gt;Inputs!$G$15,"",LOOKUP($B19,'Cash Flow'!$F$2:$AJ$2,'Cash Flow'!$F$41:$AJ$41))</f>
        <v>2.5312261923683144</v>
      </c>
      <c r="R19" s="390">
        <f>IF($B19&gt;Inputs!$G$15,"",D19+K19+L19)</f>
        <v>688812.41807463754</v>
      </c>
      <c r="S19" s="391">
        <f>IF($B19&gt;Inputs!$G$15,"",-(E19+F19+G19))</f>
        <v>463224.33150144224</v>
      </c>
    </row>
    <row r="20" spans="2:19">
      <c r="B20" s="188">
        <v>14</v>
      </c>
      <c r="C20" s="183">
        <f>IF($B20&gt;Inputs!$G$15,"",IF($B20&lt;=Inputs!$Q$8,LOOKUP($B20,'Cash Flow'!$F$2:$AJ$2,'Cash Flow'!$F$14:$AJ$14),LOOKUP($B20,'Cash Flow'!$F$2:$AJ$2,'Cash Flow'!$F$16:$AJ$16)))</f>
        <v>32.049999999999997</v>
      </c>
      <c r="D20" s="180">
        <f>IF($B20&gt;Inputs!$G$15,"",LOOKUP($B20,'Cash Flow'!$F$2:$AJ$2,'Cash Flow'!$F$23:$AJ$23))</f>
        <v>939092.00164946716</v>
      </c>
      <c r="E20" s="180">
        <f>IF($B20&gt;Inputs!$G$15,"",LOOKUP($B20,'Cash Flow'!$F$2:$AJ$2,'Cash Flow'!$F$35:$AJ$35))</f>
        <v>-97190.307859505789</v>
      </c>
      <c r="F20" s="180">
        <f>IF($B20&gt;Inputs!$G$15,"",LOOKUP($B20,'Cash Flow'!$F$2:$AJ$2,'Cash Flow'!$F$85:$AJ$85))</f>
        <v>-313149.69522384024</v>
      </c>
      <c r="G20" s="180">
        <f>IF($B20&gt;Inputs!$G$15,"",LOOKUP($B20,'Cash Flow'!$F$2:$AJ$2,'Cash Flow'!$F$47:$AJ$47)+LOOKUP($B20,'Cash Flow'!$F$2:$AJ$2,'Cash Flow'!$F$48:$AJ$48))</f>
        <v>-52222.222222222219</v>
      </c>
      <c r="H20" s="180">
        <f>IF($B20&gt;Inputs!$G$15,"",SUM(D20:G20))</f>
        <v>476529.77634389885</v>
      </c>
      <c r="I20" s="180">
        <f>IF($B20&gt;Inputs!$G$15,"",LOOKUP($B20,'Cash Flow'!$F$2:$AJ$2,'Cash Flow'!$F$60:$AJ$60))</f>
        <v>638225.47537930415</v>
      </c>
      <c r="J20" s="180">
        <f>IF($B20&gt;Inputs!$G$15,"",LOOKUP($B20,'Cash Flow'!$F$2:$AJ$2,'Cash Flow'!$F$61:$AJ$61))</f>
        <v>638225.47537930415</v>
      </c>
      <c r="K20" s="180">
        <f>IF($B20&gt;Inputs!$G$15,"",LOOKUP($B20,'Cash Flow'!$F$2:$AJ$2,'Cash Flow'!$F$63:$AJ$63)+LOOKUP($B20,'Cash Flow'!$F$2:$AJ$2,'Cash Flow'!$F$65:$AJ$65))</f>
        <v>-204391.70849022214</v>
      </c>
      <c r="L20" s="180">
        <f>IF($B20&gt;Inputs!$G$15,"",LOOKUP($B20,'Cash Flow'!$F$2:$AJ$2,'Cash Flow'!$F$64:$AJ$64)+LOOKUP($B20,'Cash Flow'!$F$2:$AJ$2,'Cash Flow'!$F$66:$AJ$66))</f>
        <v>-54249.165407240856</v>
      </c>
      <c r="M20" s="180">
        <f>IF($B20&gt;Inputs!$G$15,"",H20+K20+L20)</f>
        <v>217888.90244643588</v>
      </c>
      <c r="N20" s="180">
        <f>IF($B20&gt;Inputs!$G$15,N19,N19+M20)</f>
        <v>1874366.1232807431</v>
      </c>
      <c r="O20" s="184">
        <f>IF($B20&gt;Inputs!$G$15,"",LOOKUP($B20,'Cash Flow'!$F$2:$AJ$2,'Cash Flow'!$F$68:$AJ$68))</f>
        <v>8.7533120664195385E-2</v>
      </c>
      <c r="P20" s="185">
        <f>IF($B20&gt;Inputs!$G$15,"",LOOKUP($B20,'Cash Flow'!$F$2:$AJ$2,'Cash Flow'!$F$41:$AJ$41))</f>
        <v>2.521731566761622</v>
      </c>
      <c r="R20" s="390">
        <f>IF($B20&gt;Inputs!$G$15,"",D20+K20+L20)</f>
        <v>680451.12775200419</v>
      </c>
      <c r="S20" s="391">
        <f>IF($B20&gt;Inputs!$G$15,"",-(E20+F20+G20))</f>
        <v>462562.22530556831</v>
      </c>
    </row>
    <row r="21" spans="2:19">
      <c r="B21" s="182">
        <v>15</v>
      </c>
      <c r="C21" s="183">
        <f>IF($B21&gt;Inputs!$G$15,"",IF($B21&lt;=Inputs!$Q$8,LOOKUP($B21,'Cash Flow'!$F$2:$AJ$2,'Cash Flow'!$F$14:$AJ$14),LOOKUP($B21,'Cash Flow'!$F$2:$AJ$2,'Cash Flow'!$F$16:$AJ$16)))</f>
        <v>32.049999999999997</v>
      </c>
      <c r="D21" s="180">
        <f>IF($B21&gt;Inputs!$G$15,"",LOOKUP($B21,'Cash Flow'!$F$2:$AJ$2,'Cash Flow'!$F$23:$AJ$23))</f>
        <v>935480.05528736941</v>
      </c>
      <c r="E21" s="180">
        <f>IF($B21&gt;Inputs!$G$15,"",LOOKUP($B21,'Cash Flow'!$F$2:$AJ$2,'Cash Flow'!$F$35:$AJ$35))</f>
        <v>-96684.365363202756</v>
      </c>
      <c r="F21" s="180">
        <f>IF($B21&gt;Inputs!$G$15,"",LOOKUP($B21,'Cash Flow'!$F$2:$AJ$2,'Cash Flow'!$F$85:$AJ$85))</f>
        <v>-313149.69522384024</v>
      </c>
      <c r="G21" s="180">
        <f>IF($B21&gt;Inputs!$G$15,"",LOOKUP($B21,'Cash Flow'!$F$2:$AJ$2,'Cash Flow'!$F$47:$AJ$47)+LOOKUP($B21,'Cash Flow'!$F$2:$AJ$2,'Cash Flow'!$F$48:$AJ$48))</f>
        <v>-52222.222222222219</v>
      </c>
      <c r="H21" s="180">
        <f>IF($B21&gt;Inputs!$G$15,"",SUM(D21:G21))</f>
        <v>473423.7724781041</v>
      </c>
      <c r="I21" s="180">
        <f>IF($B21&gt;Inputs!$G$15,"",LOOKUP($B21,'Cash Flow'!$F$2:$AJ$2,'Cash Flow'!$F$60:$AJ$60))</f>
        <v>677791.9698497979</v>
      </c>
      <c r="J21" s="180">
        <f>IF($B21&gt;Inputs!$G$15,"",LOOKUP($B21,'Cash Flow'!$F$2:$AJ$2,'Cash Flow'!$F$61:$AJ$61))</f>
        <v>677791.9698497979</v>
      </c>
      <c r="K21" s="180">
        <f>IF($B21&gt;Inputs!$G$15,"",LOOKUP($B21,'Cash Flow'!$F$2:$AJ$2,'Cash Flow'!$F$63:$AJ$63)+LOOKUP($B21,'Cash Flow'!$F$2:$AJ$2,'Cash Flow'!$F$65:$AJ$65))</f>
        <v>-217062.87834439776</v>
      </c>
      <c r="L21" s="180">
        <f>IF($B21&gt;Inputs!$G$15,"",LOOKUP($B21,'Cash Flow'!$F$2:$AJ$2,'Cash Flow'!$F$64:$AJ$64)+LOOKUP($B21,'Cash Flow'!$F$2:$AJ$2,'Cash Flow'!$F$66:$AJ$66))</f>
        <v>-57612.317437232829</v>
      </c>
      <c r="M21" s="180">
        <f>IF($B21&gt;Inputs!$G$15,"",H21+K21+L21)</f>
        <v>198748.57669647352</v>
      </c>
      <c r="N21" s="180">
        <f>IF($B21&gt;Inputs!$G$15,N20,N20+M21)</f>
        <v>2073114.6999772168</v>
      </c>
      <c r="O21" s="184">
        <f>IF($B21&gt;Inputs!$G$15,"",LOOKUP($B21,'Cash Flow'!$F$2:$AJ$2,'Cash Flow'!$F$68:$AJ$68))</f>
        <v>9.1248787815040311E-2</v>
      </c>
      <c r="P21" s="185">
        <f>IF($B21&gt;Inputs!$G$15,"",LOOKUP($B21,'Cash Flow'!$F$2:$AJ$2,'Cash Flow'!$F$41:$AJ$41))</f>
        <v>2.5118129753876963</v>
      </c>
      <c r="R21" s="390">
        <f>IF($B21&gt;Inputs!$G$15,"",D21+K21+L21)</f>
        <v>660804.85950573883</v>
      </c>
      <c r="S21" s="391">
        <f>IF($B21&gt;Inputs!$G$15,"",-(E21+F21+G21))</f>
        <v>462056.28280926519</v>
      </c>
    </row>
    <row r="22" spans="2:19">
      <c r="B22" s="182">
        <v>16</v>
      </c>
      <c r="C22" s="183">
        <f>IF($B22&gt;Inputs!$G$15,"",IF($B22&lt;=Inputs!$Q$8,LOOKUP($B22,'Cash Flow'!$F$2:$AJ$2,'Cash Flow'!$F$14:$AJ$14),LOOKUP($B22,'Cash Flow'!$F$2:$AJ$2,'Cash Flow'!$F$16:$AJ$16)))</f>
        <v>32.049999999999997</v>
      </c>
      <c r="D22" s="180">
        <f>IF($B22&gt;Inputs!$G$15,"",LOOKUP($B22,'Cash Flow'!$F$2:$AJ$2,'Cash Flow'!$F$23:$AJ$23))</f>
        <v>931891.39087930461</v>
      </c>
      <c r="E22" s="180">
        <f>IF($B22&gt;Inputs!$G$15,"",LOOKUP($B22,'Cash Flow'!$F$2:$AJ$2,'Cash Flow'!$F$35:$AJ$35))</f>
        <v>-96320.689531210082</v>
      </c>
      <c r="F22" s="180">
        <f>IF($B22&gt;Inputs!$G$15,"",LOOKUP($B22,'Cash Flow'!$F$2:$AJ$2,'Cash Flow'!$F$85:$AJ$85))</f>
        <v>-313149.6952238403</v>
      </c>
      <c r="G22" s="180">
        <f>IF($B22&gt;Inputs!$G$15,"",LOOKUP($B22,'Cash Flow'!$F$2:$AJ$2,'Cash Flow'!$F$47:$AJ$47)+LOOKUP($B22,'Cash Flow'!$F$2:$AJ$2,'Cash Flow'!$F$48:$AJ$48))</f>
        <v>-52222.222222222219</v>
      </c>
      <c r="H22" s="180">
        <f>IF($B22&gt;Inputs!$G$15,"",SUM(D22:G22))</f>
        <v>470198.78390203195</v>
      </c>
      <c r="I22" s="180">
        <f>IF($B22&gt;Inputs!$G$15,"",LOOKUP($B22,'Cash Flow'!$F$2:$AJ$2,'Cash Flow'!$F$60:$AJ$60))</f>
        <v>744280.50949355436</v>
      </c>
      <c r="J22" s="180">
        <f>IF($B22&gt;Inputs!$G$15,"",LOOKUP($B22,'Cash Flow'!$F$2:$AJ$2,'Cash Flow'!$F$61:$AJ$61))</f>
        <v>744280.50949355436</v>
      </c>
      <c r="K22" s="180">
        <f>IF($B22&gt;Inputs!$G$15,"",LOOKUP($B22,'Cash Flow'!$F$2:$AJ$2,'Cash Flow'!$F$63:$AJ$63)+LOOKUP($B22,'Cash Flow'!$F$2:$AJ$2,'Cash Flow'!$F$65:$AJ$65))</f>
        <v>-238355.83316531076</v>
      </c>
      <c r="L22" s="180">
        <f>IF($B22&gt;Inputs!$G$15,"",LOOKUP($B22,'Cash Flow'!$F$2:$AJ$2,'Cash Flow'!$F$64:$AJ$64)+LOOKUP($B22,'Cash Flow'!$F$2:$AJ$2,'Cash Flow'!$F$66:$AJ$66))</f>
        <v>-63263.843306952127</v>
      </c>
      <c r="M22" s="180">
        <f>IF($B22&gt;Inputs!$G$15,"",H22+K22+L22)</f>
        <v>168579.10742976906</v>
      </c>
      <c r="N22" s="180">
        <f>IF($B22&gt;Inputs!$G$15,N21,N21+M22)</f>
        <v>2241693.8074069857</v>
      </c>
      <c r="O22" s="184">
        <f>IF($B22&gt;Inputs!$G$15,"",LOOKUP($B22,'Cash Flow'!$F$2:$AJ$2,'Cash Flow'!$F$68:$AJ$68))</f>
        <v>9.39532079433405E-2</v>
      </c>
      <c r="P22" s="185">
        <f>IF($B22&gt;Inputs!$G$15,"",LOOKUP($B22,'Cash Flow'!$F$2:$AJ$2,'Cash Flow'!$F$41:$AJ$41))</f>
        <v>2.5015144228894508</v>
      </c>
      <c r="R22" s="390">
        <f>IF($B22&gt;Inputs!$G$15,"",D22+K22+L22)</f>
        <v>630271.71440704167</v>
      </c>
      <c r="S22" s="391">
        <f>IF($B22&gt;Inputs!$G$15,"",-(E22+F22+G22))</f>
        <v>461692.60697727266</v>
      </c>
    </row>
    <row r="23" spans="2:19">
      <c r="B23" s="188">
        <v>17</v>
      </c>
      <c r="C23" s="183">
        <f>IF($B23&gt;Inputs!$G$15,"",IF($B23&lt;=Inputs!$Q$8,LOOKUP($B23,'Cash Flow'!$F$2:$AJ$2,'Cash Flow'!$F$14:$AJ$14),LOOKUP($B23,'Cash Flow'!$F$2:$AJ$2,'Cash Flow'!$F$16:$AJ$16)))</f>
        <v>32.049999999999997</v>
      </c>
      <c r="D23" s="180">
        <f>IF($B23&gt;Inputs!$G$15,"",LOOKUP($B23,'Cash Flow'!$F$2:$AJ$2,'Cash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Flow'!$F$2:$AJ$2,'Cash Flow'!$F$47:$AJ$47)+LOOKUP($B23,'Cash Flow'!$F$2:$AJ$2,'Cash Flow'!$F$48:$AJ$48))</f>
        <v>-52222.222222222219</v>
      </c>
      <c r="H23" s="180">
        <f>IF($B23&gt;Inputs!$G$15,"",SUM(D23:G23))</f>
        <v>466867.17542871821</v>
      </c>
      <c r="I23" s="180">
        <f>IF($B23&gt;Inputs!$G$15,"",LOOKUP($B23,'Cash Flow'!$F$2:$AJ$2,'Cash Flow'!$F$60:$AJ$60))</f>
        <v>784732.54121545726</v>
      </c>
      <c r="J23" s="180">
        <f>IF($B23&gt;Inputs!$G$15,"",LOOKUP($B23,'Cash Flow'!$F$2:$AJ$2,'Cash Flow'!$F$61:$AJ$61))</f>
        <v>784732.54121545726</v>
      </c>
      <c r="K23" s="180">
        <f>IF($B23&gt;Inputs!$G$15,"",LOOKUP($B23,'Cash Flow'!$F$2:$AJ$2,'Cash Flow'!$F$63:$AJ$63)+LOOKUP($B23,'Cash Flow'!$F$2:$AJ$2,'Cash Flow'!$F$65:$AJ$65))</f>
        <v>-251310.59632425019</v>
      </c>
      <c r="L23" s="180">
        <f>IF($B23&gt;Inputs!$G$15,"",LOOKUP($B23,'Cash Flow'!$F$2:$AJ$2,'Cash Flow'!$F$64:$AJ$64)+LOOKUP($B23,'Cash Flow'!$F$2:$AJ$2,'Cash Flow'!$F$66:$AJ$66))</f>
        <v>-66702.266003313867</v>
      </c>
      <c r="M23" s="180">
        <f>IF($B23&gt;Inputs!$G$15,"",H23+K23+L23)</f>
        <v>148854.31310115417</v>
      </c>
      <c r="N23" s="180">
        <f>IF($B23&gt;Inputs!$G$15,N22,N22+M23)</f>
        <v>2390548.12050814</v>
      </c>
      <c r="O23" s="184">
        <f>IF($B23&gt;Inputs!$G$15,"",LOOKUP($B23,'Cash Flow'!$F$2:$AJ$2,'Cash Flow'!$F$68:$AJ$68))</f>
        <v>9.6024324130380867E-2</v>
      </c>
      <c r="P23" s="185">
        <f>IF($B23&gt;Inputs!$G$15,"",LOOKUP($B23,'Cash Flow'!$F$2:$AJ$2,'Cash Flow'!$F$41:$AJ$41))</f>
        <v>2.4908753945776643</v>
      </c>
      <c r="R23" s="390">
        <f>IF($B23&gt;Inputs!$G$15,"",D23+K23+L23)</f>
        <v>610313.02968793816</v>
      </c>
      <c r="S23" s="391">
        <f>IF($B23&gt;Inputs!$G$15,"",-(E23+F23+G23))</f>
        <v>461458.71658678388</v>
      </c>
    </row>
    <row r="24" spans="2:19">
      <c r="B24" s="182">
        <v>18</v>
      </c>
      <c r="C24" s="183">
        <f>IF($B24&gt;Inputs!$G$15,"",IF($B24&lt;=Inputs!$Q$8,LOOKUP($B24,'Cash Flow'!$F$2:$AJ$2,'Cash Flow'!$F$14:$AJ$14),LOOKUP($B24,'Cash Flow'!$F$2:$AJ$2,'Cash Flow'!$F$16:$AJ$16)))</f>
        <v>32.049999999999997</v>
      </c>
      <c r="D24" s="180">
        <f>IF($B24&gt;Inputs!$G$15,"",LOOKUP($B24,'Cash Flow'!$F$2:$AJ$2,'Cash Flow'!$F$23:$AJ$23))</f>
        <v>924783.44286824111</v>
      </c>
      <c r="E24" s="180">
        <f>IF($B24&gt;Inputs!$G$15,"",LOOKUP($B24,'Cash Flow'!$F$2:$AJ$2,'Cash Flow'!$F$35:$AJ$35))</f>
        <v>-95971.487624883943</v>
      </c>
      <c r="F24" s="180">
        <f>IF($B24&gt;Inputs!$G$15,"",LOOKUP($B24,'Cash Flow'!$F$2:$AJ$2,'Cash Flow'!$F$85:$AJ$85))</f>
        <v>-313149.6952238403</v>
      </c>
      <c r="G24" s="180">
        <f>IF($B24&gt;Inputs!$G$15,"",LOOKUP($B24,'Cash Flow'!$F$2:$AJ$2,'Cash Flow'!$F$47:$AJ$47)+LOOKUP($B24,'Cash Flow'!$F$2:$AJ$2,'Cash Flow'!$F$48:$AJ$48))</f>
        <v>-52222.222222222219</v>
      </c>
      <c r="H24" s="180">
        <f>IF($B24&gt;Inputs!$G$15,"",SUM(D24:G24))</f>
        <v>463440.03779729467</v>
      </c>
      <c r="I24" s="180">
        <f>IF($B24&gt;Inputs!$G$15,"",LOOKUP($B24,'Cash Flow'!$F$2:$AJ$2,'Cash Flow'!$F$60:$AJ$60))</f>
        <v>800451.59859291557</v>
      </c>
      <c r="J24" s="180">
        <f>IF($B24&gt;Inputs!$G$15,"",LOOKUP($B24,'Cash Flow'!$F$2:$AJ$2,'Cash Flow'!$F$61:$AJ$61))</f>
        <v>800451.59859291557</v>
      </c>
      <c r="K24" s="180">
        <f>IF($B24&gt;Inputs!$G$15,"",LOOKUP($B24,'Cash Flow'!$F$2:$AJ$2,'Cash Flow'!$F$63:$AJ$63)+LOOKUP($B24,'Cash Flow'!$F$2:$AJ$2,'Cash Flow'!$F$65:$AJ$65))</f>
        <v>-256344.62444938117</v>
      </c>
      <c r="L24" s="180">
        <f>IF($B24&gt;Inputs!$G$15,"",LOOKUP($B24,'Cash Flow'!$F$2:$AJ$2,'Cash Flow'!$F$64:$AJ$64)+LOOKUP($B24,'Cash Flow'!$F$2:$AJ$2,'Cash Flow'!$F$66:$AJ$66))</f>
        <v>-68038.385880397822</v>
      </c>
      <c r="M24" s="180">
        <f>IF($B24&gt;Inputs!$G$15,"",H24+K24+L24)</f>
        <v>139057.02746751567</v>
      </c>
      <c r="N24" s="180">
        <f>IF($B24&gt;Inputs!$G$15,N23,N23+M24)</f>
        <v>2529605.1479756557</v>
      </c>
      <c r="O24" s="184">
        <f>IF($B24&gt;Inputs!$G$15,"",LOOKUP($B24,'Cash Flow'!$F$2:$AJ$2,'Cash Flow'!$F$68:$AJ$68))</f>
        <v>9.7713016435764244E-2</v>
      </c>
      <c r="P24" s="185">
        <f>IF($B24&gt;Inputs!$G$15,"",LOOKUP($B24,'Cash Flow'!$F$2:$AJ$2,'Cash Flow'!$F$41:$AJ$41))</f>
        <v>2.4799313071852951</v>
      </c>
      <c r="R24" s="390">
        <f>IF($B24&gt;Inputs!$G$15,"",D24+K24+L24)</f>
        <v>600400.4325384621</v>
      </c>
      <c r="S24" s="391">
        <f>IF($B24&gt;Inputs!$G$15,"",-(E24+F24+G24))</f>
        <v>461343.40507094644</v>
      </c>
    </row>
    <row r="25" spans="2:19" ht="15">
      <c r="B25" s="182">
        <v>19</v>
      </c>
      <c r="C25" s="183">
        <f>IF($B25&gt;Inputs!$G$15,"",IF($B25&lt;=Inputs!$Q$8,LOOKUP($B25,'Cash Flow'!$F$2:$AJ$2,'Cash Flow'!$F$14:$AJ$14),LOOKUP($B25,'Cash Flow'!$F$2:$AJ$2,'Cash Flow'!$F$16:$AJ$16)))</f>
        <v>32.049999999999997</v>
      </c>
      <c r="D25" s="180">
        <f>IF($B25&gt;Inputs!$G$15,"",LOOKUP($B25,'Cash Flow'!$F$2:$AJ$2,'Cash Flow'!$F$23:$AJ$23))</f>
        <v>919698.1797128194</v>
      </c>
      <c r="E25" s="180">
        <f>IF($B25&gt;Inputs!$G$15,"",LOOKUP($B25,'Cash Flow'!$F$2:$AJ$2,'Cash Flow'!$F$35:$AJ$35))</f>
        <v>-95964.696038709313</v>
      </c>
      <c r="F25" s="180">
        <f>IF($B25&gt;Inputs!$G$15,"",LOOKUP($B25,'Cash Flow'!$F$2:$AJ$2,'Cash Flow'!$F$85:$AJ$85))</f>
        <v>0</v>
      </c>
      <c r="G25" s="180">
        <f>IF($B25&gt;Inputs!$G$15,"",LOOKUP($B25,'Cash Flow'!$F$2:$AJ$2,'Cash Flow'!$F$47:$AJ$47)+LOOKUP($B25,'Cash Flow'!$F$2:$AJ$2,'Cash Flow'!$F$48:$AJ$48))</f>
        <v>104352.62538969793</v>
      </c>
      <c r="H25" s="180">
        <f>IF($B25&gt;Inputs!$G$15,"",SUM(D25:G25))</f>
        <v>928086.10906380811</v>
      </c>
      <c r="I25" s="180">
        <f>IF($B25&gt;Inputs!$G$15,"",LOOKUP($B25,'Cash Flow'!$F$2:$AJ$2,'Cash Flow'!$F$60:$AJ$60))</f>
        <v>815859.55568317208</v>
      </c>
      <c r="J25" s="180">
        <f>IF($B25&gt;Inputs!$G$15,"",LOOKUP($B25,'Cash Flow'!$F$2:$AJ$2,'Cash Flow'!$F$61:$AJ$61))</f>
        <v>815859.55568317208</v>
      </c>
      <c r="K25" s="180">
        <f>IF($B25&gt;Inputs!$G$15,"",LOOKUP($B25,'Cash Flow'!$F$2:$AJ$2,'Cash Flow'!$F$63:$AJ$63)+LOOKUP($B25,'Cash Flow'!$F$2:$AJ$2,'Cash Flow'!$F$65:$AJ$65))</f>
        <v>-261279.02270753583</v>
      </c>
      <c r="L25" s="180">
        <f>IF($B25&gt;Inputs!$G$15,"",LOOKUP($B25,'Cash Flow'!$F$2:$AJ$2,'Cash Flow'!$F$64:$AJ$64)+LOOKUP($B25,'Cash Flow'!$F$2:$AJ$2,'Cash Flow'!$F$66:$AJ$66))</f>
        <v>-69348.062233069635</v>
      </c>
      <c r="M25" s="180">
        <f>IF($B25&gt;Inputs!$G$15,"",H25+K25+L25)</f>
        <v>597459.02412320254</v>
      </c>
      <c r="N25" s="180">
        <f>IF($B25&gt;Inputs!$G$15,N24,N24+M25)</f>
        <v>3127064.1720988583</v>
      </c>
      <c r="O25" s="184">
        <f>IF($B25&gt;Inputs!$G$15,"",LOOKUP($B25,'Cash Flow'!$F$2:$AJ$2,'Cash Flow'!$F$68:$AJ$68))</f>
        <v>0.1037002419801436</v>
      </c>
      <c r="P25" s="185" t="str">
        <f>IF($B25&gt;Inputs!$G$15,"",LOOKUP($B25,'Cash Flow'!$F$2:$AJ$2,'Cash Flow'!$F$41:$AJ$41))</f>
        <v>N/A</v>
      </c>
      <c r="R25" s="390">
        <f>IF($B25&gt;Inputs!$G$15,"",D25+K25+L25)</f>
        <v>589071.09477221384</v>
      </c>
      <c r="S25" s="391">
        <f>IF($B25&gt;Inputs!$G$15,"",-(E25+F25+G25))</f>
        <v>-8387.9293509886193</v>
      </c>
    </row>
    <row r="26" spans="2:19" ht="15">
      <c r="B26" s="188">
        <v>20</v>
      </c>
      <c r="C26" s="183">
        <f>IF($B26&gt;Inputs!$G$15,"",IF($B26&lt;=Inputs!$Q$8,LOOKUP($B26,'Cash Flow'!$F$2:$AJ$2,'Cash Flow'!$F$14:$AJ$14),LOOKUP($B26,'Cash Flow'!$F$2:$AJ$2,'Cash Flow'!$F$16:$AJ$16)))</f>
        <v>32.049999999999997</v>
      </c>
      <c r="D26" s="180">
        <f>IF($B26&gt;Inputs!$G$15,"",LOOKUP($B26,'Cash Flow'!$F$2:$AJ$2,'Cash Flow'!$F$23:$AJ$23))</f>
        <v>909413.51413079409</v>
      </c>
      <c r="E26" s="180">
        <f>IF($B26&gt;Inputs!$G$15,"",LOOKUP($B26,'Cash Flow'!$F$2:$AJ$2,'Cash Flow'!$F$35:$AJ$35))</f>
        <v>-96057.398735261915</v>
      </c>
      <c r="F26" s="180">
        <f>IF($B26&gt;Inputs!$G$15,"",LOOKUP($B26,'Cash Flow'!$F$2:$AJ$2,'Cash Flow'!$F$85:$AJ$85))</f>
        <v>0</v>
      </c>
      <c r="G26" s="180">
        <f>IF($B26&gt;Inputs!$G$15,"",LOOKUP($B26,'Cash Flow'!$F$2:$AJ$2,'Cash Flow'!$F$47:$AJ$47)+LOOKUP($B26,'Cash Flow'!$F$2:$AJ$2,'Cash Flow'!$F$48:$AJ$48))</f>
        <v>0</v>
      </c>
      <c r="H26" s="180">
        <f>IF($B26&gt;Inputs!$G$15,"",SUM(D26:G26))</f>
        <v>813356.11539553222</v>
      </c>
      <c r="I26" s="180">
        <f>IF($B26&gt;Inputs!$G$15,"",LOOKUP($B26,'Cash Flow'!$F$2:$AJ$2,'Cash Flow'!$F$60:$AJ$60))</f>
        <v>711482.18740459415</v>
      </c>
      <c r="J26" s="180">
        <f>IF($B26&gt;Inputs!$G$15,"",LOOKUP($B26,'Cash Flow'!$F$2:$AJ$2,'Cash Flow'!$F$61:$AJ$61))</f>
        <v>711482.18740459415</v>
      </c>
      <c r="K26" s="180">
        <f>IF($B26&gt;Inputs!$G$15,"",LOOKUP($B26,'Cash Flow'!$F$2:$AJ$2,'Cash Flow'!$F$63:$AJ$63)+LOOKUP($B26,'Cash Flow'!$F$2:$AJ$2,'Cash Flow'!$F$65:$AJ$65))</f>
        <v>-227852.17051632126</v>
      </c>
      <c r="L26" s="180">
        <f>IF($B26&gt;Inputs!$G$15,"",LOOKUP($B26,'Cash Flow'!$F$2:$AJ$2,'Cash Flow'!$F$64:$AJ$64)+LOOKUP($B26,'Cash Flow'!$F$2:$AJ$2,'Cash Flow'!$F$66:$AJ$66))</f>
        <v>-60475.98592939051</v>
      </c>
      <c r="M26" s="180">
        <f>IF($B26&gt;Inputs!$G$15,"",H26+K26+L26)</f>
        <v>525027.95894982049</v>
      </c>
      <c r="N26" s="180">
        <f>IF($B26&gt;Inputs!$G$15,N25,N25+M26)</f>
        <v>3652092.1310486789</v>
      </c>
      <c r="O26" s="184">
        <f>IF($B26&gt;Inputs!$G$15,"",LOOKUP($B26,'Cash Flow'!$F$2:$AJ$2,'Cash Flow'!$F$68:$AJ$68))</f>
        <v>0.10787827640240422</v>
      </c>
      <c r="P26" s="185" t="str">
        <f>IF($B26&gt;Inputs!$G$15,"",LOOKUP($B26,'Cash Flow'!$F$2:$AJ$2,'Cash Flow'!$F$41:$AJ$41))</f>
        <v>N/A</v>
      </c>
      <c r="R26" s="390">
        <f>IF($B26&gt;Inputs!$G$15,"",D26+K26+L26)</f>
        <v>621085.35768508224</v>
      </c>
      <c r="S26" s="391">
        <f>IF($B26&gt;Inputs!$G$15,"",-(E26+F26+G26))</f>
        <v>96057.398735261915</v>
      </c>
    </row>
    <row r="27" spans="2:19" ht="15">
      <c r="B27" s="182">
        <v>21</v>
      </c>
      <c r="C27" s="183">
        <f>IF($B27&gt;Inputs!$G$15,"",IF($B27&lt;=Inputs!$Q$8,LOOKUP($B27,'Cash Flow'!$F$2:$AJ$2,'Cash Flow'!$F$14:$AJ$14),LOOKUP($B27,'Cash Flow'!$F$2:$AJ$2,'Cash Flow'!$F$16:$AJ$16)))</f>
        <v>32.049999999999997</v>
      </c>
      <c r="D27" s="180">
        <f>IF($B27&gt;Inputs!$G$15,"",LOOKUP($B27,'Cash Flow'!$F$2:$AJ$2,'Cash Flow'!$F$23:$AJ$23))</f>
        <v>900195.08049930644</v>
      </c>
      <c r="E27" s="180">
        <f>IF($B27&gt;Inputs!$G$15,"",LOOKUP($B27,'Cash Flow'!$F$2:$AJ$2,'Cash Flow'!$F$35:$AJ$35))</f>
        <v>-96241.500481208321</v>
      </c>
      <c r="F27" s="180">
        <f>IF($B27&gt;Inputs!$G$15,"",LOOKUP($B27,'Cash Flow'!$F$2:$AJ$2,'Cash Flow'!$F$85:$AJ$85))</f>
        <v>0</v>
      </c>
      <c r="G27" s="180">
        <f>IF($B27&gt;Inputs!$G$15,"",LOOKUP($B27,'Cash Flow'!$F$2:$AJ$2,'Cash Flow'!$F$47:$AJ$47)+LOOKUP($B27,'Cash Flow'!$F$2:$AJ$2,'Cash Flow'!$F$48:$AJ$48))</f>
        <v>0</v>
      </c>
      <c r="H27" s="180">
        <f>IF($B27&gt;Inputs!$G$15,"",SUM(D27:G27))</f>
        <v>803953.58001809812</v>
      </c>
      <c r="I27" s="180">
        <f>IF($B27&gt;Inputs!$G$15,"",LOOKUP($B27,'Cash Flow'!$F$2:$AJ$2,'Cash Flow'!$F$60:$AJ$60))</f>
        <v>649616.61602262908</v>
      </c>
      <c r="J27" s="180">
        <f>IF($B27&gt;Inputs!$G$15,"",LOOKUP($B27,'Cash Flow'!$F$2:$AJ$2,'Cash Flow'!$F$61:$AJ$61))</f>
        <v>649616.61602262908</v>
      </c>
      <c r="K27" s="180">
        <f>IF($B27&gt;Inputs!$G$15,"",LOOKUP($B27,'Cash Flow'!$F$2:$AJ$2,'Cash Flow'!$F$63:$AJ$63)+LOOKUP($B27,'Cash Flow'!$F$2:$AJ$2,'Cash Flow'!$F$65:$AJ$65))</f>
        <v>-208039.72128124695</v>
      </c>
      <c r="L27" s="180">
        <f>IF($B27&gt;Inputs!$G$15,"",LOOKUP($B27,'Cash Flow'!$F$2:$AJ$2,'Cash Flow'!$F$64:$AJ$64)+LOOKUP($B27,'Cash Flow'!$F$2:$AJ$2,'Cash Flow'!$F$66:$AJ$66))</f>
        <v>-55217.412361923474</v>
      </c>
      <c r="M27" s="180">
        <f>IF($B27&gt;Inputs!$G$15,"",H27+K27+L27)</f>
        <v>540696.44637492765</v>
      </c>
      <c r="N27" s="180">
        <f>IF($B27&gt;Inputs!$G$15,N26,N26+M27)</f>
        <v>4192788.5774236065</v>
      </c>
      <c r="O27" s="184">
        <f>IF($B27&gt;Inputs!$G$15,"",LOOKUP($B27,'Cash Flow'!$F$2:$AJ$2,'Cash Flow'!$F$68:$AJ$68))</f>
        <v>0.11137770858014084</v>
      </c>
      <c r="P27" s="185" t="str">
        <f>IF($B27&gt;Inputs!$G$15,"",LOOKUP($B27,'Cash Flow'!$F$2:$AJ$2,'Cash Flow'!$F$41:$AJ$41))</f>
        <v>N/A</v>
      </c>
      <c r="R27" s="390">
        <f>IF($B27&gt;Inputs!$G$15,"",D27+K27+L27)</f>
        <v>636937.94685613597</v>
      </c>
      <c r="S27" s="391">
        <f>IF($B27&gt;Inputs!$G$15,"",-(E27+F27+G27))</f>
        <v>96241.500481208321</v>
      </c>
    </row>
    <row r="28" spans="2:19" ht="15">
      <c r="B28" s="182">
        <v>22</v>
      </c>
      <c r="C28" s="183">
        <f>IF($B28&gt;Inputs!$G$15,"",IF($B28&lt;=Inputs!$Q$8,LOOKUP($B28,'Cash Flow'!$F$2:$AJ$2,'Cash Flow'!$F$14:$AJ$14),LOOKUP($B28,'Cash Flow'!$F$2:$AJ$2,'Cash Flow'!$F$16:$AJ$16)))</f>
        <v>32.049999999999997</v>
      </c>
      <c r="D28" s="180">
        <f>IF($B28&gt;Inputs!$G$15,"",LOOKUP($B28,'Cash Flow'!$F$2:$AJ$2,'Cash Flow'!$F$23:$AJ$23))</f>
        <v>895699.23903597612</v>
      </c>
      <c r="E28" s="180">
        <f>IF($B28&gt;Inputs!$G$15,"",LOOKUP($B28,'Cash Flow'!$F$2:$AJ$2,'Cash Flow'!$F$35:$AJ$35))</f>
        <v>-96509.74386790274</v>
      </c>
      <c r="F28" s="180">
        <f>IF($B28&gt;Inputs!$G$15,"",LOOKUP($B28,'Cash Flow'!$F$2:$AJ$2,'Cash Flow'!$F$85:$AJ$85))</f>
        <v>0</v>
      </c>
      <c r="G28" s="180">
        <f>IF($B28&gt;Inputs!$G$15,"",LOOKUP($B28,'Cash Flow'!$F$2:$AJ$2,'Cash Flow'!$F$47:$AJ$47)+LOOKUP($B28,'Cash Flow'!$F$2:$AJ$2,'Cash Flow'!$F$48:$AJ$48))</f>
        <v>0</v>
      </c>
      <c r="H28" s="180">
        <f>IF($B28&gt;Inputs!$G$15,"",SUM(D28:G28))</f>
        <v>799189.49516807334</v>
      </c>
      <c r="I28" s="180">
        <f>IF($B28&gt;Inputs!$G$15,"",LOOKUP($B28,'Cash Flow'!$F$2:$AJ$2,'Cash Flow'!$F$60:$AJ$60))</f>
        <v>708949.49516807334</v>
      </c>
      <c r="J28" s="180">
        <f>IF($B28&gt;Inputs!$G$15,"",LOOKUP($B28,'Cash Flow'!$F$2:$AJ$2,'Cash Flow'!$F$61:$AJ$61))</f>
        <v>708949.49516807334</v>
      </c>
      <c r="K28" s="180">
        <f>IF($B28&gt;Inputs!$G$15,"",LOOKUP($B28,'Cash Flow'!$F$2:$AJ$2,'Cash Flow'!$F$63:$AJ$63)+LOOKUP($B28,'Cash Flow'!$F$2:$AJ$2,'Cash Flow'!$F$65:$AJ$65))</f>
        <v>-227041.07582757546</v>
      </c>
      <c r="L28" s="180">
        <f>IF($B28&gt;Inputs!$G$15,"",LOOKUP($B28,'Cash Flow'!$F$2:$AJ$2,'Cash Flow'!$F$64:$AJ$64)+LOOKUP($B28,'Cash Flow'!$F$2:$AJ$2,'Cash Flow'!$F$66:$AJ$66))</f>
        <v>-60260.707089286239</v>
      </c>
      <c r="M28" s="180">
        <f>IF($B28&gt;Inputs!$G$15,"",H28+K28+L28)</f>
        <v>511887.71225121157</v>
      </c>
      <c r="N28" s="180">
        <f>IF($B28&gt;Inputs!$G$15,N27,N27+M28)</f>
        <v>4704676.2896748185</v>
      </c>
      <c r="O28" s="184">
        <f>IF($B28&gt;Inputs!$G$15,"",LOOKUP($B28,'Cash Flow'!$F$2:$AJ$2,'Cash Flow'!$F$68:$AJ$68))</f>
        <v>0.11410723684212609</v>
      </c>
      <c r="P28" s="185" t="str">
        <f>IF($B28&gt;Inputs!$G$15,"",LOOKUP($B28,'Cash Flow'!$F$2:$AJ$2,'Cash Flow'!$F$41:$AJ$41))</f>
        <v>N/A</v>
      </c>
      <c r="R28" s="390">
        <f>IF($B28&gt;Inputs!$G$15,"",D28+K28+L28)</f>
        <v>608397.4561191143</v>
      </c>
      <c r="S28" s="391">
        <f>IF($B28&gt;Inputs!$G$15,"",-(E28+F28+G28))</f>
        <v>96509.74386790274</v>
      </c>
    </row>
    <row r="29" spans="2:19" ht="15">
      <c r="B29" s="188">
        <v>23</v>
      </c>
      <c r="C29" s="183">
        <f>IF($B29&gt;Inputs!$G$15,"",IF($B29&lt;=Inputs!$Q$8,LOOKUP($B29,'Cash Flow'!$F$2:$AJ$2,'Cash Flow'!$F$14:$AJ$14),LOOKUP($B29,'Cash Flow'!$F$2:$AJ$2,'Cash Flow'!$F$16:$AJ$16)))</f>
        <v>32.049999999999997</v>
      </c>
      <c r="D29" s="180">
        <f>IF($B29&gt;Inputs!$G$15,"",LOOKUP($B29,'Cash Flow'!$F$2:$AJ$2,'Cash Flow'!$F$23:$AJ$23))</f>
        <v>891225.87677996256</v>
      </c>
      <c r="E29" s="180">
        <f>IF($B29&gt;Inputs!$G$15,"",LOOKUP($B29,'Cash Flow'!$F$2:$AJ$2,'Cash Flow'!$F$35:$AJ$35))</f>
        <v>-96855.625988568703</v>
      </c>
      <c r="F29" s="180">
        <f>IF($B29&gt;Inputs!$G$15,"",LOOKUP($B29,'Cash Flow'!$F$2:$AJ$2,'Cash Flow'!$F$85:$AJ$85))</f>
        <v>0</v>
      </c>
      <c r="G29" s="180">
        <f>IF($B29&gt;Inputs!$G$15,"",LOOKUP($B29,'Cash Flow'!$F$2:$AJ$2,'Cash Flow'!$F$47:$AJ$47)+LOOKUP($B29,'Cash Flow'!$F$2:$AJ$2,'Cash Flow'!$F$48:$AJ$48))</f>
        <v>0</v>
      </c>
      <c r="H29" s="180">
        <f>IF($B29&gt;Inputs!$G$15,"",SUM(D29:G29))</f>
        <v>794370.25079139392</v>
      </c>
      <c r="I29" s="180">
        <f>IF($B29&gt;Inputs!$G$15,"",LOOKUP($B29,'Cash Flow'!$F$2:$AJ$2,'Cash Flow'!$F$60:$AJ$60))</f>
        <v>740226.25079139392</v>
      </c>
      <c r="J29" s="180">
        <f>IF($B29&gt;Inputs!$G$15,"",LOOKUP($B29,'Cash Flow'!$F$2:$AJ$2,'Cash Flow'!$F$61:$AJ$61))</f>
        <v>740226.25079139392</v>
      </c>
      <c r="K29" s="180">
        <f>IF($B29&gt;Inputs!$G$15,"",LOOKUP($B29,'Cash Flow'!$F$2:$AJ$2,'Cash Flow'!$F$63:$AJ$63)+LOOKUP($B29,'Cash Flow'!$F$2:$AJ$2,'Cash Flow'!$F$65:$AJ$65))</f>
        <v>-237057.45681594391</v>
      </c>
      <c r="L29" s="180">
        <f>IF($B29&gt;Inputs!$G$15,"",LOOKUP($B29,'Cash Flow'!$F$2:$AJ$2,'Cash Flow'!$F$64:$AJ$64)+LOOKUP($B29,'Cash Flow'!$F$2:$AJ$2,'Cash Flow'!$F$66:$AJ$66))</f>
        <v>-62919.231317268488</v>
      </c>
      <c r="M29" s="180">
        <f>IF($B29&gt;Inputs!$G$15,"",H29+K29+L29)</f>
        <v>494393.56265818147</v>
      </c>
      <c r="N29" s="180">
        <f>IF($B29&gt;Inputs!$G$15,N28,N28+M29)</f>
        <v>5199069.8523329999</v>
      </c>
      <c r="O29" s="184">
        <f>IF($B29&gt;Inputs!$G$15,"",LOOKUP($B29,'Cash Flow'!$F$2:$AJ$2,'Cash Flow'!$F$68:$AJ$68))</f>
        <v>0.1163070711359695</v>
      </c>
      <c r="P29" s="185" t="str">
        <f>IF($B29&gt;Inputs!$G$15,"",LOOKUP($B29,'Cash Flow'!$F$2:$AJ$2,'Cash Flow'!$F$41:$AJ$41))</f>
        <v>N/A</v>
      </c>
      <c r="R29" s="390">
        <f>IF($B29&gt;Inputs!$G$15,"",D29+K29+L29)</f>
        <v>591249.18864675018</v>
      </c>
      <c r="S29" s="391">
        <f>IF($B29&gt;Inputs!$G$15,"",-(E29+F29+G29))</f>
        <v>96855.625988568703</v>
      </c>
    </row>
    <row r="30" spans="2:19" ht="15">
      <c r="B30" s="182">
        <v>24</v>
      </c>
      <c r="C30" s="183">
        <f>IF($B30&gt;Inputs!$G$15,"",IF($B30&lt;=Inputs!$Q$8,LOOKUP($B30,'Cash Flow'!$F$2:$AJ$2,'Cash Flow'!$F$14:$AJ$14),LOOKUP($B30,'Cash Flow'!$F$2:$AJ$2,'Cash Flow'!$F$16:$AJ$16)))</f>
        <v>32.049999999999997</v>
      </c>
      <c r="D30" s="180">
        <f>IF($B30&gt;Inputs!$G$15,"",LOOKUP($B30,'Cash Flow'!$F$2:$AJ$2,'Cash Flow'!$F$23:$AJ$23))</f>
        <v>886774.88133522903</v>
      </c>
      <c r="E30" s="180">
        <f>IF($B30&gt;Inputs!$G$15,"",LOOKUP($B30,'Cash Flow'!$F$2:$AJ$2,'Cash Flow'!$F$35:$AJ$35))</f>
        <v>-97273.323455082893</v>
      </c>
      <c r="F30" s="180">
        <f>IF($B30&gt;Inputs!$G$15,"",LOOKUP($B30,'Cash Flow'!$F$2:$AJ$2,'Cash Flow'!$F$85:$AJ$85))</f>
        <v>0</v>
      </c>
      <c r="G30" s="180">
        <f>IF($B30&gt;Inputs!$G$15,"",LOOKUP($B30,'Cash Flow'!$F$2:$AJ$2,'Cash Flow'!$F$47:$AJ$47)+LOOKUP($B30,'Cash Flow'!$F$2:$AJ$2,'Cash Flow'!$F$48:$AJ$48))</f>
        <v>0</v>
      </c>
      <c r="H30" s="180">
        <f>IF($B30&gt;Inputs!$G$15,"",SUM(D30:G30))</f>
        <v>789501.5578801462</v>
      </c>
      <c r="I30" s="180">
        <f>IF($B30&gt;Inputs!$G$15,"",LOOKUP($B30,'Cash Flow'!$F$2:$AJ$2,'Cash Flow'!$F$60:$AJ$60))</f>
        <v>735357.5578801462</v>
      </c>
      <c r="J30" s="180">
        <f>IF($B30&gt;Inputs!$G$15,"",LOOKUP($B30,'Cash Flow'!$F$2:$AJ$2,'Cash Flow'!$F$61:$AJ$61))</f>
        <v>735357.5578801462</v>
      </c>
      <c r="K30" s="180">
        <f>IF($B30&gt;Inputs!$G$15,"",LOOKUP($B30,'Cash Flow'!$F$2:$AJ$2,'Cash Flow'!$F$63:$AJ$63)+LOOKUP($B30,'Cash Flow'!$F$2:$AJ$2,'Cash Flow'!$F$65:$AJ$65))</f>
        <v>-235498.25791111682</v>
      </c>
      <c r="L30" s="180">
        <f>IF($B30&gt;Inputs!$G$15,"",LOOKUP($B30,'Cash Flow'!$F$2:$AJ$2,'Cash Flow'!$F$64:$AJ$64)+LOOKUP($B30,'Cash Flow'!$F$2:$AJ$2,'Cash Flow'!$F$66:$AJ$66))</f>
        <v>-62505.39241981243</v>
      </c>
      <c r="M30" s="180">
        <f>IF($B30&gt;Inputs!$G$15,"",H30+K30+L30)</f>
        <v>491497.90754921694</v>
      </c>
      <c r="N30" s="180">
        <f>IF($B30&gt;Inputs!$G$15,N29,N29+M30)</f>
        <v>5690567.7598822173</v>
      </c>
      <c r="O30" s="184">
        <f>IF($B30&gt;Inputs!$G$15,"",LOOKUP($B30,'Cash Flow'!$F$2:$AJ$2,'Cash Flow'!$F$68:$AJ$68))</f>
        <v>0.11814745558080841</v>
      </c>
      <c r="P30" s="185" t="str">
        <f>IF($B30&gt;Inputs!$G$15,"",LOOKUP($B30,'Cash Flow'!$F$2:$AJ$2,'Cash Flow'!$F$41:$AJ$41))</f>
        <v>N/A</v>
      </c>
      <c r="R30" s="390">
        <f>IF($B30&gt;Inputs!$G$15,"",D30+K30+L30)</f>
        <v>588771.23100429983</v>
      </c>
      <c r="S30" s="391">
        <f>IF($B30&gt;Inputs!$G$15,"",-(E30+F30+G30))</f>
        <v>97273.323455082893</v>
      </c>
    </row>
    <row r="31" spans="2:19" ht="15">
      <c r="B31" s="182">
        <v>25</v>
      </c>
      <c r="C31" s="183">
        <f>IF($B31&gt;Inputs!$G$15,"",IF($B31&lt;=Inputs!$Q$8,LOOKUP($B31,'Cash Flow'!$F$2:$AJ$2,'Cash Flow'!$F$14:$AJ$14),LOOKUP($B31,'Cash Flow'!$F$2:$AJ$2,'Cash Flow'!$F$16:$AJ$16)))</f>
        <v>32.049999999999997</v>
      </c>
      <c r="D31" s="180">
        <f>IF($B31&gt;Inputs!$G$15,"",LOOKUP($B31,'Cash Flow'!$F$2:$AJ$2,'Cash Flow'!$F$23:$AJ$23))</f>
        <v>881832.74695108808</v>
      </c>
      <c r="E31" s="180">
        <f>IF($B31&gt;Inputs!$G$15,"",LOOKUP($B31,'Cash Flow'!$F$2:$AJ$2,'Cash Flow'!$F$35:$AJ$35))</f>
        <v>-97757.624920518152</v>
      </c>
      <c r="F31" s="180">
        <f>IF($B31&gt;Inputs!$G$15,"",LOOKUP($B31,'Cash Flow'!$F$2:$AJ$2,'Cash Flow'!$F$85:$AJ$85))</f>
        <v>0</v>
      </c>
      <c r="G31" s="180">
        <f>IF($B31&gt;Inputs!$G$15,"",LOOKUP($B31,'Cash Flow'!$F$2:$AJ$2,'Cash Flow'!$F$47:$AJ$47)+LOOKUP($B31,'Cash Flow'!$F$2:$AJ$2,'Cash Flow'!$F$48:$AJ$48))</f>
        <v>51339.391663121729</v>
      </c>
      <c r="H31" s="180">
        <f>IF($B31&gt;Inputs!$G$15,"",SUM(D31:G31))</f>
        <v>835414.5136936917</v>
      </c>
      <c r="I31" s="180">
        <f>IF($B31&gt;Inputs!$G$15,"",LOOKUP($B31,'Cash Flow'!$F$2:$AJ$2,'Cash Flow'!$F$60:$AJ$60))</f>
        <v>757003.12203056994</v>
      </c>
      <c r="J31" s="180">
        <f>IF($B31&gt;Inputs!$G$15,"",LOOKUP($B31,'Cash Flow'!$F$2:$AJ$2,'Cash Flow'!$F$61:$AJ$61))</f>
        <v>757003.12203056994</v>
      </c>
      <c r="K31" s="180">
        <f>IF($B31&gt;Inputs!$G$15,"",LOOKUP($B31,'Cash Flow'!$F$2:$AJ$2,'Cash Flow'!$F$63:$AJ$63)+LOOKUP($B31,'Cash Flow'!$F$2:$AJ$2,'Cash Flow'!$F$65:$AJ$65))</f>
        <v>-242430.24983029001</v>
      </c>
      <c r="L31" s="180">
        <f>IF($B31&gt;Inputs!$G$15,"",LOOKUP($B31,'Cash Flow'!$F$2:$AJ$2,'Cash Flow'!$F$64:$AJ$64)+LOOKUP($B31,'Cash Flow'!$F$2:$AJ$2,'Cash Flow'!$F$66:$AJ$66))</f>
        <v>-64345.265372598449</v>
      </c>
      <c r="M31" s="180">
        <f>IF($B31&gt;Inputs!$G$15,"",H31+K31+L31)</f>
        <v>528638.99849080329</v>
      </c>
      <c r="N31" s="180">
        <f>IF($B31&gt;Inputs!$G$15,N30,N30+M31)</f>
        <v>6219206.7583730202</v>
      </c>
      <c r="O31" s="184">
        <f>IF($B31&gt;Inputs!$G$15,"",LOOKUP($B31,'Cash Flow'!$F$2:$AJ$2,'Cash Flow'!$F$68:$AJ$68))</f>
        <v>0.11981994764332282</v>
      </c>
      <c r="P31" s="185" t="str">
        <f>IF($B31&gt;Inputs!$G$15,"",LOOKUP($B31,'Cash Flow'!$F$2:$AJ$2,'Cash Flow'!$F$41:$AJ$41))</f>
        <v>N/A</v>
      </c>
      <c r="R31" s="390">
        <f>IF($B31&gt;Inputs!$G$15,"",D31+K31+L31)</f>
        <v>575057.23174819967</v>
      </c>
      <c r="S31" s="391">
        <f>IF($B31&gt;Inputs!$G$15,"",-(E31+F31+G31))</f>
        <v>46418.233257396423</v>
      </c>
    </row>
    <row r="32" spans="2:19" ht="15">
      <c r="B32" s="188">
        <v>26</v>
      </c>
      <c r="C32" s="183" t="str">
        <f>IF($B32&gt;Inputs!$G$15,"",IF($B32&lt;=Inputs!$Q$8,LOOKUP($B32,'Cash Flow'!$F$2:$AJ$2,'Cash Flow'!$F$14:$AJ$14),LOOKUP($B32,'Cash Flow'!$F$2:$AJ$2,'Cash Flow'!$F$16:$AJ$16)))</f>
        <v/>
      </c>
      <c r="D32" s="180" t="str">
        <f>IF($B32&gt;Inputs!$G$15,"",LOOKUP($B32,'Cash Flow'!$F$2:$AJ$2,'Cash Flow'!$F$23:$AJ$23))</f>
        <v/>
      </c>
      <c r="E32" s="180" t="str">
        <f>IF($B32&gt;Inputs!$G$15,"",LOOKUP($B32,'Cash Flow'!$F$2:$AJ$2,'Cash Flow'!$F$35:$AJ$35))</f>
        <v/>
      </c>
      <c r="F32" s="180" t="str">
        <f>IF($B32&gt;Inputs!$G$15,"",LOOKUP($B32,'Cash Flow'!$F$2:$AJ$2,'Cash Flow'!$F$85:$AJ$85))</f>
        <v/>
      </c>
      <c r="G32" s="180" t="str">
        <f>IF($B32&gt;Inputs!$G$15,"",LOOKUP($B32,'Cash Flow'!$F$2:$AJ$2,'Cash Flow'!$F$47:$AJ$47)+LOOKUP($B32,'Cash Flow'!$F$2:$AJ$2,'Cash Flow'!$F$48:$AJ$48))</f>
        <v/>
      </c>
      <c r="H32" s="180" t="str">
        <f>IF($B32&gt;Inputs!$G$15,"",SUM(D32:G32))</f>
        <v/>
      </c>
      <c r="I32" s="180" t="str">
        <f>IF($B32&gt;Inputs!$G$15,"",LOOKUP($B32,'Cash Flow'!$F$2:$AJ$2,'Cash Flow'!$F$60:$AJ$60))</f>
        <v/>
      </c>
      <c r="J32" s="180" t="str">
        <f>IF($B32&gt;Inputs!$G$15,"",LOOKUP($B32,'Cash Flow'!$F$2:$AJ$2,'Cash Flow'!$F$61:$AJ$61))</f>
        <v/>
      </c>
      <c r="K32" s="180" t="str">
        <f>IF($B32&gt;Inputs!$G$15,"",LOOKUP($B32,'Cash Flow'!$F$2:$AJ$2,'Cash Flow'!$F$63:$AJ$63)+LOOKUP($B32,'Cash Flow'!$F$2:$AJ$2,'Cash Flow'!$F$65:$AJ$65))</f>
        <v/>
      </c>
      <c r="L32" s="180" t="str">
        <f>IF($B32&gt;Inputs!$G$15,"",LOOKUP($B32,'Cash Flow'!$F$2:$AJ$2,'Cash Flow'!$F$64:$AJ$64)+LOOKUP($B32,'Cash Flow'!$F$2:$AJ$2,'Cash Flow'!$F$66:$AJ$66))</f>
        <v/>
      </c>
      <c r="M32" s="180" t="str">
        <f>IF($B32&gt;Inputs!$G$15,"",H32+K32+L32)</f>
        <v/>
      </c>
      <c r="N32" s="180">
        <f>IF($B32&gt;Inputs!$G$15,N31,N31+M32)</f>
        <v>6219206.7583730202</v>
      </c>
      <c r="O32" s="184" t="str">
        <f>IF($B32&gt;Inputs!$G$15,"",LOOKUP($B32,'Cash Flow'!$F$2:$AJ$2,'Cash Flow'!$F$68:$AJ$68))</f>
        <v/>
      </c>
      <c r="P32" s="185" t="str">
        <f>IF($B32&gt;Inputs!$G$15,"",LOOKUP($B32,'Cash Flow'!$F$2:$AJ$2,'Cash Flow'!$F$41:$AJ$41))</f>
        <v/>
      </c>
      <c r="R32" s="390" t="str">
        <f>IF($B32&gt;Inputs!$G$15,"",D32+K32+L32)</f>
        <v/>
      </c>
      <c r="S32" s="391" t="str">
        <f>IF($B32&gt;Inputs!$G$15,"",-(E32+F32+G32))</f>
        <v/>
      </c>
    </row>
    <row r="33" spans="2:19" ht="15">
      <c r="B33" s="182">
        <v>27</v>
      </c>
      <c r="C33" s="183" t="str">
        <f>IF($B33&gt;Inputs!$G$15,"",IF($B33&lt;=Inputs!$Q$8,LOOKUP($B33,'Cash Flow'!$F$2:$AJ$2,'Cash Flow'!$F$14:$AJ$14),LOOKUP($B33,'Cash Flow'!$F$2:$AJ$2,'Cash Flow'!$F$16:$AJ$16)))</f>
        <v/>
      </c>
      <c r="D33" s="180" t="str">
        <f>IF($B33&gt;Inputs!$G$15,"",LOOKUP($B33,'Cash Flow'!$F$2:$AJ$2,'Cash Flow'!$F$23:$AJ$23))</f>
        <v/>
      </c>
      <c r="E33" s="180" t="str">
        <f>IF($B33&gt;Inputs!$G$15,"",LOOKUP($B33,'Cash Flow'!$F$2:$AJ$2,'Cash Flow'!$F$35:$AJ$35))</f>
        <v/>
      </c>
      <c r="F33" s="180" t="str">
        <f>IF($B33&gt;Inputs!$G$15,"",LOOKUP($B33,'Cash Flow'!$F$2:$AJ$2,'Cash Flow'!$F$85:$AJ$85))</f>
        <v/>
      </c>
      <c r="G33" s="180" t="str">
        <f>IF($B33&gt;Inputs!$G$15,"",LOOKUP($B33,'Cash Flow'!$F$2:$AJ$2,'Cash Flow'!$F$47:$AJ$47)+LOOKUP($B33,'Cash Flow'!$F$2:$AJ$2,'Cash Flow'!$F$48:$AJ$48))</f>
        <v/>
      </c>
      <c r="H33" s="180" t="str">
        <f>IF($B33&gt;Inputs!$G$15,"",SUM(D33:G33))</f>
        <v/>
      </c>
      <c r="I33" s="180" t="str">
        <f>IF($B33&gt;Inputs!$G$15,"",LOOKUP($B33,'Cash Flow'!$F$2:$AJ$2,'Cash Flow'!$F$60:$AJ$60))</f>
        <v/>
      </c>
      <c r="J33" s="180" t="str">
        <f>IF($B33&gt;Inputs!$G$15,"",LOOKUP($B33,'Cash Flow'!$F$2:$AJ$2,'Cash Flow'!$F$61:$AJ$61))</f>
        <v/>
      </c>
      <c r="K33" s="180" t="str">
        <f>IF($B33&gt;Inputs!$G$15,"",LOOKUP($B33,'Cash Flow'!$F$2:$AJ$2,'Cash Flow'!$F$63:$AJ$63)+LOOKUP($B33,'Cash Flow'!$F$2:$AJ$2,'Cash Flow'!$F$65:$AJ$65))</f>
        <v/>
      </c>
      <c r="L33" s="180" t="str">
        <f>IF($B33&gt;Inputs!$G$15,"",LOOKUP($B33,'Cash Flow'!$F$2:$AJ$2,'Cash Flow'!$F$64:$AJ$64)+LOOKUP($B33,'Cash Flow'!$F$2:$AJ$2,'Cash Flow'!$F$66:$AJ$66))</f>
        <v/>
      </c>
      <c r="M33" s="180" t="str">
        <f>IF($B33&gt;Inputs!$G$15,"",H33+K33+L33)</f>
        <v/>
      </c>
      <c r="N33" s="180">
        <f>IF($B33&gt;Inputs!$G$15,N32,N32+M33)</f>
        <v>6219206.7583730202</v>
      </c>
      <c r="O33" s="184" t="str">
        <f>IF($B33&gt;Inputs!$G$15,"",LOOKUP($B33,'Cash Flow'!$F$2:$AJ$2,'Cash Flow'!$F$68:$AJ$68))</f>
        <v/>
      </c>
      <c r="P33" s="185" t="str">
        <f>IF($B33&gt;Inputs!$G$15,"",LOOKUP($B33,'Cash Flow'!$F$2:$AJ$2,'Cash Flow'!$F$41:$AJ$41))</f>
        <v/>
      </c>
      <c r="R33" s="390" t="str">
        <f>IF($B33&gt;Inputs!$G$15,"",D33+K33+L33)</f>
        <v/>
      </c>
      <c r="S33" s="391" t="str">
        <f>IF($B33&gt;Inputs!$G$15,"",-(E33+F33+G33))</f>
        <v/>
      </c>
    </row>
    <row r="34" spans="2:19" ht="15">
      <c r="B34" s="182">
        <v>28</v>
      </c>
      <c r="C34" s="183" t="str">
        <f>IF($B34&gt;Inputs!$G$15,"",IF($B34&lt;=Inputs!$Q$8,LOOKUP($B34,'Cash Flow'!$F$2:$AJ$2,'Cash Flow'!$F$14:$AJ$14),LOOKUP($B34,'Cash Flow'!$F$2:$AJ$2,'Cash Flow'!$F$16:$AJ$16)))</f>
        <v/>
      </c>
      <c r="D34" s="180" t="str">
        <f>IF($B34&gt;Inputs!$G$15,"",LOOKUP($B34,'Cash Flow'!$F$2:$AJ$2,'Cash Flow'!$F$23:$AJ$23))</f>
        <v/>
      </c>
      <c r="E34" s="180" t="str">
        <f>IF($B34&gt;Inputs!$G$15,"",LOOKUP($B34,'Cash Flow'!$F$2:$AJ$2,'Cash Flow'!$F$35:$AJ$35))</f>
        <v/>
      </c>
      <c r="F34" s="180" t="str">
        <f>IF($B34&gt;Inputs!$G$15,"",LOOKUP($B34,'Cash Flow'!$F$2:$AJ$2,'Cash Flow'!$F$85:$AJ$85))</f>
        <v/>
      </c>
      <c r="G34" s="180" t="str">
        <f>IF($B34&gt;Inputs!$G$15,"",LOOKUP($B34,'Cash Flow'!$F$2:$AJ$2,'Cash Flow'!$F$47:$AJ$47)+LOOKUP($B34,'Cash Flow'!$F$2:$AJ$2,'Cash Flow'!$F$48:$AJ$48))</f>
        <v/>
      </c>
      <c r="H34" s="180" t="str">
        <f>IF($B34&gt;Inputs!$G$15,"",SUM(D34:G34))</f>
        <v/>
      </c>
      <c r="I34" s="180" t="str">
        <f>IF($B34&gt;Inputs!$G$15,"",LOOKUP($B34,'Cash Flow'!$F$2:$AJ$2,'Cash Flow'!$F$60:$AJ$60))</f>
        <v/>
      </c>
      <c r="J34" s="180" t="str">
        <f>IF($B34&gt;Inputs!$G$15,"",LOOKUP($B34,'Cash Flow'!$F$2:$AJ$2,'Cash Flow'!$F$61:$AJ$61))</f>
        <v/>
      </c>
      <c r="K34" s="180" t="str">
        <f>IF($B34&gt;Inputs!$G$15,"",LOOKUP($B34,'Cash Flow'!$F$2:$AJ$2,'Cash Flow'!$F$63:$AJ$63)+LOOKUP($B34,'Cash Flow'!$F$2:$AJ$2,'Cash Flow'!$F$65:$AJ$65))</f>
        <v/>
      </c>
      <c r="L34" s="180" t="str">
        <f>IF($B34&gt;Inputs!$G$15,"",LOOKUP($B34,'Cash Flow'!$F$2:$AJ$2,'Cash Flow'!$F$64:$AJ$64)+LOOKUP($B34,'Cash Flow'!$F$2:$AJ$2,'Cash Flow'!$F$66:$AJ$66))</f>
        <v/>
      </c>
      <c r="M34" s="180" t="str">
        <f>IF($B34&gt;Inputs!$G$15,"",H34+K34+L34)</f>
        <v/>
      </c>
      <c r="N34" s="180">
        <f>IF($B34&gt;Inputs!$G$15,N33,N33+M34)</f>
        <v>6219206.7583730202</v>
      </c>
      <c r="O34" s="184" t="str">
        <f>IF($B34&gt;Inputs!$G$15,"",LOOKUP($B34,'Cash Flow'!$F$2:$AJ$2,'Cash Flow'!$F$68:$AJ$68))</f>
        <v/>
      </c>
      <c r="P34" s="185" t="str">
        <f>IF($B34&gt;Inputs!$G$15,"",LOOKUP($B34,'Cash Flow'!$F$2:$AJ$2,'Cash Flow'!$F$41:$AJ$41))</f>
        <v/>
      </c>
      <c r="R34" s="390" t="str">
        <f>IF($B34&gt;Inputs!$G$15,"",D34+K34+L34)</f>
        <v/>
      </c>
      <c r="S34" s="391" t="str">
        <f>IF($B34&gt;Inputs!$G$15,"",-(E34+F34+G34))</f>
        <v/>
      </c>
    </row>
    <row r="35" spans="2:19" ht="15">
      <c r="B35" s="188">
        <v>29</v>
      </c>
      <c r="C35" s="183" t="str">
        <f>IF($B35&gt;Inputs!$G$15,"",IF($B35&lt;=Inputs!$Q$8,LOOKUP($B35,'Cash Flow'!$F$2:$AJ$2,'Cash Flow'!$F$14:$AJ$14),LOOKUP($B35,'Cash Flow'!$F$2:$AJ$2,'Cash Flow'!$F$16:$AJ$16)))</f>
        <v/>
      </c>
      <c r="D35" s="180" t="str">
        <f>IF($B35&gt;Inputs!$G$15,"",LOOKUP($B35,'Cash Flow'!$F$2:$AJ$2,'Cash Flow'!$F$23:$AJ$23))</f>
        <v/>
      </c>
      <c r="E35" s="180" t="str">
        <f>IF($B35&gt;Inputs!$G$15,"",LOOKUP($B35,'Cash Flow'!$F$2:$AJ$2,'Cash Flow'!$F$35:$AJ$35))</f>
        <v/>
      </c>
      <c r="F35" s="180" t="str">
        <f>IF($B35&gt;Inputs!$G$15,"",LOOKUP($B35,'Cash Flow'!$F$2:$AJ$2,'Cash Flow'!$F$85:$AJ$85))</f>
        <v/>
      </c>
      <c r="G35" s="180" t="str">
        <f>IF($B35&gt;Inputs!$G$15,"",LOOKUP($B35,'Cash Flow'!$F$2:$AJ$2,'Cash Flow'!$F$47:$AJ$47)+LOOKUP($B35,'Cash Flow'!$F$2:$AJ$2,'Cash Flow'!$F$48:$AJ$48))</f>
        <v/>
      </c>
      <c r="H35" s="180" t="str">
        <f>IF($B35&gt;Inputs!$G$15,"",SUM(D35:G35))</f>
        <v/>
      </c>
      <c r="I35" s="180" t="str">
        <f>IF($B35&gt;Inputs!$G$15,"",LOOKUP($B35,'Cash Flow'!$F$2:$AJ$2,'Cash Flow'!$F$60:$AJ$60))</f>
        <v/>
      </c>
      <c r="J35" s="180" t="str">
        <f>IF($B35&gt;Inputs!$G$15,"",LOOKUP($B35,'Cash Flow'!$F$2:$AJ$2,'Cash Flow'!$F$61:$AJ$61))</f>
        <v/>
      </c>
      <c r="K35" s="180" t="str">
        <f>IF($B35&gt;Inputs!$G$15,"",LOOKUP($B35,'Cash Flow'!$F$2:$AJ$2,'Cash Flow'!$F$63:$AJ$63)+LOOKUP($B35,'Cash Flow'!$F$2:$AJ$2,'Cash Flow'!$F$65:$AJ$65))</f>
        <v/>
      </c>
      <c r="L35" s="180" t="str">
        <f>IF($B35&gt;Inputs!$G$15,"",LOOKUP($B35,'Cash Flow'!$F$2:$AJ$2,'Cash Flow'!$F$64:$AJ$64)+LOOKUP($B35,'Cash Flow'!$F$2:$AJ$2,'Cash Flow'!$F$66:$AJ$66))</f>
        <v/>
      </c>
      <c r="M35" s="180" t="str">
        <f>IF($B35&gt;Inputs!$G$15,"",H35+K35+L35)</f>
        <v/>
      </c>
      <c r="N35" s="180">
        <f>IF($B35&gt;Inputs!$G$15,N34,N34+M35)</f>
        <v>6219206.7583730202</v>
      </c>
      <c r="O35" s="184" t="str">
        <f>IF($B35&gt;Inputs!$G$15,"",LOOKUP($B35,'Cash Flow'!$F$2:$AJ$2,'Cash Flow'!$F$68:$AJ$68))</f>
        <v/>
      </c>
      <c r="P35" s="185" t="str">
        <f>IF($B35&gt;Inputs!$G$15,"",LOOKUP($B35,'Cash Flow'!$F$2:$AJ$2,'Cash Flow'!$F$41:$AJ$41))</f>
        <v/>
      </c>
      <c r="R35" s="390" t="str">
        <f>IF($B35&gt;Inputs!$G$15,"",D35+K35+L35)</f>
        <v/>
      </c>
      <c r="S35" s="391" t="str">
        <f>IF($B35&gt;Inputs!$G$15,"",-(E35+F35+G35))</f>
        <v/>
      </c>
    </row>
    <row r="36" spans="2:19" ht="15">
      <c r="B36" s="182">
        <v>30</v>
      </c>
      <c r="C36" s="183" t="str">
        <f>IF($B36&gt;Inputs!$G$15,"",IF($B36&lt;=Inputs!$Q$8,LOOKUP($B36,'Cash Flow'!$F$2:$AJ$2,'Cash Flow'!$F$14:$AJ$14),LOOKUP($B36,'Cash Flow'!$F$2:$AJ$2,'Cash Flow'!$F$16:$AJ$16)))</f>
        <v/>
      </c>
      <c r="D36" s="180" t="str">
        <f>IF($B36&gt;Inputs!$G$15,"",LOOKUP($B36,'Cash Flow'!$F$2:$AJ$2,'Cash Flow'!$F$23:$AJ$23))</f>
        <v/>
      </c>
      <c r="E36" s="180" t="str">
        <f>IF($B36&gt;Inputs!$G$15,"",LOOKUP($B36,'Cash Flow'!$F$2:$AJ$2,'Cash Flow'!$F$35:$AJ$35))</f>
        <v/>
      </c>
      <c r="F36" s="180" t="str">
        <f>IF($B36&gt;Inputs!$G$15,"",LOOKUP($B36,'Cash Flow'!$F$2:$AJ$2,'Cash Flow'!$F$85:$AJ$85))</f>
        <v/>
      </c>
      <c r="G36" s="180" t="str">
        <f>IF($B36&gt;Inputs!$G$15,"",LOOKUP($B36,'Cash Flow'!$F$2:$AJ$2,'Cash Flow'!$F$47:$AJ$47)+LOOKUP($B36,'Cash Flow'!$F$2:$AJ$2,'Cash Flow'!$F$48:$AJ$48))</f>
        <v/>
      </c>
      <c r="H36" s="180" t="str">
        <f>IF($B36&gt;Inputs!$G$15,"",SUM(D36:G36))</f>
        <v/>
      </c>
      <c r="I36" s="180" t="str">
        <f>IF($B36&gt;Inputs!$G$15,"",LOOKUP($B36,'Cash Flow'!$F$2:$AJ$2,'Cash Flow'!$F$60:$AJ$60))</f>
        <v/>
      </c>
      <c r="J36" s="180" t="str">
        <f>IF($B36&gt;Inputs!$G$15,"",LOOKUP($B36,'Cash Flow'!$F$2:$AJ$2,'Cash Flow'!$F$61:$AJ$61))</f>
        <v/>
      </c>
      <c r="K36" s="180" t="str">
        <f>IF($B36&gt;Inputs!$G$15,"",LOOKUP($B36,'Cash Flow'!$F$2:$AJ$2,'Cash Flow'!$F$63:$AJ$63)+LOOKUP($B36,'Cash Flow'!$F$2:$AJ$2,'Cash Flow'!$F$65:$AJ$65))</f>
        <v/>
      </c>
      <c r="L36" s="180" t="str">
        <f>IF($B36&gt;Inputs!$G$15,"",LOOKUP($B36,'Cash Flow'!$F$2:$AJ$2,'Cash Flow'!$F$64:$AJ$64)+LOOKUP($B36,'Cash Flow'!$F$2:$AJ$2,'Cash Flow'!$F$66:$AJ$66))</f>
        <v/>
      </c>
      <c r="M36" s="180" t="str">
        <f>IF($B36&gt;Inputs!$G$15,"",H36+K36+L36)</f>
        <v/>
      </c>
      <c r="N36" s="180">
        <f>IF($B36&gt;Inputs!$G$15,N35,N35+M36)</f>
        <v>6219206.7583730202</v>
      </c>
      <c r="O36" s="184" t="str">
        <f>IF($B36&gt;Inputs!$G$15,"",LOOKUP($B36,'Cash Flow'!$F$2:$AJ$2,'Cash Flow'!$F$68:$AJ$68))</f>
        <v/>
      </c>
      <c r="P36" s="185" t="str">
        <f>IF($B36&gt;Inputs!$G$15,"",LOOKUP($B36,'Cash Flow'!$F$2:$AJ$2,'Cash Flow'!$F$41:$AJ$41))</f>
        <v/>
      </c>
      <c r="R36" s="390" t="str">
        <f>IF($B36&gt;Inputs!$G$15,"",D36+K36+L36)</f>
        <v/>
      </c>
      <c r="S36" s="391" t="str">
        <f>IF($B36&gt;Inputs!$G$15,"",-(E36+F36+G36))</f>
        <v/>
      </c>
    </row>
    <row r="37" spans="2:19">
      <c r="B37" s="189"/>
      <c r="C37" s="190"/>
      <c r="D37" s="190"/>
      <c r="E37" s="190"/>
      <c r="F37" s="190"/>
      <c r="G37" s="201"/>
      <c r="H37" s="190"/>
      <c r="I37" s="190"/>
      <c r="J37" s="190"/>
      <c r="K37" s="190"/>
      <c r="L37" s="190"/>
      <c r="M37" s="201"/>
      <c r="N37" s="201"/>
      <c r="O37" s="201"/>
      <c r="P37" s="202"/>
      <c r="R37" s="392"/>
      <c r="S37" s="393"/>
    </row>
    <row r="38" spans="2:19">
      <c r="G38" s="203"/>
      <c r="M38" s="203"/>
      <c r="N38" s="203"/>
      <c r="O38" s="203"/>
      <c r="P38" s="203"/>
    </row>
  </sheetData>
  <mergeCells count="3">
    <mergeCell ref="R4:R5"/>
    <mergeCell ref="S4:S5"/>
    <mergeCell ref="R3:S3"/>
  </mergeCells>
  <conditionalFormatting sqref="N7:N36">
    <cfRule type="expression" dxfId="3"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228"/>
  <sheetViews>
    <sheetView showGridLines="0" zoomScale="70" zoomScaleNormal="70" workbookViewId="0">
      <pane xSplit="5" ySplit="2" topLeftCell="F3" activePane="bottomRight" state="frozen"/>
      <selection pane="topRight" activeCell="D1" sqref="D1"/>
      <selection pane="bottomLeft" activeCell="A4" sqref="A4"/>
      <selection pane="bottomRight" activeCell="H69" sqref="H69"/>
    </sheetView>
  </sheetViews>
  <sheetFormatPr baseColWidth="10" defaultColWidth="8.83203125" defaultRowHeight="15"/>
  <cols>
    <col min="1" max="1" width="5.5" style="64" customWidth="1"/>
    <col min="2" max="2" width="57.5" style="64" customWidth="1"/>
    <col min="3" max="4" width="15.33203125" style="64" customWidth="1"/>
    <col min="5" max="5" width="17.5" style="64" customWidth="1"/>
    <col min="6" max="6" width="15.83203125" style="64" customWidth="1"/>
    <col min="7" max="7" width="15.1640625" style="64" customWidth="1"/>
    <col min="8" max="36" width="13.6640625" style="64" customWidth="1"/>
    <col min="37" max="228" width="9.1640625" style="64"/>
    <col min="229" max="229" width="5.5" style="64" customWidth="1"/>
    <col min="230" max="230" width="56.5" style="64" customWidth="1"/>
    <col min="231" max="231" width="15.33203125" style="64" customWidth="1"/>
    <col min="232" max="232" width="15.83203125" style="64" customWidth="1"/>
    <col min="233" max="233" width="15.1640625" style="64" customWidth="1"/>
    <col min="234" max="292" width="13.6640625" style="64" customWidth="1"/>
    <col min="293" max="484" width="9.1640625" style="64"/>
    <col min="485" max="485" width="5.5" style="64" customWidth="1"/>
    <col min="486" max="486" width="56.5" style="64" customWidth="1"/>
    <col min="487" max="487" width="15.33203125" style="64" customWidth="1"/>
    <col min="488" max="488" width="15.83203125" style="64" customWidth="1"/>
    <col min="489" max="489" width="15.1640625" style="64" customWidth="1"/>
    <col min="490" max="548" width="13.6640625" style="64" customWidth="1"/>
    <col min="549" max="740" width="9.1640625" style="64"/>
    <col min="741" max="741" width="5.5" style="64" customWidth="1"/>
    <col min="742" max="742" width="56.5" style="64" customWidth="1"/>
    <col min="743" max="743" width="15.33203125" style="64" customWidth="1"/>
    <col min="744" max="744" width="15.83203125" style="64" customWidth="1"/>
    <col min="745" max="745" width="15.1640625" style="64" customWidth="1"/>
    <col min="746" max="804" width="13.6640625" style="64" customWidth="1"/>
    <col min="805" max="996" width="9.1640625" style="64"/>
    <col min="997" max="997" width="5.5" style="64" customWidth="1"/>
    <col min="998" max="998" width="56.5" style="64" customWidth="1"/>
    <col min="999" max="999" width="15.33203125" style="64" customWidth="1"/>
    <col min="1000" max="1000" width="15.83203125" style="64" customWidth="1"/>
    <col min="1001" max="1001" width="15.1640625" style="64" customWidth="1"/>
    <col min="1002" max="1060" width="13.6640625" style="64" customWidth="1"/>
    <col min="1061" max="1252" width="9.1640625" style="64"/>
    <col min="1253" max="1253" width="5.5" style="64" customWidth="1"/>
    <col min="1254" max="1254" width="56.5" style="64" customWidth="1"/>
    <col min="1255" max="1255" width="15.33203125" style="64" customWidth="1"/>
    <col min="1256" max="1256" width="15.83203125" style="64" customWidth="1"/>
    <col min="1257" max="1257" width="15.1640625" style="64" customWidth="1"/>
    <col min="1258" max="1316" width="13.6640625" style="64" customWidth="1"/>
    <col min="1317" max="1508" width="9.1640625" style="64"/>
    <col min="1509" max="1509" width="5.5" style="64" customWidth="1"/>
    <col min="1510" max="1510" width="56.5" style="64" customWidth="1"/>
    <col min="1511" max="1511" width="15.33203125" style="64" customWidth="1"/>
    <col min="1512" max="1512" width="15.83203125" style="64" customWidth="1"/>
    <col min="1513" max="1513" width="15.1640625" style="64" customWidth="1"/>
    <col min="1514" max="1572" width="13.6640625" style="64" customWidth="1"/>
    <col min="1573" max="1764" width="9.1640625" style="64"/>
    <col min="1765" max="1765" width="5.5" style="64" customWidth="1"/>
    <col min="1766" max="1766" width="56.5" style="64" customWidth="1"/>
    <col min="1767" max="1767" width="15.33203125" style="64" customWidth="1"/>
    <col min="1768" max="1768" width="15.83203125" style="64" customWidth="1"/>
    <col min="1769" max="1769" width="15.1640625" style="64" customWidth="1"/>
    <col min="1770" max="1828" width="13.6640625" style="64" customWidth="1"/>
    <col min="1829" max="2020" width="9.1640625" style="64"/>
    <col min="2021" max="2021" width="5.5" style="64" customWidth="1"/>
    <col min="2022" max="2022" width="56.5" style="64" customWidth="1"/>
    <col min="2023" max="2023" width="15.33203125" style="64" customWidth="1"/>
    <col min="2024" max="2024" width="15.83203125" style="64" customWidth="1"/>
    <col min="2025" max="2025" width="15.1640625" style="64" customWidth="1"/>
    <col min="2026" max="2084" width="13.6640625" style="64" customWidth="1"/>
    <col min="2085" max="2276" width="9.1640625" style="64"/>
    <col min="2277" max="2277" width="5.5" style="64" customWidth="1"/>
    <col min="2278" max="2278" width="56.5" style="64" customWidth="1"/>
    <col min="2279" max="2279" width="15.33203125" style="64" customWidth="1"/>
    <col min="2280" max="2280" width="15.83203125" style="64" customWidth="1"/>
    <col min="2281" max="2281" width="15.1640625" style="64" customWidth="1"/>
    <col min="2282" max="2340" width="13.6640625" style="64" customWidth="1"/>
    <col min="2341" max="2532" width="9.1640625" style="64"/>
    <col min="2533" max="2533" width="5.5" style="64" customWidth="1"/>
    <col min="2534" max="2534" width="56.5" style="64" customWidth="1"/>
    <col min="2535" max="2535" width="15.33203125" style="64" customWidth="1"/>
    <col min="2536" max="2536" width="15.83203125" style="64" customWidth="1"/>
    <col min="2537" max="2537" width="15.1640625" style="64" customWidth="1"/>
    <col min="2538" max="2596" width="13.6640625" style="64" customWidth="1"/>
    <col min="2597" max="2788" width="9.1640625" style="64"/>
    <col min="2789" max="2789" width="5.5" style="64" customWidth="1"/>
    <col min="2790" max="2790" width="56.5" style="64" customWidth="1"/>
    <col min="2791" max="2791" width="15.33203125" style="64" customWidth="1"/>
    <col min="2792" max="2792" width="15.83203125" style="64" customWidth="1"/>
    <col min="2793" max="2793" width="15.1640625" style="64" customWidth="1"/>
    <col min="2794" max="2852" width="13.6640625" style="64" customWidth="1"/>
    <col min="2853" max="3044" width="9.1640625" style="64"/>
    <col min="3045" max="3045" width="5.5" style="64" customWidth="1"/>
    <col min="3046" max="3046" width="56.5" style="64" customWidth="1"/>
    <col min="3047" max="3047" width="15.33203125" style="64" customWidth="1"/>
    <col min="3048" max="3048" width="15.83203125" style="64" customWidth="1"/>
    <col min="3049" max="3049" width="15.1640625" style="64" customWidth="1"/>
    <col min="3050" max="3108" width="13.6640625" style="64" customWidth="1"/>
    <col min="3109" max="3300" width="9.1640625" style="64"/>
    <col min="3301" max="3301" width="5.5" style="64" customWidth="1"/>
    <col min="3302" max="3302" width="56.5" style="64" customWidth="1"/>
    <col min="3303" max="3303" width="15.33203125" style="64" customWidth="1"/>
    <col min="3304" max="3304" width="15.83203125" style="64" customWidth="1"/>
    <col min="3305" max="3305" width="15.1640625" style="64" customWidth="1"/>
    <col min="3306" max="3364" width="13.6640625" style="64" customWidth="1"/>
    <col min="3365" max="3556" width="9.1640625" style="64"/>
    <col min="3557" max="3557" width="5.5" style="64" customWidth="1"/>
    <col min="3558" max="3558" width="56.5" style="64" customWidth="1"/>
    <col min="3559" max="3559" width="15.33203125" style="64" customWidth="1"/>
    <col min="3560" max="3560" width="15.83203125" style="64" customWidth="1"/>
    <col min="3561" max="3561" width="15.1640625" style="64" customWidth="1"/>
    <col min="3562" max="3620" width="13.6640625" style="64" customWidth="1"/>
    <col min="3621" max="3812" width="9.1640625" style="64"/>
    <col min="3813" max="3813" width="5.5" style="64" customWidth="1"/>
    <col min="3814" max="3814" width="56.5" style="64" customWidth="1"/>
    <col min="3815" max="3815" width="15.33203125" style="64" customWidth="1"/>
    <col min="3816" max="3816" width="15.83203125" style="64" customWidth="1"/>
    <col min="3817" max="3817" width="15.1640625" style="64" customWidth="1"/>
    <col min="3818" max="3876" width="13.6640625" style="64" customWidth="1"/>
    <col min="3877" max="4068" width="9.1640625" style="64"/>
    <col min="4069" max="4069" width="5.5" style="64" customWidth="1"/>
    <col min="4070" max="4070" width="56.5" style="64" customWidth="1"/>
    <col min="4071" max="4071" width="15.33203125" style="64" customWidth="1"/>
    <col min="4072" max="4072" width="15.83203125" style="64" customWidth="1"/>
    <col min="4073" max="4073" width="15.1640625" style="64" customWidth="1"/>
    <col min="4074" max="4132" width="13.6640625" style="64" customWidth="1"/>
    <col min="4133" max="4324" width="9.1640625" style="64"/>
    <col min="4325" max="4325" width="5.5" style="64" customWidth="1"/>
    <col min="4326" max="4326" width="56.5" style="64" customWidth="1"/>
    <col min="4327" max="4327" width="15.33203125" style="64" customWidth="1"/>
    <col min="4328" max="4328" width="15.83203125" style="64" customWidth="1"/>
    <col min="4329" max="4329" width="15.1640625" style="64" customWidth="1"/>
    <col min="4330" max="4388" width="13.6640625" style="64" customWidth="1"/>
    <col min="4389" max="4580" width="9.1640625" style="64"/>
    <col min="4581" max="4581" width="5.5" style="64" customWidth="1"/>
    <col min="4582" max="4582" width="56.5" style="64" customWidth="1"/>
    <col min="4583" max="4583" width="15.33203125" style="64" customWidth="1"/>
    <col min="4584" max="4584" width="15.83203125" style="64" customWidth="1"/>
    <col min="4585" max="4585" width="15.1640625" style="64" customWidth="1"/>
    <col min="4586" max="4644" width="13.6640625" style="64" customWidth="1"/>
    <col min="4645" max="4836" width="9.1640625" style="64"/>
    <col min="4837" max="4837" width="5.5" style="64" customWidth="1"/>
    <col min="4838" max="4838" width="56.5" style="64" customWidth="1"/>
    <col min="4839" max="4839" width="15.33203125" style="64" customWidth="1"/>
    <col min="4840" max="4840" width="15.83203125" style="64" customWidth="1"/>
    <col min="4841" max="4841" width="15.1640625" style="64" customWidth="1"/>
    <col min="4842" max="4900" width="13.6640625" style="64" customWidth="1"/>
    <col min="4901" max="5092" width="9.1640625" style="64"/>
    <col min="5093" max="5093" width="5.5" style="64" customWidth="1"/>
    <col min="5094" max="5094" width="56.5" style="64" customWidth="1"/>
    <col min="5095" max="5095" width="15.33203125" style="64" customWidth="1"/>
    <col min="5096" max="5096" width="15.83203125" style="64" customWidth="1"/>
    <col min="5097" max="5097" width="15.1640625" style="64" customWidth="1"/>
    <col min="5098" max="5156" width="13.6640625" style="64" customWidth="1"/>
    <col min="5157" max="5348" width="9.1640625" style="64"/>
    <col min="5349" max="5349" width="5.5" style="64" customWidth="1"/>
    <col min="5350" max="5350" width="56.5" style="64" customWidth="1"/>
    <col min="5351" max="5351" width="15.33203125" style="64" customWidth="1"/>
    <col min="5352" max="5352" width="15.83203125" style="64" customWidth="1"/>
    <col min="5353" max="5353" width="15.1640625" style="64" customWidth="1"/>
    <col min="5354" max="5412" width="13.6640625" style="64" customWidth="1"/>
    <col min="5413" max="5604" width="9.1640625" style="64"/>
    <col min="5605" max="5605" width="5.5" style="64" customWidth="1"/>
    <col min="5606" max="5606" width="56.5" style="64" customWidth="1"/>
    <col min="5607" max="5607" width="15.33203125" style="64" customWidth="1"/>
    <col min="5608" max="5608" width="15.83203125" style="64" customWidth="1"/>
    <col min="5609" max="5609" width="15.1640625" style="64" customWidth="1"/>
    <col min="5610" max="5668" width="13.6640625" style="64" customWidth="1"/>
    <col min="5669" max="5860" width="9.1640625" style="64"/>
    <col min="5861" max="5861" width="5.5" style="64" customWidth="1"/>
    <col min="5862" max="5862" width="56.5" style="64" customWidth="1"/>
    <col min="5863" max="5863" width="15.33203125" style="64" customWidth="1"/>
    <col min="5864" max="5864" width="15.83203125" style="64" customWidth="1"/>
    <col min="5865" max="5865" width="15.1640625" style="64" customWidth="1"/>
    <col min="5866" max="5924" width="13.6640625" style="64" customWidth="1"/>
    <col min="5925" max="6116" width="9.1640625" style="64"/>
    <col min="6117" max="6117" width="5.5" style="64" customWidth="1"/>
    <col min="6118" max="6118" width="56.5" style="64" customWidth="1"/>
    <col min="6119" max="6119" width="15.33203125" style="64" customWidth="1"/>
    <col min="6120" max="6120" width="15.83203125" style="64" customWidth="1"/>
    <col min="6121" max="6121" width="15.1640625" style="64" customWidth="1"/>
    <col min="6122" max="6180" width="13.6640625" style="64" customWidth="1"/>
    <col min="6181" max="6372" width="9.1640625" style="64"/>
    <col min="6373" max="6373" width="5.5" style="64" customWidth="1"/>
    <col min="6374" max="6374" width="56.5" style="64" customWidth="1"/>
    <col min="6375" max="6375" width="15.33203125" style="64" customWidth="1"/>
    <col min="6376" max="6376" width="15.83203125" style="64" customWidth="1"/>
    <col min="6377" max="6377" width="15.1640625" style="64" customWidth="1"/>
    <col min="6378" max="6436" width="13.6640625" style="64" customWidth="1"/>
    <col min="6437" max="6628" width="9.1640625" style="64"/>
    <col min="6629" max="6629" width="5.5" style="64" customWidth="1"/>
    <col min="6630" max="6630" width="56.5" style="64" customWidth="1"/>
    <col min="6631" max="6631" width="15.33203125" style="64" customWidth="1"/>
    <col min="6632" max="6632" width="15.83203125" style="64" customWidth="1"/>
    <col min="6633" max="6633" width="15.1640625" style="64" customWidth="1"/>
    <col min="6634" max="6692" width="13.6640625" style="64" customWidth="1"/>
    <col min="6693" max="6884" width="9.1640625" style="64"/>
    <col min="6885" max="6885" width="5.5" style="64" customWidth="1"/>
    <col min="6886" max="6886" width="56.5" style="64" customWidth="1"/>
    <col min="6887" max="6887" width="15.33203125" style="64" customWidth="1"/>
    <col min="6888" max="6888" width="15.83203125" style="64" customWidth="1"/>
    <col min="6889" max="6889" width="15.1640625" style="64" customWidth="1"/>
    <col min="6890" max="6948" width="13.6640625" style="64" customWidth="1"/>
    <col min="6949" max="7140" width="9.1640625" style="64"/>
    <col min="7141" max="7141" width="5.5" style="64" customWidth="1"/>
    <col min="7142" max="7142" width="56.5" style="64" customWidth="1"/>
    <col min="7143" max="7143" width="15.33203125" style="64" customWidth="1"/>
    <col min="7144" max="7144" width="15.83203125" style="64" customWidth="1"/>
    <col min="7145" max="7145" width="15.1640625" style="64" customWidth="1"/>
    <col min="7146" max="7204" width="13.6640625" style="64" customWidth="1"/>
    <col min="7205" max="7396" width="9.1640625" style="64"/>
    <col min="7397" max="7397" width="5.5" style="64" customWidth="1"/>
    <col min="7398" max="7398" width="56.5" style="64" customWidth="1"/>
    <col min="7399" max="7399" width="15.33203125" style="64" customWidth="1"/>
    <col min="7400" max="7400" width="15.83203125" style="64" customWidth="1"/>
    <col min="7401" max="7401" width="15.1640625" style="64" customWidth="1"/>
    <col min="7402" max="7460" width="13.6640625" style="64" customWidth="1"/>
    <col min="7461" max="7652" width="9.1640625" style="64"/>
    <col min="7653" max="7653" width="5.5" style="64" customWidth="1"/>
    <col min="7654" max="7654" width="56.5" style="64" customWidth="1"/>
    <col min="7655" max="7655" width="15.33203125" style="64" customWidth="1"/>
    <col min="7656" max="7656" width="15.83203125" style="64" customWidth="1"/>
    <col min="7657" max="7657" width="15.1640625" style="64" customWidth="1"/>
    <col min="7658" max="7716" width="13.6640625" style="64" customWidth="1"/>
    <col min="7717" max="7908" width="9.1640625" style="64"/>
    <col min="7909" max="7909" width="5.5" style="64" customWidth="1"/>
    <col min="7910" max="7910" width="56.5" style="64" customWidth="1"/>
    <col min="7911" max="7911" width="15.33203125" style="64" customWidth="1"/>
    <col min="7912" max="7912" width="15.83203125" style="64" customWidth="1"/>
    <col min="7913" max="7913" width="15.1640625" style="64" customWidth="1"/>
    <col min="7914" max="7972" width="13.6640625" style="64" customWidth="1"/>
    <col min="7973" max="8164" width="9.1640625" style="64"/>
    <col min="8165" max="8165" width="5.5" style="64" customWidth="1"/>
    <col min="8166" max="8166" width="56.5" style="64" customWidth="1"/>
    <col min="8167" max="8167" width="15.33203125" style="64" customWidth="1"/>
    <col min="8168" max="8168" width="15.83203125" style="64" customWidth="1"/>
    <col min="8169" max="8169" width="15.1640625" style="64" customWidth="1"/>
    <col min="8170" max="8228" width="13.6640625" style="64" customWidth="1"/>
    <col min="8229" max="8420" width="9.1640625" style="64"/>
    <col min="8421" max="8421" width="5.5" style="64" customWidth="1"/>
    <col min="8422" max="8422" width="56.5" style="64" customWidth="1"/>
    <col min="8423" max="8423" width="15.33203125" style="64" customWidth="1"/>
    <col min="8424" max="8424" width="15.83203125" style="64" customWidth="1"/>
    <col min="8425" max="8425" width="15.1640625" style="64" customWidth="1"/>
    <col min="8426" max="8484" width="13.6640625" style="64" customWidth="1"/>
    <col min="8485" max="8676" width="9.1640625" style="64"/>
    <col min="8677" max="8677" width="5.5" style="64" customWidth="1"/>
    <col min="8678" max="8678" width="56.5" style="64" customWidth="1"/>
    <col min="8679" max="8679" width="15.33203125" style="64" customWidth="1"/>
    <col min="8680" max="8680" width="15.83203125" style="64" customWidth="1"/>
    <col min="8681" max="8681" width="15.1640625" style="64" customWidth="1"/>
    <col min="8682" max="8740" width="13.6640625" style="64" customWidth="1"/>
    <col min="8741" max="8932" width="9.1640625" style="64"/>
    <col min="8933" max="8933" width="5.5" style="64" customWidth="1"/>
    <col min="8934" max="8934" width="56.5" style="64" customWidth="1"/>
    <col min="8935" max="8935" width="15.33203125" style="64" customWidth="1"/>
    <col min="8936" max="8936" width="15.83203125" style="64" customWidth="1"/>
    <col min="8937" max="8937" width="15.1640625" style="64" customWidth="1"/>
    <col min="8938" max="8996" width="13.6640625" style="64" customWidth="1"/>
    <col min="8997" max="9188" width="9.1640625" style="64"/>
    <col min="9189" max="9189" width="5.5" style="64" customWidth="1"/>
    <col min="9190" max="9190" width="56.5" style="64" customWidth="1"/>
    <col min="9191" max="9191" width="15.33203125" style="64" customWidth="1"/>
    <col min="9192" max="9192" width="15.83203125" style="64" customWidth="1"/>
    <col min="9193" max="9193" width="15.1640625" style="64" customWidth="1"/>
    <col min="9194" max="9252" width="13.6640625" style="64" customWidth="1"/>
    <col min="9253" max="9444" width="9.1640625" style="64"/>
    <col min="9445" max="9445" width="5.5" style="64" customWidth="1"/>
    <col min="9446" max="9446" width="56.5" style="64" customWidth="1"/>
    <col min="9447" max="9447" width="15.33203125" style="64" customWidth="1"/>
    <col min="9448" max="9448" width="15.83203125" style="64" customWidth="1"/>
    <col min="9449" max="9449" width="15.1640625" style="64" customWidth="1"/>
    <col min="9450" max="9508" width="13.6640625" style="64" customWidth="1"/>
    <col min="9509" max="9700" width="9.1640625" style="64"/>
    <col min="9701" max="9701" width="5.5" style="64" customWidth="1"/>
    <col min="9702" max="9702" width="56.5" style="64" customWidth="1"/>
    <col min="9703" max="9703" width="15.33203125" style="64" customWidth="1"/>
    <col min="9704" max="9704" width="15.83203125" style="64" customWidth="1"/>
    <col min="9705" max="9705" width="15.1640625" style="64" customWidth="1"/>
    <col min="9706" max="9764" width="13.6640625" style="64" customWidth="1"/>
    <col min="9765" max="9956" width="9.1640625" style="64"/>
    <col min="9957" max="9957" width="5.5" style="64" customWidth="1"/>
    <col min="9958" max="9958" width="56.5" style="64" customWidth="1"/>
    <col min="9959" max="9959" width="15.33203125" style="64" customWidth="1"/>
    <col min="9960" max="9960" width="15.83203125" style="64" customWidth="1"/>
    <col min="9961" max="9961" width="15.1640625" style="64" customWidth="1"/>
    <col min="9962" max="10020" width="13.6640625" style="64" customWidth="1"/>
    <col min="10021" max="10212" width="9.1640625" style="64"/>
    <col min="10213" max="10213" width="5.5" style="64" customWidth="1"/>
    <col min="10214" max="10214" width="56.5" style="64" customWidth="1"/>
    <col min="10215" max="10215" width="15.33203125" style="64" customWidth="1"/>
    <col min="10216" max="10216" width="15.83203125" style="64" customWidth="1"/>
    <col min="10217" max="10217" width="15.1640625" style="64" customWidth="1"/>
    <col min="10218" max="10276" width="13.6640625" style="64" customWidth="1"/>
    <col min="10277" max="10468" width="9.1640625" style="64"/>
    <col min="10469" max="10469" width="5.5" style="64" customWidth="1"/>
    <col min="10470" max="10470" width="56.5" style="64" customWidth="1"/>
    <col min="10471" max="10471" width="15.33203125" style="64" customWidth="1"/>
    <col min="10472" max="10472" width="15.83203125" style="64" customWidth="1"/>
    <col min="10473" max="10473" width="15.1640625" style="64" customWidth="1"/>
    <col min="10474" max="10532" width="13.6640625" style="64" customWidth="1"/>
    <col min="10533" max="10724" width="9.1640625" style="64"/>
    <col min="10725" max="10725" width="5.5" style="64" customWidth="1"/>
    <col min="10726" max="10726" width="56.5" style="64" customWidth="1"/>
    <col min="10727" max="10727" width="15.33203125" style="64" customWidth="1"/>
    <col min="10728" max="10728" width="15.83203125" style="64" customWidth="1"/>
    <col min="10729" max="10729" width="15.1640625" style="64" customWidth="1"/>
    <col min="10730" max="10788" width="13.6640625" style="64" customWidth="1"/>
    <col min="10789" max="10980" width="9.1640625" style="64"/>
    <col min="10981" max="10981" width="5.5" style="64" customWidth="1"/>
    <col min="10982" max="10982" width="56.5" style="64" customWidth="1"/>
    <col min="10983" max="10983" width="15.33203125" style="64" customWidth="1"/>
    <col min="10984" max="10984" width="15.83203125" style="64" customWidth="1"/>
    <col min="10985" max="10985" width="15.1640625" style="64" customWidth="1"/>
    <col min="10986" max="11044" width="13.6640625" style="64" customWidth="1"/>
    <col min="11045" max="11236" width="9.1640625" style="64"/>
    <col min="11237" max="11237" width="5.5" style="64" customWidth="1"/>
    <col min="11238" max="11238" width="56.5" style="64" customWidth="1"/>
    <col min="11239" max="11239" width="15.33203125" style="64" customWidth="1"/>
    <col min="11240" max="11240" width="15.83203125" style="64" customWidth="1"/>
    <col min="11241" max="11241" width="15.1640625" style="64" customWidth="1"/>
    <col min="11242" max="11300" width="13.6640625" style="64" customWidth="1"/>
    <col min="11301" max="11492" width="9.1640625" style="64"/>
    <col min="11493" max="11493" width="5.5" style="64" customWidth="1"/>
    <col min="11494" max="11494" width="56.5" style="64" customWidth="1"/>
    <col min="11495" max="11495" width="15.33203125" style="64" customWidth="1"/>
    <col min="11496" max="11496" width="15.83203125" style="64" customWidth="1"/>
    <col min="11497" max="11497" width="15.1640625" style="64" customWidth="1"/>
    <col min="11498" max="11556" width="13.6640625" style="64" customWidth="1"/>
    <col min="11557" max="11748" width="9.1640625" style="64"/>
    <col min="11749" max="11749" width="5.5" style="64" customWidth="1"/>
    <col min="11750" max="11750" width="56.5" style="64" customWidth="1"/>
    <col min="11751" max="11751" width="15.33203125" style="64" customWidth="1"/>
    <col min="11752" max="11752" width="15.83203125" style="64" customWidth="1"/>
    <col min="11753" max="11753" width="15.1640625" style="64" customWidth="1"/>
    <col min="11754" max="11812" width="13.6640625" style="64" customWidth="1"/>
    <col min="11813" max="12004" width="9.1640625" style="64"/>
    <col min="12005" max="12005" width="5.5" style="64" customWidth="1"/>
    <col min="12006" max="12006" width="56.5" style="64" customWidth="1"/>
    <col min="12007" max="12007" width="15.33203125" style="64" customWidth="1"/>
    <col min="12008" max="12008" width="15.83203125" style="64" customWidth="1"/>
    <col min="12009" max="12009" width="15.1640625" style="64" customWidth="1"/>
    <col min="12010" max="12068" width="13.6640625" style="64" customWidth="1"/>
    <col min="12069" max="12260" width="9.1640625" style="64"/>
    <col min="12261" max="12261" width="5.5" style="64" customWidth="1"/>
    <col min="12262" max="12262" width="56.5" style="64" customWidth="1"/>
    <col min="12263" max="12263" width="15.33203125" style="64" customWidth="1"/>
    <col min="12264" max="12264" width="15.83203125" style="64" customWidth="1"/>
    <col min="12265" max="12265" width="15.1640625" style="64" customWidth="1"/>
    <col min="12266" max="12324" width="13.6640625" style="64" customWidth="1"/>
    <col min="12325" max="12516" width="9.1640625" style="64"/>
    <col min="12517" max="12517" width="5.5" style="64" customWidth="1"/>
    <col min="12518" max="12518" width="56.5" style="64" customWidth="1"/>
    <col min="12519" max="12519" width="15.33203125" style="64" customWidth="1"/>
    <col min="12520" max="12520" width="15.83203125" style="64" customWidth="1"/>
    <col min="12521" max="12521" width="15.1640625" style="64" customWidth="1"/>
    <col min="12522" max="12580" width="13.6640625" style="64" customWidth="1"/>
    <col min="12581" max="12772" width="9.1640625" style="64"/>
    <col min="12773" max="12773" width="5.5" style="64" customWidth="1"/>
    <col min="12774" max="12774" width="56.5" style="64" customWidth="1"/>
    <col min="12775" max="12775" width="15.33203125" style="64" customWidth="1"/>
    <col min="12776" max="12776" width="15.83203125" style="64" customWidth="1"/>
    <col min="12777" max="12777" width="15.1640625" style="64" customWidth="1"/>
    <col min="12778" max="12836" width="13.6640625" style="64" customWidth="1"/>
    <col min="12837" max="13028" width="9.1640625" style="64"/>
    <col min="13029" max="13029" width="5.5" style="64" customWidth="1"/>
    <col min="13030" max="13030" width="56.5" style="64" customWidth="1"/>
    <col min="13031" max="13031" width="15.33203125" style="64" customWidth="1"/>
    <col min="13032" max="13032" width="15.83203125" style="64" customWidth="1"/>
    <col min="13033" max="13033" width="15.1640625" style="64" customWidth="1"/>
    <col min="13034" max="13092" width="13.6640625" style="64" customWidth="1"/>
    <col min="13093" max="13284" width="9.1640625" style="64"/>
    <col min="13285" max="13285" width="5.5" style="64" customWidth="1"/>
    <col min="13286" max="13286" width="56.5" style="64" customWidth="1"/>
    <col min="13287" max="13287" width="15.33203125" style="64" customWidth="1"/>
    <col min="13288" max="13288" width="15.83203125" style="64" customWidth="1"/>
    <col min="13289" max="13289" width="15.1640625" style="64" customWidth="1"/>
    <col min="13290" max="13348" width="13.6640625" style="64" customWidth="1"/>
    <col min="13349" max="13540" width="9.1640625" style="64"/>
    <col min="13541" max="13541" width="5.5" style="64" customWidth="1"/>
    <col min="13542" max="13542" width="56.5" style="64" customWidth="1"/>
    <col min="13543" max="13543" width="15.33203125" style="64" customWidth="1"/>
    <col min="13544" max="13544" width="15.83203125" style="64" customWidth="1"/>
    <col min="13545" max="13545" width="15.1640625" style="64" customWidth="1"/>
    <col min="13546" max="13604" width="13.6640625" style="64" customWidth="1"/>
    <col min="13605" max="13796" width="9.1640625" style="64"/>
    <col min="13797" max="13797" width="5.5" style="64" customWidth="1"/>
    <col min="13798" max="13798" width="56.5" style="64" customWidth="1"/>
    <col min="13799" max="13799" width="15.33203125" style="64" customWidth="1"/>
    <col min="13800" max="13800" width="15.83203125" style="64" customWidth="1"/>
    <col min="13801" max="13801" width="15.1640625" style="64" customWidth="1"/>
    <col min="13802" max="13860" width="13.6640625" style="64" customWidth="1"/>
    <col min="13861" max="14052" width="9.1640625" style="64"/>
    <col min="14053" max="14053" width="5.5" style="64" customWidth="1"/>
    <col min="14054" max="14054" width="56.5" style="64" customWidth="1"/>
    <col min="14055" max="14055" width="15.33203125" style="64" customWidth="1"/>
    <col min="14056" max="14056" width="15.83203125" style="64" customWidth="1"/>
    <col min="14057" max="14057" width="15.1640625" style="64" customWidth="1"/>
    <col min="14058" max="14116" width="13.6640625" style="64" customWidth="1"/>
    <col min="14117" max="14308" width="9.1640625" style="64"/>
    <col min="14309" max="14309" width="5.5" style="64" customWidth="1"/>
    <col min="14310" max="14310" width="56.5" style="64" customWidth="1"/>
    <col min="14311" max="14311" width="15.33203125" style="64" customWidth="1"/>
    <col min="14312" max="14312" width="15.83203125" style="64" customWidth="1"/>
    <col min="14313" max="14313" width="15.1640625" style="64" customWidth="1"/>
    <col min="14314" max="14372" width="13.6640625" style="64" customWidth="1"/>
    <col min="14373" max="14564" width="9.1640625" style="64"/>
    <col min="14565" max="14565" width="5.5" style="64" customWidth="1"/>
    <col min="14566" max="14566" width="56.5" style="64" customWidth="1"/>
    <col min="14567" max="14567" width="15.33203125" style="64" customWidth="1"/>
    <col min="14568" max="14568" width="15.83203125" style="64" customWidth="1"/>
    <col min="14569" max="14569" width="15.1640625" style="64" customWidth="1"/>
    <col min="14570" max="14628" width="13.6640625" style="64" customWidth="1"/>
    <col min="14629" max="14820" width="9.1640625" style="64"/>
    <col min="14821" max="14821" width="5.5" style="64" customWidth="1"/>
    <col min="14822" max="14822" width="56.5" style="64" customWidth="1"/>
    <col min="14823" max="14823" width="15.33203125" style="64" customWidth="1"/>
    <col min="14824" max="14824" width="15.83203125" style="64" customWidth="1"/>
    <col min="14825" max="14825" width="15.1640625" style="64" customWidth="1"/>
    <col min="14826" max="14884" width="13.6640625" style="64" customWidth="1"/>
    <col min="14885" max="15076" width="9.1640625" style="64"/>
    <col min="15077" max="15077" width="5.5" style="64" customWidth="1"/>
    <col min="15078" max="15078" width="56.5" style="64" customWidth="1"/>
    <col min="15079" max="15079" width="15.33203125" style="64" customWidth="1"/>
    <col min="15080" max="15080" width="15.83203125" style="64" customWidth="1"/>
    <col min="15081" max="15081" width="15.1640625" style="64" customWidth="1"/>
    <col min="15082" max="15140" width="13.6640625" style="64" customWidth="1"/>
    <col min="15141" max="15332" width="9.1640625" style="64"/>
    <col min="15333" max="15333" width="5.5" style="64" customWidth="1"/>
    <col min="15334" max="15334" width="56.5" style="64" customWidth="1"/>
    <col min="15335" max="15335" width="15.33203125" style="64" customWidth="1"/>
    <col min="15336" max="15336" width="15.83203125" style="64" customWidth="1"/>
    <col min="15337" max="15337" width="15.1640625" style="64" customWidth="1"/>
    <col min="15338" max="15396" width="13.6640625" style="64" customWidth="1"/>
    <col min="15397" max="15588" width="9.1640625" style="64"/>
    <col min="15589" max="15589" width="5.5" style="64" customWidth="1"/>
    <col min="15590" max="15590" width="56.5" style="64" customWidth="1"/>
    <col min="15591" max="15591" width="15.33203125" style="64" customWidth="1"/>
    <col min="15592" max="15592" width="15.83203125" style="64" customWidth="1"/>
    <col min="15593" max="15593" width="15.1640625" style="64" customWidth="1"/>
    <col min="15594" max="15652" width="13.6640625" style="64" customWidth="1"/>
    <col min="15653" max="15844" width="9.1640625" style="64"/>
    <col min="15845" max="15845" width="5.5" style="64" customWidth="1"/>
    <col min="15846" max="15846" width="56.5" style="64" customWidth="1"/>
    <col min="15847" max="15847" width="15.33203125" style="64" customWidth="1"/>
    <col min="15848" max="15848" width="15.83203125" style="64" customWidth="1"/>
    <col min="15849" max="15849" width="15.1640625" style="64" customWidth="1"/>
    <col min="15850" max="15908" width="13.6640625" style="64" customWidth="1"/>
    <col min="15909" max="16100" width="9.1640625" style="64"/>
    <col min="16101" max="16101" width="5.5" style="64" customWidth="1"/>
    <col min="16102" max="16102" width="56.5" style="64" customWidth="1"/>
    <col min="16103" max="16103" width="15.33203125" style="64" customWidth="1"/>
    <col min="16104" max="16104" width="15.83203125" style="64" customWidth="1"/>
    <col min="16105" max="16105" width="15.1640625" style="64" customWidth="1"/>
    <col min="16106" max="16164" width="13.6640625" style="64" customWidth="1"/>
    <col min="16165" max="16384" width="9.1640625" style="64"/>
  </cols>
  <sheetData>
    <row r="1" spans="2:36" ht="16">
      <c r="F1" s="29" t="s">
        <v>70</v>
      </c>
    </row>
    <row r="2" spans="2:36" s="28" customFormat="1" ht="16">
      <c r="B2" s="30" t="s">
        <v>131</v>
      </c>
      <c r="C2" s="30"/>
      <c r="D2" s="30"/>
      <c r="E2" s="257" t="s">
        <v>65</v>
      </c>
      <c r="F2" s="31">
        <v>0</v>
      </c>
      <c r="G2" s="31">
        <v>1</v>
      </c>
      <c r="H2" s="31">
        <v>2</v>
      </c>
      <c r="I2" s="31">
        <v>3</v>
      </c>
      <c r="J2" s="31">
        <v>4</v>
      </c>
      <c r="K2" s="31">
        <v>5</v>
      </c>
      <c r="L2" s="31">
        <v>6</v>
      </c>
      <c r="M2" s="31">
        <v>7</v>
      </c>
      <c r="N2" s="31">
        <v>8</v>
      </c>
      <c r="O2" s="31">
        <v>9</v>
      </c>
      <c r="P2" s="31">
        <v>10</v>
      </c>
      <c r="Q2" s="31">
        <v>11</v>
      </c>
      <c r="R2" s="31">
        <v>12</v>
      </c>
      <c r="S2" s="31">
        <v>13</v>
      </c>
      <c r="T2" s="31">
        <v>14</v>
      </c>
      <c r="U2" s="31">
        <v>15</v>
      </c>
      <c r="V2" s="31">
        <v>16</v>
      </c>
      <c r="W2" s="31">
        <v>17</v>
      </c>
      <c r="X2" s="31">
        <v>18</v>
      </c>
      <c r="Y2" s="31">
        <v>19</v>
      </c>
      <c r="Z2" s="31">
        <v>20</v>
      </c>
      <c r="AA2" s="31">
        <v>21</v>
      </c>
      <c r="AB2" s="31">
        <v>22</v>
      </c>
      <c r="AC2" s="31">
        <v>23</v>
      </c>
      <c r="AD2" s="31">
        <v>24</v>
      </c>
      <c r="AE2" s="31">
        <v>25</v>
      </c>
      <c r="AF2" s="31">
        <v>26</v>
      </c>
      <c r="AG2" s="31">
        <v>27</v>
      </c>
      <c r="AH2" s="31">
        <v>28</v>
      </c>
      <c r="AI2" s="31">
        <v>29</v>
      </c>
      <c r="AJ2" s="31">
        <v>30</v>
      </c>
    </row>
    <row r="3" spans="2:36" s="28" customFormat="1" ht="16"/>
    <row r="4" spans="2:36" s="28" customFormat="1" ht="16">
      <c r="B4" s="28" t="s">
        <v>71</v>
      </c>
      <c r="E4" s="79"/>
      <c r="G4" s="323">
        <v>1</v>
      </c>
      <c r="H4" s="32">
        <f>G4*(1-Inputs!$G$14)</f>
        <v>0.995</v>
      </c>
      <c r="I4" s="32">
        <f>H4*(1-Inputs!$G$14)</f>
        <v>0.99002500000000004</v>
      </c>
      <c r="J4" s="32">
        <f>I4*(1-Inputs!$G$14)</f>
        <v>0.98507487500000002</v>
      </c>
      <c r="K4" s="32">
        <f>J4*(1-Inputs!$G$14)</f>
        <v>0.98014950062500006</v>
      </c>
      <c r="L4" s="32">
        <f>K4*(1-Inputs!$G$14)</f>
        <v>0.97524875312187509</v>
      </c>
      <c r="M4" s="32">
        <f>L4*(1-Inputs!$G$14)</f>
        <v>0.97037250935626573</v>
      </c>
      <c r="N4" s="32">
        <f>M4*(1-Inputs!$G$14)</f>
        <v>0.96552064680948435</v>
      </c>
      <c r="O4" s="32">
        <f>N4*(1-Inputs!$G$14)</f>
        <v>0.96069304357543694</v>
      </c>
      <c r="P4" s="32">
        <f>O4*(1-Inputs!$G$14)</f>
        <v>0.95588957835755972</v>
      </c>
      <c r="Q4" s="32">
        <f>P4*(1-Inputs!$G$14)</f>
        <v>0.95111013046577186</v>
      </c>
      <c r="R4" s="32">
        <f>Q4*(1-Inputs!$G$14)</f>
        <v>0.94635457981344295</v>
      </c>
      <c r="S4" s="32">
        <f>R4*(1-Inputs!$G$14)</f>
        <v>0.94162280691437572</v>
      </c>
      <c r="T4" s="32">
        <f>S4*(1-Inputs!$G$14)</f>
        <v>0.93691469287980389</v>
      </c>
      <c r="U4" s="32">
        <f>T4*(1-Inputs!$G$14)</f>
        <v>0.9322301194154049</v>
      </c>
      <c r="V4" s="32">
        <f>U4*(1-Inputs!$G$14)</f>
        <v>0.92756896881832784</v>
      </c>
      <c r="W4" s="32">
        <f>V4*(1-Inputs!$G$14)</f>
        <v>0.92293112397423616</v>
      </c>
      <c r="X4" s="32">
        <f>W4*(1-Inputs!$G$14)</f>
        <v>0.91831646835436498</v>
      </c>
      <c r="Y4" s="32">
        <f>X4*(1-Inputs!$G$14)</f>
        <v>0.91372488601259316</v>
      </c>
      <c r="Z4" s="32">
        <f>Y4*(1-Inputs!$G$14)</f>
        <v>0.90915626158253016</v>
      </c>
      <c r="AA4" s="32">
        <f>Z4*(1-Inputs!$G$14)</f>
        <v>0.90461048027461755</v>
      </c>
      <c r="AB4" s="32">
        <f>AA4*(1-Inputs!$G$14)</f>
        <v>0.90008742787324447</v>
      </c>
      <c r="AC4" s="32">
        <f>AB4*(1-Inputs!$G$14)</f>
        <v>0.89558699073387826</v>
      </c>
      <c r="AD4" s="32">
        <f>AC4*(1-Inputs!$G$14)</f>
        <v>0.89110905578020883</v>
      </c>
      <c r="AE4" s="32">
        <f>AD4*(1-Inputs!$G$14)</f>
        <v>0.88665351050130781</v>
      </c>
      <c r="AF4" s="32">
        <f>AE4*(1-Inputs!$G$14)</f>
        <v>0.8822202429488013</v>
      </c>
      <c r="AG4" s="32">
        <f>AF4*(1-Inputs!$G$14)</f>
        <v>0.87780914173405733</v>
      </c>
      <c r="AH4" s="32">
        <f>AG4*(1-Inputs!$G$14)</f>
        <v>0.87342009602538706</v>
      </c>
      <c r="AI4" s="32">
        <f>AH4*(1-Inputs!$G$14)</f>
        <v>0.86905299554526017</v>
      </c>
      <c r="AJ4" s="32">
        <f>AI4*(1-Inputs!$G$14)</f>
        <v>0.86470773056753381</v>
      </c>
    </row>
    <row r="5" spans="2:36" s="28" customFormat="1" ht="16">
      <c r="B5" s="33" t="s">
        <v>3</v>
      </c>
      <c r="C5" s="33"/>
      <c r="D5" s="33"/>
      <c r="E5" s="79" t="s">
        <v>2</v>
      </c>
      <c r="G5" s="34">
        <f>Inputs!$G$13</f>
        <v>3101353.9583999994</v>
      </c>
      <c r="H5" s="34">
        <f>IF(H$2&gt;Inputs!$G$15,0,Inputs!$G$13*H$4)</f>
        <v>3085847.1886079996</v>
      </c>
      <c r="I5" s="34">
        <f>IF(I$2&gt;Inputs!$G$15,0,Inputs!$G$13*I$4)</f>
        <v>3070417.9526649597</v>
      </c>
      <c r="J5" s="34">
        <f>IF(J$2&gt;Inputs!$G$15,0,Inputs!$G$13*J$4)</f>
        <v>3055065.8629016345</v>
      </c>
      <c r="K5" s="34">
        <f>IF(K$2&gt;Inputs!$G$15,0,Inputs!$G$13*K$4)</f>
        <v>3039790.5335871265</v>
      </c>
      <c r="L5" s="34">
        <f>IF(L$2&gt;Inputs!$G$15,0,Inputs!$G$13*L$4)</f>
        <v>3024591.5809191912</v>
      </c>
      <c r="M5" s="34">
        <f>IF(M$2&gt;Inputs!$G$15,0,Inputs!$G$13*M$4)</f>
        <v>3009468.6230145954</v>
      </c>
      <c r="N5" s="34">
        <f>IF(N$2&gt;Inputs!$G$15,0,Inputs!$G$13*N$4)</f>
        <v>2994421.2798995222</v>
      </c>
      <c r="O5" s="34">
        <f>IF(O$2&gt;Inputs!$G$15,0,Inputs!$G$13*O$4)</f>
        <v>2979449.1735000247</v>
      </c>
      <c r="P5" s="34">
        <f>IF(P$2&gt;Inputs!$G$15,0,Inputs!$G$13*P$4)</f>
        <v>2964551.9276325242</v>
      </c>
      <c r="Q5" s="34">
        <f>IF(Q$2&gt;Inputs!$G$15,0,Inputs!$G$13*Q$4)</f>
        <v>2949729.1679943614</v>
      </c>
      <c r="R5" s="34">
        <f>IF(R$2&gt;Inputs!$G$15,0,Inputs!$G$13*R$4)</f>
        <v>2934980.5221543894</v>
      </c>
      <c r="S5" s="34">
        <f>IF(S$2&gt;Inputs!$G$15,0,Inputs!$G$13*S$4)</f>
        <v>2920305.6195436176</v>
      </c>
      <c r="T5" s="34">
        <f>IF(T$2&gt;Inputs!$G$15,0,Inputs!$G$13*T$4)</f>
        <v>2905704.0914458996</v>
      </c>
      <c r="U5" s="34">
        <f>IF(U$2&gt;Inputs!$G$15,0,Inputs!$G$13*U$4)</f>
        <v>2891175.57098867</v>
      </c>
      <c r="V5" s="34">
        <f>IF(V$2&gt;Inputs!$G$15,0,Inputs!$G$13*V$4)</f>
        <v>2876719.6931337267</v>
      </c>
      <c r="W5" s="34">
        <f>IF(W$2&gt;Inputs!$G$15,0,Inputs!$G$13*W$4)</f>
        <v>2862336.0946680577</v>
      </c>
      <c r="X5" s="34">
        <f>IF(X$2&gt;Inputs!$G$15,0,Inputs!$G$13*X$4)</f>
        <v>2848024.4141947175</v>
      </c>
      <c r="Y5" s="34">
        <f>IF(Y$2&gt;Inputs!$G$15,0,Inputs!$G$13*Y$4)</f>
        <v>2833784.2921237443</v>
      </c>
      <c r="Z5" s="34">
        <f>IF(Z$2&gt;Inputs!$G$15,0,Inputs!$G$13*Z$4)</f>
        <v>2819615.3706631251</v>
      </c>
      <c r="AA5" s="34">
        <f>IF(AA$2&gt;Inputs!$G$15,0,Inputs!$G$13*AA$4)</f>
        <v>2805517.2938098097</v>
      </c>
      <c r="AB5" s="34">
        <f>IF(AB$2&gt;Inputs!$G$15,0,Inputs!$G$13*AB$4)</f>
        <v>2791489.7073407606</v>
      </c>
      <c r="AC5" s="34">
        <f>IF(AC$2&gt;Inputs!$G$15,0,Inputs!$G$13*AC$4)</f>
        <v>2777532.2588040568</v>
      </c>
      <c r="AD5" s="34">
        <f>IF(AD$2&gt;Inputs!$G$15,0,Inputs!$G$13*AD$4)</f>
        <v>2763644.5975100365</v>
      </c>
      <c r="AE5" s="34">
        <f>IF(AE$2&gt;Inputs!$G$15,0,Inputs!$G$13*AE$4)</f>
        <v>2749826.3745224862</v>
      </c>
      <c r="AF5" s="34">
        <f>IF(AF$2&gt;Inputs!$G$15,0,Inputs!$G$13*AF$4)</f>
        <v>0</v>
      </c>
      <c r="AG5" s="34">
        <f>IF(AG$2&gt;Inputs!$G$15,0,Inputs!$G$13*AG$4)</f>
        <v>0</v>
      </c>
      <c r="AH5" s="34">
        <f>IF(AH$2&gt;Inputs!$G$15,0,Inputs!$G$13*AH$4)</f>
        <v>0</v>
      </c>
      <c r="AI5" s="34">
        <f>IF(AI$2&gt;Inputs!$G$15,0,Inputs!$G$13*AI$4)</f>
        <v>0</v>
      </c>
      <c r="AJ5" s="34">
        <f>IF(AJ$2&gt;Inputs!$G$15,0,Inputs!$G$13*AJ$4)</f>
        <v>0</v>
      </c>
    </row>
    <row r="6" spans="2:36" s="28" customFormat="1" ht="16">
      <c r="B6" s="33"/>
      <c r="C6" s="33"/>
      <c r="D6" s="33"/>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row>
    <row r="7" spans="2:36" s="28" customFormat="1" ht="16">
      <c r="B7" s="33" t="s">
        <v>108</v>
      </c>
      <c r="C7" s="33"/>
      <c r="D7" s="33"/>
      <c r="E7" s="79"/>
    </row>
    <row r="8" spans="2:36" s="28" customFormat="1" ht="16">
      <c r="B8" s="28" t="s">
        <v>110</v>
      </c>
      <c r="E8" s="79"/>
      <c r="G8" s="323">
        <v>1</v>
      </c>
      <c r="H8" s="32">
        <f>G8*(1+(Inputs!$Q$10*Inputs!$Q$9))</f>
        <v>1</v>
      </c>
      <c r="I8" s="32">
        <f>H8*(1+(Inputs!$Q$10*Inputs!$Q$9))</f>
        <v>1</v>
      </c>
      <c r="J8" s="32">
        <f>I8*(1+(Inputs!$Q$10*Inputs!$Q$9))</f>
        <v>1</v>
      </c>
      <c r="K8" s="32">
        <f>J8*(1+(Inputs!$Q$10*Inputs!$Q$9))</f>
        <v>1</v>
      </c>
      <c r="L8" s="32">
        <f>K8*(1+(Inputs!$Q$10*Inputs!$Q$9))</f>
        <v>1</v>
      </c>
      <c r="M8" s="32">
        <f>L8*(1+(Inputs!$Q$10*Inputs!$Q$9))</f>
        <v>1</v>
      </c>
      <c r="N8" s="32">
        <f>M8*(1+(Inputs!$Q$10*Inputs!$Q$9))</f>
        <v>1</v>
      </c>
      <c r="O8" s="32">
        <f>N8*(1+(Inputs!$Q$10*Inputs!$Q$9))</f>
        <v>1</v>
      </c>
      <c r="P8" s="32">
        <f>O8*(1+(Inputs!$Q$10*Inputs!$Q$9))</f>
        <v>1</v>
      </c>
      <c r="Q8" s="32">
        <f>P8*(1+(Inputs!$Q$10*Inputs!$Q$9))</f>
        <v>1</v>
      </c>
      <c r="R8" s="32">
        <f>Q8*(1+(Inputs!$Q$10*Inputs!$Q$9))</f>
        <v>1</v>
      </c>
      <c r="S8" s="32">
        <f>R8*(1+(Inputs!$Q$10*Inputs!$Q$9))</f>
        <v>1</v>
      </c>
      <c r="T8" s="32">
        <f>S8*(1+(Inputs!$Q$10*Inputs!$Q$9))</f>
        <v>1</v>
      </c>
      <c r="U8" s="32">
        <f>T8*(1+(Inputs!$Q$10*Inputs!$Q$9))</f>
        <v>1</v>
      </c>
      <c r="V8" s="32">
        <f>U8*(1+(Inputs!$Q$10*Inputs!$Q$9))</f>
        <v>1</v>
      </c>
      <c r="W8" s="32">
        <f>V8*(1+(Inputs!$Q$10*Inputs!$Q$9))</f>
        <v>1</v>
      </c>
      <c r="X8" s="32">
        <f>W8*(1+(Inputs!$Q$10*Inputs!$Q$9))</f>
        <v>1</v>
      </c>
      <c r="Y8" s="32">
        <f>X8*(1+(Inputs!$Q$10*Inputs!$Q$9))</f>
        <v>1</v>
      </c>
      <c r="Z8" s="32">
        <f>Y8*(1+(Inputs!$Q$10*Inputs!$Q$9))</f>
        <v>1</v>
      </c>
      <c r="AA8" s="32">
        <f>Z8*(1+(Inputs!$Q$10*Inputs!$Q$9))</f>
        <v>1</v>
      </c>
      <c r="AB8" s="32">
        <f>AA8*(1+(Inputs!$Q$10*Inputs!$Q$9))</f>
        <v>1</v>
      </c>
      <c r="AC8" s="32">
        <f>AB8*(1+(Inputs!$Q$10*Inputs!$Q$9))</f>
        <v>1</v>
      </c>
      <c r="AD8" s="32">
        <f>AC8*(1+(Inputs!$Q$10*Inputs!$Q$9))</f>
        <v>1</v>
      </c>
      <c r="AE8" s="32">
        <f>AD8*(1+(Inputs!$Q$10*Inputs!$Q$9))</f>
        <v>1</v>
      </c>
      <c r="AF8" s="32">
        <f>AE8*(1+(Inputs!$Q$10*Inputs!$Q$9))</f>
        <v>1</v>
      </c>
      <c r="AG8" s="32">
        <f>AF8*(1+(Inputs!$Q$10*Inputs!$Q$9))</f>
        <v>1</v>
      </c>
      <c r="AH8" s="32">
        <f>AG8*(1+(Inputs!$Q$10*Inputs!$Q$9))</f>
        <v>1</v>
      </c>
      <c r="AI8" s="32">
        <f>AH8*(1+(Inputs!$Q$10*Inputs!$Q$9))</f>
        <v>1</v>
      </c>
      <c r="AJ8" s="32">
        <f>AI8*(1+(Inputs!$Q$10*Inputs!$Q$9))</f>
        <v>1</v>
      </c>
    </row>
    <row r="9" spans="2:36" s="28" customFormat="1" ht="16">
      <c r="B9" s="28" t="s">
        <v>150</v>
      </c>
      <c r="E9" s="79"/>
      <c r="G9" s="323">
        <v>1</v>
      </c>
      <c r="H9" s="32">
        <f>G9*(1+Inputs!$Q$28)</f>
        <v>1.02</v>
      </c>
      <c r="I9" s="32">
        <f>H9*(1+Inputs!$Q$28)</f>
        <v>1.0404</v>
      </c>
      <c r="J9" s="32">
        <f>I9*(1+Inputs!$Q$28)</f>
        <v>1.0612079999999999</v>
      </c>
      <c r="K9" s="32">
        <f>J9*(1+Inputs!$Q$28)</f>
        <v>1.08243216</v>
      </c>
      <c r="L9" s="32">
        <f>K9*(1+Inputs!$Q$28)</f>
        <v>1.1040808032</v>
      </c>
      <c r="M9" s="32">
        <f>L9*(1+Inputs!$Q$28)</f>
        <v>1.1261624192640001</v>
      </c>
      <c r="N9" s="32">
        <f>M9*(1+Inputs!$Q$28)</f>
        <v>1.14868566764928</v>
      </c>
      <c r="O9" s="32">
        <f>N9*(1+Inputs!$Q$28)</f>
        <v>1.1716593810022657</v>
      </c>
      <c r="P9" s="32">
        <f>O9*(1+Inputs!$Q$28)</f>
        <v>1.1950925686223111</v>
      </c>
      <c r="Q9" s="32">
        <f>P9*(1+Inputs!$Q$28)</f>
        <v>1.2189944199947573</v>
      </c>
      <c r="R9" s="32">
        <f>Q9*(1+Inputs!$Q$28)</f>
        <v>1.2433743083946525</v>
      </c>
      <c r="S9" s="32">
        <f>R9*(1+Inputs!$Q$28)</f>
        <v>1.2682417945625455</v>
      </c>
      <c r="T9" s="32">
        <f>S9*(1+Inputs!$Q$28)</f>
        <v>1.2936066304537963</v>
      </c>
      <c r="U9" s="32">
        <f>T9*(1+Inputs!$Q$28)</f>
        <v>1.3194787630628724</v>
      </c>
      <c r="V9" s="32">
        <f>U9*(1+Inputs!$Q$28)</f>
        <v>1.3458683383241299</v>
      </c>
      <c r="W9" s="32">
        <f>V9*(1+Inputs!$Q$28)</f>
        <v>1.3727857050906125</v>
      </c>
      <c r="X9" s="32">
        <f>W9*(1+Inputs!$Q$28)</f>
        <v>1.4002414191924248</v>
      </c>
      <c r="Y9" s="32">
        <f>X9*(1+Inputs!$Q$28)</f>
        <v>1.4282462475762734</v>
      </c>
      <c r="Z9" s="32">
        <f>Y9*(1+Inputs!$Q$28)</f>
        <v>1.4568111725277988</v>
      </c>
      <c r="AA9" s="32">
        <f>Z9*(1+Inputs!$Q$28)</f>
        <v>1.4859473959783549</v>
      </c>
      <c r="AB9" s="32">
        <f>AA9*(1+Inputs!$Q$28)</f>
        <v>1.5156663438979221</v>
      </c>
      <c r="AC9" s="32">
        <f>AB9*(1+Inputs!$Q$28)</f>
        <v>1.5459796707758806</v>
      </c>
      <c r="AD9" s="32">
        <f>AC9*(1+Inputs!$Q$28)</f>
        <v>1.5768992641913981</v>
      </c>
      <c r="AE9" s="32">
        <f>AD9*(1+Inputs!$Q$28)</f>
        <v>1.6084372494752261</v>
      </c>
      <c r="AF9" s="32">
        <f>AE9*(1+Inputs!$Q$28)</f>
        <v>1.6406059944647307</v>
      </c>
      <c r="AG9" s="32">
        <f>AF9*(1+Inputs!$Q$28)</f>
        <v>1.6734181143540252</v>
      </c>
      <c r="AH9" s="32">
        <f>AG9*(1+Inputs!$Q$28)</f>
        <v>1.7068864766411058</v>
      </c>
      <c r="AI9" s="32">
        <f>AH9*(1+Inputs!$Q$28)</f>
        <v>1.7410242061739281</v>
      </c>
      <c r="AJ9" s="32">
        <f>AI9*(1+Inputs!$Q$28)</f>
        <v>1.7758446902974065</v>
      </c>
    </row>
    <row r="10" spans="2:36" s="28" customFormat="1" ht="16">
      <c r="B10" s="28" t="s">
        <v>151</v>
      </c>
      <c r="E10" s="79"/>
      <c r="G10" s="323">
        <v>1</v>
      </c>
      <c r="H10" s="32">
        <f>G10*(1+Inputs!$Q$44)</f>
        <v>1.02</v>
      </c>
      <c r="I10" s="32">
        <f>H10*(1+Inputs!$Q$44)</f>
        <v>1.0404</v>
      </c>
      <c r="J10" s="32">
        <f>I10*(1+Inputs!$Q$44)</f>
        <v>1.0612079999999999</v>
      </c>
      <c r="K10" s="32">
        <f>J10*(1+Inputs!$Q$44)</f>
        <v>1.08243216</v>
      </c>
      <c r="L10" s="32">
        <f>K10*(1+Inputs!$Q$44)</f>
        <v>1.1040808032</v>
      </c>
      <c r="M10" s="32">
        <f>L10*(1+Inputs!$Q$44)</f>
        <v>1.1261624192640001</v>
      </c>
      <c r="N10" s="32">
        <f>M10*(1+Inputs!$Q$44)</f>
        <v>1.14868566764928</v>
      </c>
      <c r="O10" s="32">
        <f>N10*(1+Inputs!$Q$44)</f>
        <v>1.1716593810022657</v>
      </c>
      <c r="P10" s="32">
        <f>O10*(1+Inputs!$Q$44)</f>
        <v>1.1950925686223111</v>
      </c>
      <c r="Q10" s="32">
        <f>P10*(1+Inputs!$Q$44)</f>
        <v>1.2189944199947573</v>
      </c>
      <c r="R10" s="32">
        <f>Q10*(1+Inputs!$Q$44)</f>
        <v>1.2433743083946525</v>
      </c>
      <c r="S10" s="32">
        <f>R10*(1+Inputs!$Q$44)</f>
        <v>1.2682417945625455</v>
      </c>
      <c r="T10" s="32">
        <f>S10*(1+Inputs!$Q$44)</f>
        <v>1.2936066304537963</v>
      </c>
      <c r="U10" s="32">
        <f>T10*(1+Inputs!$Q$44)</f>
        <v>1.3194787630628724</v>
      </c>
      <c r="V10" s="32">
        <f>U10*(1+Inputs!$Q$44)</f>
        <v>1.3458683383241299</v>
      </c>
      <c r="W10" s="32">
        <f>V10*(1+Inputs!$Q$44)</f>
        <v>1.3727857050906125</v>
      </c>
      <c r="X10" s="32">
        <f>W10*(1+Inputs!$Q$44)</f>
        <v>1.4002414191924248</v>
      </c>
      <c r="Y10" s="32">
        <f>X10*(1+Inputs!$Q$44)</f>
        <v>1.4282462475762734</v>
      </c>
      <c r="Z10" s="32">
        <f>Y10*(1+Inputs!$Q$44)</f>
        <v>1.4568111725277988</v>
      </c>
      <c r="AA10" s="32">
        <f>Z10*(1+Inputs!$Q$44)</f>
        <v>1.4859473959783549</v>
      </c>
      <c r="AB10" s="32">
        <f>AA10*(1+Inputs!$Q$44)</f>
        <v>1.5156663438979221</v>
      </c>
      <c r="AC10" s="32">
        <f>AB10*(1+Inputs!$Q$44)</f>
        <v>1.5459796707758806</v>
      </c>
      <c r="AD10" s="32">
        <f>AC10*(1+Inputs!$Q$44)</f>
        <v>1.5768992641913981</v>
      </c>
      <c r="AE10" s="32">
        <f>AD10*(1+Inputs!$Q$44)</f>
        <v>1.6084372494752261</v>
      </c>
      <c r="AF10" s="32">
        <f>AE10*(1+Inputs!$Q$44)</f>
        <v>1.6406059944647307</v>
      </c>
      <c r="AG10" s="32">
        <f>AF10*(1+Inputs!$Q$44)</f>
        <v>1.6734181143540252</v>
      </c>
      <c r="AH10" s="32">
        <f>AG10*(1+Inputs!$Q$44)</f>
        <v>1.7068864766411058</v>
      </c>
      <c r="AI10" s="32">
        <f>AH10*(1+Inputs!$Q$44)</f>
        <v>1.7410242061739281</v>
      </c>
      <c r="AJ10" s="32">
        <f>AI10*(1+Inputs!$Q$44)</f>
        <v>1.7758446902974065</v>
      </c>
    </row>
    <row r="11" spans="2:36" s="28" customFormat="1" ht="16">
      <c r="E11" s="79"/>
      <c r="F11" s="79"/>
      <c r="G11" s="88"/>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spans="2:36" s="28" customFormat="1" ht="16">
      <c r="B12" s="35" t="s">
        <v>283</v>
      </c>
      <c r="C12" s="35"/>
      <c r="D12" s="35"/>
      <c r="E12" s="79" t="s">
        <v>56</v>
      </c>
      <c r="F12" s="382">
        <f>1-F13</f>
        <v>1</v>
      </c>
      <c r="G12" s="90">
        <f>$G$72*$F12</f>
        <v>32.049999999999997</v>
      </c>
      <c r="H12" s="90">
        <f>IF(H2&gt;Inputs!$Q$8,0,G12)</f>
        <v>32.049999999999997</v>
      </c>
      <c r="I12" s="90">
        <f>IF(I2&gt;Inputs!$Q$8,0,H12)</f>
        <v>32.049999999999997</v>
      </c>
      <c r="J12" s="90">
        <f>IF(J2&gt;Inputs!$Q$8,0,I12)</f>
        <v>32.049999999999997</v>
      </c>
      <c r="K12" s="90">
        <f>IF(K2&gt;Inputs!$Q$8,0,J12)</f>
        <v>32.049999999999997</v>
      </c>
      <c r="L12" s="90">
        <f>IF(L2&gt;Inputs!$Q$8,0,K12)</f>
        <v>32.049999999999997</v>
      </c>
      <c r="M12" s="90">
        <f>IF(M2&gt;Inputs!$Q$8,0,L12)</f>
        <v>32.049999999999997</v>
      </c>
      <c r="N12" s="90">
        <f>IF(N2&gt;Inputs!$Q$8,0,M12)</f>
        <v>32.049999999999997</v>
      </c>
      <c r="O12" s="90">
        <f>IF(O2&gt;Inputs!$Q$8,0,N12)</f>
        <v>32.049999999999997</v>
      </c>
      <c r="P12" s="90">
        <f>IF(P2&gt;Inputs!$Q$8,0,O12)</f>
        <v>32.049999999999997</v>
      </c>
      <c r="Q12" s="90">
        <f>IF(Q2&gt;Inputs!$Q$8,0,P12)</f>
        <v>32.049999999999997</v>
      </c>
      <c r="R12" s="90">
        <f>IF(R2&gt;Inputs!$Q$8,0,Q12)</f>
        <v>32.049999999999997</v>
      </c>
      <c r="S12" s="90">
        <f>IF(S2&gt;Inputs!$Q$8,0,R12)</f>
        <v>32.049999999999997</v>
      </c>
      <c r="T12" s="90">
        <f>IF(T2&gt;Inputs!$Q$8,0,S12)</f>
        <v>32.049999999999997</v>
      </c>
      <c r="U12" s="90">
        <f>IF(U2&gt;Inputs!$Q$8,0,T12)</f>
        <v>32.049999999999997</v>
      </c>
      <c r="V12" s="90">
        <f>IF(V2&gt;Inputs!$Q$8,0,U12)</f>
        <v>32.049999999999997</v>
      </c>
      <c r="W12" s="90">
        <f>IF(W2&gt;Inputs!$Q$8,0,V12)</f>
        <v>32.049999999999997</v>
      </c>
      <c r="X12" s="90">
        <f>IF(X2&gt;Inputs!$Q$8,0,W12)</f>
        <v>32.049999999999997</v>
      </c>
      <c r="Y12" s="90">
        <f>IF(Y2&gt;Inputs!$Q$8,0,X12)</f>
        <v>32.049999999999997</v>
      </c>
      <c r="Z12" s="90">
        <f>IF(Z2&gt;Inputs!$Q$8,0,Y12)</f>
        <v>32.049999999999997</v>
      </c>
      <c r="AA12" s="90">
        <f>IF(AA2&gt;Inputs!$Q$8,0,Z12)</f>
        <v>32.049999999999997</v>
      </c>
      <c r="AB12" s="90">
        <f>IF(AB2&gt;Inputs!$Q$8,0,AA12)</f>
        <v>32.049999999999997</v>
      </c>
      <c r="AC12" s="90">
        <f>IF(AC2&gt;Inputs!$Q$8,0,AB12)</f>
        <v>32.049999999999997</v>
      </c>
      <c r="AD12" s="90">
        <f>IF(AD2&gt;Inputs!$Q$8,0,AC12)</f>
        <v>32.049999999999997</v>
      </c>
      <c r="AE12" s="90">
        <f>IF(AE2&gt;Inputs!$Q$8,0,AD12)</f>
        <v>32.049999999999997</v>
      </c>
      <c r="AF12" s="90">
        <f>IF(AF2&gt;Inputs!$Q$8,0,AE12)</f>
        <v>0</v>
      </c>
      <c r="AG12" s="90">
        <f>IF(AG2&gt;Inputs!$Q$8,0,AF12)</f>
        <v>0</v>
      </c>
      <c r="AH12" s="90">
        <f>IF(AH2&gt;Inputs!$Q$8,0,AG12)</f>
        <v>0</v>
      </c>
      <c r="AI12" s="90">
        <f>IF(AI2&gt;Inputs!$Q$8,0,AH12)</f>
        <v>0</v>
      </c>
      <c r="AJ12" s="90">
        <f>IF(AJ2&gt;Inputs!$Q$8,0,AI12)</f>
        <v>0</v>
      </c>
    </row>
    <row r="13" spans="2:36" s="28" customFormat="1" ht="16">
      <c r="B13" s="383" t="s">
        <v>285</v>
      </c>
      <c r="C13" s="383"/>
      <c r="D13" s="383"/>
      <c r="E13" s="79" t="s">
        <v>56</v>
      </c>
      <c r="F13" s="381">
        <f>Inputs!Q9</f>
        <v>0</v>
      </c>
      <c r="G13" s="384">
        <f>$G$72*$F13</f>
        <v>0</v>
      </c>
      <c r="H13" s="384">
        <f>IF(H2&gt;Inputs!$Q$8,0,G13*(1+Inputs!$Q$10))</f>
        <v>0</v>
      </c>
      <c r="I13" s="384">
        <f>IF(I2&gt;Inputs!$Q$8,0,H13*(1+Inputs!$Q$10))</f>
        <v>0</v>
      </c>
      <c r="J13" s="384">
        <f>IF(J2&gt;Inputs!$Q$8,0,I13*(1+Inputs!$Q$10))</f>
        <v>0</v>
      </c>
      <c r="K13" s="384">
        <f>IF(K2&gt;Inputs!$Q$8,0,J13*(1+Inputs!$Q$10))</f>
        <v>0</v>
      </c>
      <c r="L13" s="384">
        <f>IF(L2&gt;Inputs!$Q$8,0,K13*(1+Inputs!$Q$10))</f>
        <v>0</v>
      </c>
      <c r="M13" s="384">
        <f>IF(M2&gt;Inputs!$Q$8,0,L13*(1+Inputs!$Q$10))</f>
        <v>0</v>
      </c>
      <c r="N13" s="384">
        <f>IF(N2&gt;Inputs!$Q$8,0,M13*(1+Inputs!$Q$10))</f>
        <v>0</v>
      </c>
      <c r="O13" s="384">
        <f>IF(O2&gt;Inputs!$Q$8,0,N13*(1+Inputs!$Q$10))</f>
        <v>0</v>
      </c>
      <c r="P13" s="384">
        <f>IF(P2&gt;Inputs!$Q$8,0,O13*(1+Inputs!$Q$10))</f>
        <v>0</v>
      </c>
      <c r="Q13" s="384">
        <f>IF(Q2&gt;Inputs!$Q$8,0,P13*(1+Inputs!$Q$10))</f>
        <v>0</v>
      </c>
      <c r="R13" s="384">
        <f>IF(R2&gt;Inputs!$Q$8,0,Q13*(1+Inputs!$Q$10))</f>
        <v>0</v>
      </c>
      <c r="S13" s="384">
        <f>IF(S2&gt;Inputs!$Q$8,0,R13*(1+Inputs!$Q$10))</f>
        <v>0</v>
      </c>
      <c r="T13" s="384">
        <f>IF(T2&gt;Inputs!$Q$8,0,S13*(1+Inputs!$Q$10))</f>
        <v>0</v>
      </c>
      <c r="U13" s="384">
        <f>IF(U2&gt;Inputs!$Q$8,0,T13*(1+Inputs!$Q$10))</f>
        <v>0</v>
      </c>
      <c r="V13" s="384">
        <f>IF(V2&gt;Inputs!$Q$8,0,U13*(1+Inputs!$Q$10))</f>
        <v>0</v>
      </c>
      <c r="W13" s="384">
        <f>IF(W2&gt;Inputs!$Q$8,0,V13*(1+Inputs!$Q$10))</f>
        <v>0</v>
      </c>
      <c r="X13" s="384">
        <f>IF(X2&gt;Inputs!$Q$8,0,W13*(1+Inputs!$Q$10))</f>
        <v>0</v>
      </c>
      <c r="Y13" s="384">
        <f>IF(Y2&gt;Inputs!$Q$8,0,X13*(1+Inputs!$Q$10))</f>
        <v>0</v>
      </c>
      <c r="Z13" s="384">
        <f>IF(Z2&gt;Inputs!$Q$8,0,Y13*(1+Inputs!$Q$10))</f>
        <v>0</v>
      </c>
      <c r="AA13" s="384">
        <f>IF(AA2&gt;Inputs!$Q$8,0,Z13*(1+Inputs!$Q$10))</f>
        <v>0</v>
      </c>
      <c r="AB13" s="384">
        <f>IF(AB2&gt;Inputs!$Q$8,0,AA13*(1+Inputs!$Q$10))</f>
        <v>0</v>
      </c>
      <c r="AC13" s="384">
        <f>IF(AC2&gt;Inputs!$Q$8,0,AB13*(1+Inputs!$Q$10))</f>
        <v>0</v>
      </c>
      <c r="AD13" s="384">
        <f>IF(AD2&gt;Inputs!$Q$8,0,AC13*(1+Inputs!$Q$10))</f>
        <v>0</v>
      </c>
      <c r="AE13" s="384">
        <f>IF(AE2&gt;Inputs!$Q$8,0,AD13*(1+Inputs!$Q$10))</f>
        <v>0</v>
      </c>
      <c r="AF13" s="384">
        <f>IF(AF2&gt;Inputs!$Q$8,0,AE13*(1+Inputs!$Q$10))</f>
        <v>0</v>
      </c>
      <c r="AG13" s="384">
        <f>IF(AG2&gt;Inputs!$Q$8,0,AF13*(1+Inputs!$Q$10))</f>
        <v>0</v>
      </c>
      <c r="AH13" s="384">
        <f>IF(AH2&gt;Inputs!$Q$8,0,AG13*(1+Inputs!$Q$10))</f>
        <v>0</v>
      </c>
      <c r="AI13" s="384">
        <f>IF(AI2&gt;Inputs!$Q$8,0,AH13*(1+Inputs!$Q$10))</f>
        <v>0</v>
      </c>
      <c r="AJ13" s="384">
        <f>IF(AJ2&gt;Inputs!$Q$8,0,AI13*(1+Inputs!$Q$10))</f>
        <v>0</v>
      </c>
    </row>
    <row r="14" spans="2:36" s="28" customFormat="1" ht="16">
      <c r="B14" s="35" t="s">
        <v>284</v>
      </c>
      <c r="C14" s="35"/>
      <c r="D14" s="35"/>
      <c r="E14" s="79" t="s">
        <v>56</v>
      </c>
      <c r="F14" s="94"/>
      <c r="G14" s="90">
        <f>SUM(G12:G13)</f>
        <v>32.049999999999997</v>
      </c>
      <c r="H14" s="90">
        <f t="shared" ref="H14:AJ14" si="0">SUM(H12:H13)</f>
        <v>32.049999999999997</v>
      </c>
      <c r="I14" s="90">
        <f t="shared" si="0"/>
        <v>32.049999999999997</v>
      </c>
      <c r="J14" s="90">
        <f t="shared" si="0"/>
        <v>32.049999999999997</v>
      </c>
      <c r="K14" s="90">
        <f t="shared" si="0"/>
        <v>32.049999999999997</v>
      </c>
      <c r="L14" s="90">
        <f t="shared" si="0"/>
        <v>32.049999999999997</v>
      </c>
      <c r="M14" s="90">
        <f t="shared" si="0"/>
        <v>32.049999999999997</v>
      </c>
      <c r="N14" s="90">
        <f t="shared" si="0"/>
        <v>32.049999999999997</v>
      </c>
      <c r="O14" s="90">
        <f t="shared" si="0"/>
        <v>32.049999999999997</v>
      </c>
      <c r="P14" s="90">
        <f t="shared" si="0"/>
        <v>32.049999999999997</v>
      </c>
      <c r="Q14" s="90">
        <f t="shared" si="0"/>
        <v>32.049999999999997</v>
      </c>
      <c r="R14" s="90">
        <f t="shared" si="0"/>
        <v>32.049999999999997</v>
      </c>
      <c r="S14" s="90">
        <f t="shared" si="0"/>
        <v>32.049999999999997</v>
      </c>
      <c r="T14" s="90">
        <f t="shared" si="0"/>
        <v>32.049999999999997</v>
      </c>
      <c r="U14" s="90">
        <f t="shared" si="0"/>
        <v>32.049999999999997</v>
      </c>
      <c r="V14" s="90">
        <f t="shared" si="0"/>
        <v>32.049999999999997</v>
      </c>
      <c r="W14" s="90">
        <f t="shared" si="0"/>
        <v>32.049999999999997</v>
      </c>
      <c r="X14" s="90">
        <f t="shared" si="0"/>
        <v>32.049999999999997</v>
      </c>
      <c r="Y14" s="90">
        <f t="shared" si="0"/>
        <v>32.049999999999997</v>
      </c>
      <c r="Z14" s="90">
        <f t="shared" si="0"/>
        <v>32.049999999999997</v>
      </c>
      <c r="AA14" s="90">
        <f t="shared" si="0"/>
        <v>32.049999999999997</v>
      </c>
      <c r="AB14" s="90">
        <f t="shared" si="0"/>
        <v>32.049999999999997</v>
      </c>
      <c r="AC14" s="90">
        <f t="shared" si="0"/>
        <v>32.049999999999997</v>
      </c>
      <c r="AD14" s="90">
        <f t="shared" si="0"/>
        <v>32.049999999999997</v>
      </c>
      <c r="AE14" s="90">
        <f t="shared" si="0"/>
        <v>32.049999999999997</v>
      </c>
      <c r="AF14" s="90">
        <f t="shared" si="0"/>
        <v>0</v>
      </c>
      <c r="AG14" s="90">
        <f t="shared" si="0"/>
        <v>0</v>
      </c>
      <c r="AH14" s="90">
        <f t="shared" si="0"/>
        <v>0</v>
      </c>
      <c r="AI14" s="90">
        <f t="shared" si="0"/>
        <v>0</v>
      </c>
      <c r="AJ14" s="90">
        <f t="shared" si="0"/>
        <v>0</v>
      </c>
    </row>
    <row r="15" spans="2:36" s="28" customFormat="1" ht="16">
      <c r="B15" s="35" t="s">
        <v>111</v>
      </c>
      <c r="C15" s="35"/>
      <c r="D15" s="35"/>
      <c r="E15" s="76" t="s">
        <v>0</v>
      </c>
      <c r="F15" s="35"/>
      <c r="G15" s="36">
        <f>(G$14*G$5)/100</f>
        <v>993983.94366719981</v>
      </c>
      <c r="H15" s="36">
        <f t="shared" ref="H15:AJ15" si="1">(H$14*H$5)/100</f>
        <v>989014.02394886373</v>
      </c>
      <c r="I15" s="36">
        <f t="shared" si="1"/>
        <v>984068.95382911945</v>
      </c>
      <c r="J15" s="36">
        <f t="shared" si="1"/>
        <v>979148.60905997385</v>
      </c>
      <c r="K15" s="36">
        <f t="shared" si="1"/>
        <v>974252.86601467396</v>
      </c>
      <c r="L15" s="36">
        <f t="shared" si="1"/>
        <v>969381.6016846007</v>
      </c>
      <c r="M15" s="36">
        <f t="shared" si="1"/>
        <v>964534.69367617776</v>
      </c>
      <c r="N15" s="36">
        <f t="shared" si="1"/>
        <v>959712.02020779683</v>
      </c>
      <c r="O15" s="36">
        <f t="shared" si="1"/>
        <v>954913.46010675794</v>
      </c>
      <c r="P15" s="36">
        <f t="shared" si="1"/>
        <v>950138.89280622394</v>
      </c>
      <c r="Q15" s="36">
        <f t="shared" si="1"/>
        <v>945388.1983421928</v>
      </c>
      <c r="R15" s="36">
        <f t="shared" si="1"/>
        <v>940661.2573504817</v>
      </c>
      <c r="S15" s="36">
        <f t="shared" si="1"/>
        <v>935957.95106372936</v>
      </c>
      <c r="T15" s="36">
        <f t="shared" si="1"/>
        <v>931278.16130841081</v>
      </c>
      <c r="U15" s="36">
        <f t="shared" si="1"/>
        <v>926621.77050186857</v>
      </c>
      <c r="V15" s="36">
        <f t="shared" si="1"/>
        <v>921988.66164935927</v>
      </c>
      <c r="W15" s="36">
        <f t="shared" si="1"/>
        <v>917378.71834111249</v>
      </c>
      <c r="X15" s="36">
        <f t="shared" si="1"/>
        <v>912791.82474940689</v>
      </c>
      <c r="Y15" s="36">
        <f t="shared" si="1"/>
        <v>908227.86562565994</v>
      </c>
      <c r="Z15" s="36">
        <f t="shared" si="1"/>
        <v>903686.72629753163</v>
      </c>
      <c r="AA15" s="36">
        <f t="shared" si="1"/>
        <v>899168.29266604397</v>
      </c>
      <c r="AB15" s="36">
        <f t="shared" si="1"/>
        <v>894672.45120271365</v>
      </c>
      <c r="AC15" s="36">
        <f t="shared" si="1"/>
        <v>890199.0889467001</v>
      </c>
      <c r="AD15" s="36">
        <f t="shared" si="1"/>
        <v>885748.09350196656</v>
      </c>
      <c r="AE15" s="36">
        <f t="shared" si="1"/>
        <v>881319.35303445684</v>
      </c>
      <c r="AF15" s="36">
        <f t="shared" si="1"/>
        <v>0</v>
      </c>
      <c r="AG15" s="36">
        <f t="shared" si="1"/>
        <v>0</v>
      </c>
      <c r="AH15" s="36">
        <f t="shared" si="1"/>
        <v>0</v>
      </c>
      <c r="AI15" s="36">
        <f t="shared" si="1"/>
        <v>0</v>
      </c>
      <c r="AJ15" s="36">
        <f t="shared" si="1"/>
        <v>0</v>
      </c>
    </row>
    <row r="16" spans="2:36" s="28" customFormat="1" ht="16">
      <c r="B16" s="35" t="s">
        <v>246</v>
      </c>
      <c r="C16" s="35"/>
      <c r="D16" s="35"/>
      <c r="E16" s="79" t="s">
        <v>56</v>
      </c>
      <c r="F16" s="35"/>
      <c r="G16" s="90">
        <f>IF(Inputs!$Q$8=Inputs!$G$15,0,IF(Inputs!$Q$13="Year One",Inputs!$Q$14,'Complex Inputs'!$D129))</f>
        <v>0</v>
      </c>
      <c r="H16" s="90">
        <f>IF(H$2&gt;Inputs!$G$15,0,IF(Inputs!$Q$13="Year One",G$16*(1+Inputs!$Q$15),'Complex Inputs'!$D130))</f>
        <v>0</v>
      </c>
      <c r="I16" s="90">
        <f>IF(I$2&gt;Inputs!$G$15,0,IF(Inputs!$Q$13="Year One",H$16*(1+Inputs!$Q$15),'Complex Inputs'!$D131))</f>
        <v>0</v>
      </c>
      <c r="J16" s="90">
        <f>IF(J$2&gt;Inputs!$G$15,0,IF(Inputs!$Q$13="Year One",I$16*(1+Inputs!$Q$15),'Complex Inputs'!$D132))</f>
        <v>0</v>
      </c>
      <c r="K16" s="90">
        <f>IF(K$2&gt;Inputs!$G$15,0,IF(Inputs!$Q$13="Year One",J$16*(1+Inputs!$Q$15),'Complex Inputs'!$D133))</f>
        <v>0</v>
      </c>
      <c r="L16" s="90">
        <f>IF(L$2&gt;Inputs!$G$15,0,IF(Inputs!$Q$13="Year One",K$16*(1+Inputs!$Q$15),'Complex Inputs'!$D134))</f>
        <v>0</v>
      </c>
      <c r="M16" s="90">
        <f>IF(M$2&gt;Inputs!$G$15,0,IF(Inputs!$Q$13="Year One",L$16*(1+Inputs!$Q$15),'Complex Inputs'!$D135))</f>
        <v>0</v>
      </c>
      <c r="N16" s="90">
        <f>IF(N$2&gt;Inputs!$G$15,0,IF(Inputs!$Q$13="Year One",M$16*(1+Inputs!$Q$15),'Complex Inputs'!$D136))</f>
        <v>0</v>
      </c>
      <c r="O16" s="90">
        <f>IF(O$2&gt;Inputs!$G$15,0,IF(Inputs!$Q$13="Year One",N$16*(1+Inputs!$Q$15),'Complex Inputs'!$D137))</f>
        <v>0</v>
      </c>
      <c r="P16" s="90">
        <f>IF(P$2&gt;Inputs!$G$15,0,IF(Inputs!$Q$13="Year One",O$16*(1+Inputs!$Q$15),'Complex Inputs'!$D138))</f>
        <v>0</v>
      </c>
      <c r="Q16" s="90">
        <f>IF(Q$2&gt;Inputs!$G$15,0,IF(Inputs!$Q$13="Year One",P$16*(1+Inputs!$Q$15),'Complex Inputs'!$D139))</f>
        <v>0</v>
      </c>
      <c r="R16" s="90">
        <f>IF(R$2&gt;Inputs!$G$15,0,IF(Inputs!$Q$13="Year One",Q$16*(1+Inputs!$Q$15),'Complex Inputs'!$D140))</f>
        <v>0</v>
      </c>
      <c r="S16" s="90">
        <f>IF(S$2&gt;Inputs!$G$15,0,IF(Inputs!$Q$13="Year One",R$16*(1+Inputs!$Q$15),'Complex Inputs'!$D141))</f>
        <v>0</v>
      </c>
      <c r="T16" s="90">
        <f>IF(T$2&gt;Inputs!$G$15,0,IF(Inputs!$Q$13="Year One",S$16*(1+Inputs!$Q$15),'Complex Inputs'!$D142))</f>
        <v>0</v>
      </c>
      <c r="U16" s="90">
        <f>IF(U$2&gt;Inputs!$G$15,0,IF(Inputs!$Q$13="Year One",T$16*(1+Inputs!$Q$15),'Complex Inputs'!$D143))</f>
        <v>0</v>
      </c>
      <c r="V16" s="90">
        <f>IF(V$2&gt;Inputs!$G$15,0,IF(Inputs!$Q$13="Year One",U$16*(1+Inputs!$Q$15),'Complex Inputs'!$D144))</f>
        <v>0</v>
      </c>
      <c r="W16" s="90">
        <f>IF(W$2&gt;Inputs!$G$15,0,IF(Inputs!$Q$13="Year One",V$16*(1+Inputs!$Q$15),'Complex Inputs'!$D145))</f>
        <v>0</v>
      </c>
      <c r="X16" s="90">
        <f>IF(X$2&gt;Inputs!$G$15,0,IF(Inputs!$Q$13="Year One",W$16*(1+Inputs!$Q$15),'Complex Inputs'!$D146))</f>
        <v>0</v>
      </c>
      <c r="Y16" s="90">
        <f>IF(Y$2&gt;Inputs!$G$15,0,IF(Inputs!$Q$13="Year One",X$16*(1+Inputs!$Q$15),'Complex Inputs'!$D147))</f>
        <v>0</v>
      </c>
      <c r="Z16" s="90">
        <f>IF(Z$2&gt;Inputs!$G$15,0,IF(Inputs!$Q$13="Year One",Y$16*(1+Inputs!$Q$15),'Complex Inputs'!$D148))</f>
        <v>0</v>
      </c>
      <c r="AA16" s="90">
        <f>IF(AA$2&gt;Inputs!$G$15,0,IF(Inputs!$Q$13="Year One",Z$16*(1+Inputs!$Q$15),'Complex Inputs'!$D149))</f>
        <v>0</v>
      </c>
      <c r="AB16" s="90">
        <f>IF(AB$2&gt;Inputs!$G$15,0,IF(Inputs!$Q$13="Year One",AA$16*(1+Inputs!$Q$15),'Complex Inputs'!$D150))</f>
        <v>0</v>
      </c>
      <c r="AC16" s="90">
        <f>IF(AC$2&gt;Inputs!$G$15,0,IF(Inputs!$Q$13="Year One",AB$16*(1+Inputs!$Q$15),'Complex Inputs'!$D151))</f>
        <v>0</v>
      </c>
      <c r="AD16" s="90">
        <f>IF(AD$2&gt;Inputs!$G$15,0,IF(Inputs!$Q$13="Year One",AC$16*(1+Inputs!$Q$15),'Complex Inputs'!$D152))</f>
        <v>0</v>
      </c>
      <c r="AE16" s="90">
        <f>IF(AE$2&gt;Inputs!$G$15,0,IF(Inputs!$Q$13="Year One",AD$16*(1+Inputs!$Q$15),'Complex Inputs'!$D153))</f>
        <v>0</v>
      </c>
      <c r="AF16" s="90">
        <f>IF(AF$2&gt;Inputs!$G$15,0,IF(Inputs!$Q$13="Year One",AE$16*(1+Inputs!$Q$15),'Complex Inputs'!$D154))</f>
        <v>0</v>
      </c>
      <c r="AG16" s="90">
        <f>IF(AG$2&gt;Inputs!$G$15,0,IF(Inputs!$Q$13="Year One",AF$16*(1+Inputs!$Q$15),'Complex Inputs'!$D155))</f>
        <v>0</v>
      </c>
      <c r="AH16" s="90">
        <f>IF(AH$2&gt;Inputs!$G$15,0,IF(Inputs!$Q$13="Year One",AG$16*(1+Inputs!$Q$15),'Complex Inputs'!$D156))</f>
        <v>0</v>
      </c>
      <c r="AI16" s="90">
        <f>IF(AI$2&gt;Inputs!$G$15,0,IF(Inputs!$Q$13="Year One",AH$16*(1+Inputs!$Q$15),'Complex Inputs'!$D157))</f>
        <v>0</v>
      </c>
      <c r="AJ16" s="90">
        <f>IF(AJ$2&gt;Inputs!$G$15,0,IF(Inputs!$Q$13="Year One",AI$16*(1+Inputs!$Q$15),'Complex Inputs'!$D158))</f>
        <v>0</v>
      </c>
    </row>
    <row r="17" spans="2:36" s="28" customFormat="1" ht="16">
      <c r="B17" s="35" t="s">
        <v>245</v>
      </c>
      <c r="C17" s="35"/>
      <c r="D17" s="35"/>
      <c r="E17" s="76" t="s">
        <v>0</v>
      </c>
      <c r="F17" s="35"/>
      <c r="G17" s="36">
        <f>IF(G$2&lt;=Inputs!$Q$8,0,IF(G$2&gt;Inputs!$G$15,0,(G$16*G$5)/100))</f>
        <v>0</v>
      </c>
      <c r="H17" s="36">
        <f>IF(H$2&lt;=Inputs!$Q$8,0,IF(H$2&gt;Inputs!$G$15,0,(H$16*H$5)/100))</f>
        <v>0</v>
      </c>
      <c r="I17" s="36">
        <f>IF(I$2&lt;=Inputs!$Q$8,0,IF(I$2&gt;Inputs!$G$15,0,(I$16*I$5)/100))</f>
        <v>0</v>
      </c>
      <c r="J17" s="36">
        <f>IF(J$2&lt;=Inputs!$Q$8,0,IF(J$2&gt;Inputs!$G$15,0,(J$16*J$5)/100))</f>
        <v>0</v>
      </c>
      <c r="K17" s="36">
        <f>IF(K$2&lt;=Inputs!$Q$8,0,IF(K$2&gt;Inputs!$G$15,0,(K$16*K$5)/100))</f>
        <v>0</v>
      </c>
      <c r="L17" s="36">
        <f>IF(L$2&lt;=Inputs!$Q$8,0,IF(L$2&gt;Inputs!$G$15,0,(L$16*L$5)/100))</f>
        <v>0</v>
      </c>
      <c r="M17" s="36">
        <f>IF(M$2&lt;=Inputs!$Q$8,0,IF(M$2&gt;Inputs!$G$15,0,(M$16*M$5)/100))</f>
        <v>0</v>
      </c>
      <c r="N17" s="36">
        <f>IF(N$2&lt;=Inputs!$Q$8,0,IF(N$2&gt;Inputs!$G$15,0,(N$16*N$5)/100))</f>
        <v>0</v>
      </c>
      <c r="O17" s="36">
        <f>IF(O$2&lt;=Inputs!$Q$8,0,IF(O$2&gt;Inputs!$G$15,0,(O$16*O$5)/100))</f>
        <v>0</v>
      </c>
      <c r="P17" s="36">
        <f>IF(P$2&lt;=Inputs!$Q$8,0,IF(P$2&gt;Inputs!$G$15,0,(P$16*P$5)/100))</f>
        <v>0</v>
      </c>
      <c r="Q17" s="36">
        <f>IF(Q$2&lt;=Inputs!$Q$8,0,IF(Q$2&gt;Inputs!$G$15,0,(Q$16*Q$5)/100))</f>
        <v>0</v>
      </c>
      <c r="R17" s="36">
        <f>IF(R$2&lt;=Inputs!$Q$8,0,IF(R$2&gt;Inputs!$G$15,0,(R$16*R$5)/100))</f>
        <v>0</v>
      </c>
      <c r="S17" s="36">
        <f>IF(S$2&lt;=Inputs!$Q$8,0,IF(S$2&gt;Inputs!$G$15,0,(S$16*S$5)/100))</f>
        <v>0</v>
      </c>
      <c r="T17" s="36">
        <f>IF(T$2&lt;=Inputs!$Q$8,0,IF(T$2&gt;Inputs!$G$15,0,(T$16*T$5)/100))</f>
        <v>0</v>
      </c>
      <c r="U17" s="36">
        <f>IF(U$2&lt;=Inputs!$Q$8,0,IF(U$2&gt;Inputs!$G$15,0,(U$16*U$5)/100))</f>
        <v>0</v>
      </c>
      <c r="V17" s="36">
        <f>IF(V$2&lt;=Inputs!$Q$8,0,IF(V$2&gt;Inputs!$G$15,0,(V$16*V$5)/100))</f>
        <v>0</v>
      </c>
      <c r="W17" s="36">
        <f>IF(W$2&lt;=Inputs!$Q$8,0,IF(W$2&gt;Inputs!$G$15,0,(W$16*W$5)/100))</f>
        <v>0</v>
      </c>
      <c r="X17" s="36">
        <f>IF(X$2&lt;=Inputs!$Q$8,0,IF(X$2&gt;Inputs!$G$15,0,(X$16*X$5)/100))</f>
        <v>0</v>
      </c>
      <c r="Y17" s="36">
        <f>IF(Y$2&lt;=Inputs!$Q$8,0,IF(Y$2&gt;Inputs!$G$15,0,(Y$16*Y$5)/100))</f>
        <v>0</v>
      </c>
      <c r="Z17" s="36">
        <f>IF(Z$2&lt;=Inputs!$Q$8,0,IF(Z$2&gt;Inputs!$G$15,0,(Z$16*Z$5)/100))</f>
        <v>0</v>
      </c>
      <c r="AA17" s="36">
        <f>IF(AA$2&lt;=Inputs!$Q$8,0,IF(AA$2&gt;Inputs!$G$15,0,(AA$16*AA$5)/100))</f>
        <v>0</v>
      </c>
      <c r="AB17" s="36">
        <f>IF(AB$2&lt;=Inputs!$Q$8,0,IF(AB$2&gt;Inputs!$G$15,0,(AB$16*AB$5)/100))</f>
        <v>0</v>
      </c>
      <c r="AC17" s="36">
        <f>IF(AC$2&lt;=Inputs!$Q$8,0,IF(AC$2&gt;Inputs!$G$15,0,(AC$16*AC$5)/100))</f>
        <v>0</v>
      </c>
      <c r="AD17" s="36">
        <f>IF(AD$2&lt;=Inputs!$Q$8,0,IF(AD$2&gt;Inputs!$G$15,0,(AD$16*AD$5)/100))</f>
        <v>0</v>
      </c>
      <c r="AE17" s="36">
        <f>IF(AE$2&lt;=Inputs!$Q$8,0,IF(AE$2&gt;Inputs!$G$15,0,(AE$16*AE$5)/100))</f>
        <v>0</v>
      </c>
      <c r="AF17" s="36">
        <f>IF(AF$2&lt;=Inputs!$Q$8,0,IF(AF$2&gt;Inputs!$G$15,0,(AF$16*AF$5)/100))</f>
        <v>0</v>
      </c>
      <c r="AG17" s="36">
        <f>IF(AG$2&lt;=Inputs!$Q$8,0,IF(AG$2&gt;Inputs!$G$15,0,(AG$16*AG$5)/100))</f>
        <v>0</v>
      </c>
      <c r="AH17" s="36">
        <f>IF(AH$2&lt;=Inputs!$Q$8,0,IF(AH$2&gt;Inputs!$G$15,0,(AH$16*AH$5)/100))</f>
        <v>0</v>
      </c>
      <c r="AI17" s="36">
        <f>IF(AI$2&lt;=Inputs!$Q$8,0,IF(AI$2&gt;Inputs!$G$15,0,(AI$16*AI$5)/100))</f>
        <v>0</v>
      </c>
      <c r="AJ17" s="36">
        <f>IF(AJ$2&lt;=Inputs!$Q$8,0,IF(AJ$2&gt;Inputs!$G$15,0,(AJ$16*AJ$5)/100))</f>
        <v>0</v>
      </c>
    </row>
    <row r="18" spans="2:36" s="28" customFormat="1" ht="16">
      <c r="B18" s="35" t="s">
        <v>112</v>
      </c>
      <c r="C18" s="35"/>
      <c r="D18" s="35"/>
      <c r="E18" s="79" t="s">
        <v>56</v>
      </c>
      <c r="F18" s="35"/>
      <c r="G18" s="90">
        <f>IF(OR(Inputs!$Q$19="Cost-Based",Inputs!$Q$19="Neither"),0,IF(AND(Inputs!$Q$24="Cash",G$2&lt;=Inputs!$Q$27),Inputs!$Q$25*G$9,0))</f>
        <v>0</v>
      </c>
      <c r="H18" s="90">
        <f>IF(OR(Inputs!$Q$19="Cost-Based",Inputs!$Q$19="Neither"),0,IF(AND(Inputs!$Q$24="Cash",H$2&lt;=Inputs!$Q$27),Inputs!$Q$25*H$9,0))</f>
        <v>0</v>
      </c>
      <c r="I18" s="90">
        <f>IF(OR(Inputs!$Q$19="Cost-Based",Inputs!$Q$19="Neither"),0,IF(AND(Inputs!$Q$24="Cash",I$2&lt;=Inputs!$Q$27),Inputs!$Q$25*I$9,0))</f>
        <v>0</v>
      </c>
      <c r="J18" s="90">
        <f>IF(OR(Inputs!$Q$19="Cost-Based",Inputs!$Q$19="Neither"),0,IF(AND(Inputs!$Q$24="Cash",J$2&lt;=Inputs!$Q$27),Inputs!$Q$25*J$9,0))</f>
        <v>0</v>
      </c>
      <c r="K18" s="90">
        <f>IF(OR(Inputs!$Q$19="Cost-Based",Inputs!$Q$19="Neither"),0,IF(AND(Inputs!$Q$24="Cash",K$2&lt;=Inputs!$Q$27),Inputs!$Q$25*K$9,0))</f>
        <v>0</v>
      </c>
      <c r="L18" s="90">
        <f>IF(OR(Inputs!$Q$19="Cost-Based",Inputs!$Q$19="Neither"),0,IF(AND(Inputs!$Q$24="Cash",L$2&lt;=Inputs!$Q$27),Inputs!$Q$25*L$9,0))</f>
        <v>0</v>
      </c>
      <c r="M18" s="90">
        <f>IF(OR(Inputs!$Q$19="Cost-Based",Inputs!$Q$19="Neither"),0,IF(AND(Inputs!$Q$24="Cash",M$2&lt;=Inputs!$Q$27),Inputs!$Q$25*M$9,0))</f>
        <v>0</v>
      </c>
      <c r="N18" s="90">
        <f>IF(OR(Inputs!$Q$19="Cost-Based",Inputs!$Q$19="Neither"),0,IF(AND(Inputs!$Q$24="Cash",N$2&lt;=Inputs!$Q$27),Inputs!$Q$25*N$9,0))</f>
        <v>0</v>
      </c>
      <c r="O18" s="90">
        <f>IF(OR(Inputs!$Q$19="Cost-Based",Inputs!$Q$19="Neither"),0,IF(AND(Inputs!$Q$24="Cash",O$2&lt;=Inputs!$Q$27),Inputs!$Q$25*O$9,0))</f>
        <v>0</v>
      </c>
      <c r="P18" s="90">
        <f>IF(OR(Inputs!$Q$19="Cost-Based",Inputs!$Q$19="Neither"),0,IF(AND(Inputs!$Q$24="Cash",P$2&lt;=Inputs!$Q$27),Inputs!$Q$25*P$9,0))</f>
        <v>0</v>
      </c>
      <c r="Q18" s="90">
        <f>IF(OR(Inputs!$Q$19="Cost-Based",Inputs!$Q$19="Neither"),0,IF(AND(Inputs!$Q$24="Cash",Q$2&lt;=Inputs!$Q$27),Inputs!$Q$25*Q$9,0))</f>
        <v>0</v>
      </c>
      <c r="R18" s="90">
        <f>IF(OR(Inputs!$Q$19="Cost-Based",Inputs!$Q$19="Neither"),0,IF(AND(Inputs!$Q$24="Cash",R$2&lt;=Inputs!$Q$27),Inputs!$Q$25*R$9,0))</f>
        <v>0</v>
      </c>
      <c r="S18" s="90">
        <f>IF(OR(Inputs!$Q$19="Cost-Based",Inputs!$Q$19="Neither"),0,IF(AND(Inputs!$Q$24="Cash",S$2&lt;=Inputs!$Q$27),Inputs!$Q$25*S$9,0))</f>
        <v>0</v>
      </c>
      <c r="T18" s="90">
        <f>IF(OR(Inputs!$Q$19="Cost-Based",Inputs!$Q$19="Neither"),0,IF(AND(Inputs!$Q$24="Cash",T$2&lt;=Inputs!$Q$27),Inputs!$Q$25*T$9,0))</f>
        <v>0</v>
      </c>
      <c r="U18" s="90">
        <f>IF(OR(Inputs!$Q$19="Cost-Based",Inputs!$Q$19="Neither"),0,IF(AND(Inputs!$Q$24="Cash",U$2&lt;=Inputs!$Q$27),Inputs!$Q$25*U$9,0))</f>
        <v>0</v>
      </c>
      <c r="V18" s="90">
        <f>IF(OR(Inputs!$Q$19="Cost-Based",Inputs!$Q$19="Neither"),0,IF(AND(Inputs!$Q$24="Cash",V$2&lt;=Inputs!$Q$27),Inputs!$Q$25*V$9,0))</f>
        <v>0</v>
      </c>
      <c r="W18" s="90">
        <f>IF(OR(Inputs!$Q$19="Cost-Based",Inputs!$Q$19="Neither"),0,IF(AND(Inputs!$Q$24="Cash",W$2&lt;=Inputs!$Q$27),Inputs!$Q$25*W$9,0))</f>
        <v>0</v>
      </c>
      <c r="X18" s="90">
        <f>IF(OR(Inputs!$Q$19="Cost-Based",Inputs!$Q$19="Neither"),0,IF(AND(Inputs!$Q$24="Cash",X$2&lt;=Inputs!$Q$27),Inputs!$Q$25*X$9,0))</f>
        <v>0</v>
      </c>
      <c r="Y18" s="90">
        <f>IF(OR(Inputs!$Q$19="Cost-Based",Inputs!$Q$19="Neither"),0,IF(AND(Inputs!$Q$24="Cash",Y$2&lt;=Inputs!$Q$27),Inputs!$Q$25*Y$9,0))</f>
        <v>0</v>
      </c>
      <c r="Z18" s="90">
        <f>IF(OR(Inputs!$Q$19="Cost-Based",Inputs!$Q$19="Neither"),0,IF(AND(Inputs!$Q$24="Cash",Z$2&lt;=Inputs!$Q$27),Inputs!$Q$25*Z$9,0))</f>
        <v>0</v>
      </c>
      <c r="AA18" s="90">
        <f>IF(OR(Inputs!$Q$19="Cost-Based",Inputs!$Q$19="Neither"),0,IF(AND(Inputs!$Q$24="Cash",AA$2&lt;=Inputs!$Q$27),Inputs!$Q$25*AA$9,0))</f>
        <v>0</v>
      </c>
      <c r="AB18" s="90">
        <f>IF(OR(Inputs!$Q$19="Cost-Based",Inputs!$Q$19="Neither"),0,IF(AND(Inputs!$Q$24="Cash",AB$2&lt;=Inputs!$Q$27),Inputs!$Q$25*AB$9,0))</f>
        <v>0</v>
      </c>
      <c r="AC18" s="90">
        <f>IF(OR(Inputs!$Q$19="Cost-Based",Inputs!$Q$19="Neither"),0,IF(AND(Inputs!$Q$24="Cash",AC$2&lt;=Inputs!$Q$27),Inputs!$Q$25*AC$9,0))</f>
        <v>0</v>
      </c>
      <c r="AD18" s="90">
        <f>IF(OR(Inputs!$Q$19="Cost-Based",Inputs!$Q$19="Neither"),0,IF(AND(Inputs!$Q$24="Cash",AD$2&lt;=Inputs!$Q$27),Inputs!$Q$25*AD$9,0))</f>
        <v>0</v>
      </c>
      <c r="AE18" s="90">
        <f>IF(OR(Inputs!$Q$19="Cost-Based",Inputs!$Q$19="Neither"),0,IF(AND(Inputs!$Q$24="Cash",AE$2&lt;=Inputs!$Q$27),Inputs!$Q$25*AE$9,0))</f>
        <v>0</v>
      </c>
      <c r="AF18" s="90">
        <f>IF(OR(Inputs!$Q$19="Cost-Based",Inputs!$Q$19="Neither"),0,IF(AND(Inputs!$Q$24="Cash",AF$2&lt;=Inputs!$Q$27),Inputs!$Q$25*AF$9,0))</f>
        <v>0</v>
      </c>
      <c r="AG18" s="90">
        <f>IF(OR(Inputs!$Q$19="Cost-Based",Inputs!$Q$19="Neither"),0,IF(AND(Inputs!$Q$24="Cash",AG$2&lt;=Inputs!$Q$27),Inputs!$Q$25*AG$9,0))</f>
        <v>0</v>
      </c>
      <c r="AH18" s="90">
        <f>IF(OR(Inputs!$Q$19="Cost-Based",Inputs!$Q$19="Neither"),0,IF(AND(Inputs!$Q$24="Cash",AH$2&lt;=Inputs!$Q$27),Inputs!$Q$25*AH$9,0))</f>
        <v>0</v>
      </c>
      <c r="AI18" s="90">
        <f>IF(OR(Inputs!$Q$19="Cost-Based",Inputs!$Q$19="Neither"),0,IF(AND(Inputs!$Q$24="Cash",AI$2&lt;=Inputs!$Q$27),Inputs!$Q$25*AI$9,0))</f>
        <v>0</v>
      </c>
      <c r="AJ18" s="90">
        <f>IF(OR(Inputs!$Q$19="Cost-Based",Inputs!$Q$19="Neither"),0,IF(AND(Inputs!$Q$24="Cash",AJ$2&lt;=Inputs!$Q$27),Inputs!$Q$25*AJ$9,0))</f>
        <v>0</v>
      </c>
    </row>
    <row r="19" spans="2:36" s="28" customFormat="1" ht="16">
      <c r="B19" s="35" t="s">
        <v>113</v>
      </c>
      <c r="C19" s="35"/>
      <c r="D19" s="35"/>
      <c r="E19" s="76" t="s">
        <v>0</v>
      </c>
      <c r="F19" s="35"/>
      <c r="G19" s="36">
        <f>(G$18*G$5)/100</f>
        <v>0</v>
      </c>
      <c r="H19" s="36">
        <f t="shared" ref="H19:AJ19" si="2">(H$18*H$5)/100</f>
        <v>0</v>
      </c>
      <c r="I19" s="36">
        <f t="shared" si="2"/>
        <v>0</v>
      </c>
      <c r="J19" s="36">
        <f t="shared" si="2"/>
        <v>0</v>
      </c>
      <c r="K19" s="36">
        <f t="shared" si="2"/>
        <v>0</v>
      </c>
      <c r="L19" s="36">
        <f t="shared" si="2"/>
        <v>0</v>
      </c>
      <c r="M19" s="36">
        <f t="shared" si="2"/>
        <v>0</v>
      </c>
      <c r="N19" s="36">
        <f t="shared" si="2"/>
        <v>0</v>
      </c>
      <c r="O19" s="36">
        <f t="shared" si="2"/>
        <v>0</v>
      </c>
      <c r="P19" s="36">
        <f t="shared" si="2"/>
        <v>0</v>
      </c>
      <c r="Q19" s="36">
        <f t="shared" si="2"/>
        <v>0</v>
      </c>
      <c r="R19" s="36">
        <f t="shared" si="2"/>
        <v>0</v>
      </c>
      <c r="S19" s="36">
        <f t="shared" si="2"/>
        <v>0</v>
      </c>
      <c r="T19" s="36">
        <f t="shared" si="2"/>
        <v>0</v>
      </c>
      <c r="U19" s="36">
        <f t="shared" si="2"/>
        <v>0</v>
      </c>
      <c r="V19" s="36">
        <f t="shared" si="2"/>
        <v>0</v>
      </c>
      <c r="W19" s="36">
        <f t="shared" si="2"/>
        <v>0</v>
      </c>
      <c r="X19" s="36">
        <f t="shared" si="2"/>
        <v>0</v>
      </c>
      <c r="Y19" s="36">
        <f t="shared" si="2"/>
        <v>0</v>
      </c>
      <c r="Z19" s="36">
        <f t="shared" si="2"/>
        <v>0</v>
      </c>
      <c r="AA19" s="36">
        <f t="shared" si="2"/>
        <v>0</v>
      </c>
      <c r="AB19" s="36">
        <f t="shared" si="2"/>
        <v>0</v>
      </c>
      <c r="AC19" s="36">
        <f t="shared" si="2"/>
        <v>0</v>
      </c>
      <c r="AD19" s="36">
        <f t="shared" si="2"/>
        <v>0</v>
      </c>
      <c r="AE19" s="36">
        <f t="shared" si="2"/>
        <v>0</v>
      </c>
      <c r="AF19" s="36">
        <f t="shared" si="2"/>
        <v>0</v>
      </c>
      <c r="AG19" s="36">
        <f t="shared" si="2"/>
        <v>0</v>
      </c>
      <c r="AH19" s="36">
        <f t="shared" si="2"/>
        <v>0</v>
      </c>
      <c r="AI19" s="36">
        <f t="shared" si="2"/>
        <v>0</v>
      </c>
      <c r="AJ19" s="36">
        <f t="shared" si="2"/>
        <v>0</v>
      </c>
    </row>
    <row r="20" spans="2:36" s="37" customFormat="1" ht="16">
      <c r="B20" s="35" t="s">
        <v>114</v>
      </c>
      <c r="C20" s="35"/>
      <c r="D20" s="35"/>
      <c r="E20" s="79" t="s">
        <v>56</v>
      </c>
      <c r="F20" s="35"/>
      <c r="G20" s="90">
        <f>IF(OR(Inputs!$Q$33="Cost-Based",Inputs!$Q$33="Neither"),0,IF(AND(Inputs!$Q$38="Cash",G$2&lt;=Inputs!$Q$43),Inputs!$Q$41*G$10*Inputs!$Q$42,0))</f>
        <v>0</v>
      </c>
      <c r="H20" s="90">
        <f>IF(OR(Inputs!$Q$33="Cost-Based",Inputs!$Q$33="Neither"),0,IF(AND(Inputs!$Q$38="Cash",H$2&lt;=Inputs!$Q$43),Inputs!$Q$41*H$10*Inputs!$Q$42,0))</f>
        <v>0</v>
      </c>
      <c r="I20" s="90">
        <f>IF(OR(Inputs!$Q$33="Cost-Based",Inputs!$Q$33="Neither"),0,IF(AND(Inputs!$Q$38="Cash",I$2&lt;=Inputs!$Q$43),Inputs!$Q$41*I$10*Inputs!$Q$42,0))</f>
        <v>0</v>
      </c>
      <c r="J20" s="90">
        <f>IF(OR(Inputs!$Q$33="Cost-Based",Inputs!$Q$33="Neither"),0,IF(AND(Inputs!$Q$38="Cash",J$2&lt;=Inputs!$Q$43),Inputs!$Q$41*J$10*Inputs!$Q$42,0))</f>
        <v>0</v>
      </c>
      <c r="K20" s="90">
        <f>IF(OR(Inputs!$Q$33="Cost-Based",Inputs!$Q$33="Neither"),0,IF(AND(Inputs!$Q$38="Cash",K$2&lt;=Inputs!$Q$43),Inputs!$Q$41*K$10*Inputs!$Q$42,0))</f>
        <v>0</v>
      </c>
      <c r="L20" s="90">
        <f>IF(OR(Inputs!$Q$33="Cost-Based",Inputs!$Q$33="Neither"),0,IF(AND(Inputs!$Q$38="Cash",L$2&lt;=Inputs!$Q$43),Inputs!$Q$41*L$10*Inputs!$Q$42,0))</f>
        <v>0</v>
      </c>
      <c r="M20" s="90">
        <f>IF(OR(Inputs!$Q$33="Cost-Based",Inputs!$Q$33="Neither"),0,IF(AND(Inputs!$Q$38="Cash",M$2&lt;=Inputs!$Q$43),Inputs!$Q$41*M$10*Inputs!$Q$42,0))</f>
        <v>0</v>
      </c>
      <c r="N20" s="90">
        <f>IF(OR(Inputs!$Q$33="Cost-Based",Inputs!$Q$33="Neither"),0,IF(AND(Inputs!$Q$38="Cash",N$2&lt;=Inputs!$Q$43),Inputs!$Q$41*N$10*Inputs!$Q$42,0))</f>
        <v>0</v>
      </c>
      <c r="O20" s="90">
        <f>IF(OR(Inputs!$Q$33="Cost-Based",Inputs!$Q$33="Neither"),0,IF(AND(Inputs!$Q$38="Cash",O$2&lt;=Inputs!$Q$43),Inputs!$Q$41*O$10*Inputs!$Q$42,0))</f>
        <v>0</v>
      </c>
      <c r="P20" s="90">
        <f>IF(OR(Inputs!$Q$33="Cost-Based",Inputs!$Q$33="Neither"),0,IF(AND(Inputs!$Q$38="Cash",P$2&lt;=Inputs!$Q$43),Inputs!$Q$41*P$10*Inputs!$Q$42,0))</f>
        <v>0</v>
      </c>
      <c r="Q20" s="90">
        <f>IF(OR(Inputs!$Q$33="Cost-Based",Inputs!$Q$33="Neither"),0,IF(AND(Inputs!$Q$38="Cash",Q$2&lt;=Inputs!$Q$43),Inputs!$Q$41*Q$10*Inputs!$Q$42,0))</f>
        <v>0</v>
      </c>
      <c r="R20" s="90">
        <f>IF(OR(Inputs!$Q$33="Cost-Based",Inputs!$Q$33="Neither"),0,IF(AND(Inputs!$Q$38="Cash",R$2&lt;=Inputs!$Q$43),Inputs!$Q$41*R$10*Inputs!$Q$42,0))</f>
        <v>0</v>
      </c>
      <c r="S20" s="90">
        <f>IF(OR(Inputs!$Q$33="Cost-Based",Inputs!$Q$33="Neither"),0,IF(AND(Inputs!$Q$38="Cash",S$2&lt;=Inputs!$Q$43),Inputs!$Q$41*S$10*Inputs!$Q$42,0))</f>
        <v>0</v>
      </c>
      <c r="T20" s="90">
        <f>IF(OR(Inputs!$Q$33="Cost-Based",Inputs!$Q$33="Neither"),0,IF(AND(Inputs!$Q$38="Cash",T$2&lt;=Inputs!$Q$43),Inputs!$Q$41*T$10*Inputs!$Q$42,0))</f>
        <v>0</v>
      </c>
      <c r="U20" s="90">
        <f>IF(OR(Inputs!$Q$33="Cost-Based",Inputs!$Q$33="Neither"),0,IF(AND(Inputs!$Q$38="Cash",U$2&lt;=Inputs!$Q$43),Inputs!$Q$41*U$10*Inputs!$Q$42,0))</f>
        <v>0</v>
      </c>
      <c r="V20" s="90">
        <f>IF(OR(Inputs!$Q$33="Cost-Based",Inputs!$Q$33="Neither"),0,IF(AND(Inputs!$Q$38="Cash",V$2&lt;=Inputs!$Q$43),Inputs!$Q$41*V$10*Inputs!$Q$42,0))</f>
        <v>0</v>
      </c>
      <c r="W20" s="90">
        <f>IF(OR(Inputs!$Q$33="Cost-Based",Inputs!$Q$33="Neither"),0,IF(AND(Inputs!$Q$38="Cash",W$2&lt;=Inputs!$Q$43),Inputs!$Q$41*W$10*Inputs!$Q$42,0))</f>
        <v>0</v>
      </c>
      <c r="X20" s="90">
        <f>IF(OR(Inputs!$Q$33="Cost-Based",Inputs!$Q$33="Neither"),0,IF(AND(Inputs!$Q$38="Cash",X$2&lt;=Inputs!$Q$43),Inputs!$Q$41*X$10*Inputs!$Q$42,0))</f>
        <v>0</v>
      </c>
      <c r="Y20" s="90">
        <f>IF(OR(Inputs!$Q$33="Cost-Based",Inputs!$Q$33="Neither"),0,IF(AND(Inputs!$Q$38="Cash",Y$2&lt;=Inputs!$Q$43),Inputs!$Q$41*Y$10*Inputs!$Q$42,0))</f>
        <v>0</v>
      </c>
      <c r="Z20" s="90">
        <f>IF(OR(Inputs!$Q$33="Cost-Based",Inputs!$Q$33="Neither"),0,IF(AND(Inputs!$Q$38="Cash",Z$2&lt;=Inputs!$Q$43),Inputs!$Q$41*Z$10*Inputs!$Q$42,0))</f>
        <v>0</v>
      </c>
      <c r="AA20" s="90">
        <f>IF(OR(Inputs!$Q$33="Cost-Based",Inputs!$Q$33="Neither"),0,IF(AND(Inputs!$Q$38="Cash",AA$2&lt;=Inputs!$Q$43),Inputs!$Q$41*AA$10*Inputs!$Q$42,0))</f>
        <v>0</v>
      </c>
      <c r="AB20" s="90">
        <f>IF(OR(Inputs!$Q$33="Cost-Based",Inputs!$Q$33="Neither"),0,IF(AND(Inputs!$Q$38="Cash",AB$2&lt;=Inputs!$Q$43),Inputs!$Q$41*AB$10*Inputs!$Q$42,0))</f>
        <v>0</v>
      </c>
      <c r="AC20" s="90">
        <f>IF(OR(Inputs!$Q$33="Cost-Based",Inputs!$Q$33="Neither"),0,IF(AND(Inputs!$Q$38="Cash",AC$2&lt;=Inputs!$Q$43),Inputs!$Q$41*AC$10*Inputs!$Q$42,0))</f>
        <v>0</v>
      </c>
      <c r="AD20" s="90">
        <f>IF(OR(Inputs!$Q$33="Cost-Based",Inputs!$Q$33="Neither"),0,IF(AND(Inputs!$Q$38="Cash",AD$2&lt;=Inputs!$Q$43),Inputs!$Q$41*AD$10*Inputs!$Q$42,0))</f>
        <v>0</v>
      </c>
      <c r="AE20" s="90">
        <f>IF(OR(Inputs!$Q$33="Cost-Based",Inputs!$Q$33="Neither"),0,IF(AND(Inputs!$Q$38="Cash",AE$2&lt;=Inputs!$Q$43),Inputs!$Q$41*AE$10*Inputs!$Q$42,0))</f>
        <v>0</v>
      </c>
      <c r="AF20" s="90">
        <f>IF(OR(Inputs!$Q$33="Cost-Based",Inputs!$Q$33="Neither"),0,IF(AND(Inputs!$Q$38="Cash",AF$2&lt;=Inputs!$Q$43),Inputs!$Q$41*AF$10*Inputs!$Q$42,0))</f>
        <v>0</v>
      </c>
      <c r="AG20" s="90">
        <f>IF(OR(Inputs!$Q$33="Cost-Based",Inputs!$Q$33="Neither"),0,IF(AND(Inputs!$Q$38="Cash",AG$2&lt;=Inputs!$Q$43),Inputs!$Q$41*AG$10*Inputs!$Q$42,0))</f>
        <v>0</v>
      </c>
      <c r="AH20" s="90">
        <f>IF(OR(Inputs!$Q$33="Cost-Based",Inputs!$Q$33="Neither"),0,IF(AND(Inputs!$Q$38="Cash",AH$2&lt;=Inputs!$Q$43),Inputs!$Q$41*AH$10*Inputs!$Q$42,0))</f>
        <v>0</v>
      </c>
      <c r="AI20" s="90">
        <f>IF(OR(Inputs!$Q$33="Cost-Based",Inputs!$Q$33="Neither"),0,IF(AND(Inputs!$Q$38="Cash",AI$2&lt;=Inputs!$Q$43),Inputs!$Q$41*AI$10*Inputs!$Q$42,0))</f>
        <v>0</v>
      </c>
      <c r="AJ20" s="90">
        <f>IF(OR(Inputs!$Q$33="Cost-Based",Inputs!$Q$33="Neither"),0,IF(AND(Inputs!$Q$38="Cash",AJ$2&lt;=Inputs!$Q$43),Inputs!$Q$41*AJ$10*Inputs!$Q$42,0))</f>
        <v>0</v>
      </c>
    </row>
    <row r="21" spans="2:36" s="37" customFormat="1" ht="16">
      <c r="B21" s="35" t="s">
        <v>115</v>
      </c>
      <c r="C21" s="35"/>
      <c r="D21" s="35"/>
      <c r="E21" s="76" t="s">
        <v>0</v>
      </c>
      <c r="F21" s="35"/>
      <c r="G21" s="36">
        <f>IF(Inputs!$Q$39=0,(G$20*G$5)/100,MIN(Inputs!$Q$39,(G$20*G$5)/100))</f>
        <v>0</v>
      </c>
      <c r="H21" s="36">
        <f>IF(Inputs!$Q$39=0,(H$20*H$5)/100,MIN(Inputs!$Q$39,(H$20*H$5)/100))</f>
        <v>0</v>
      </c>
      <c r="I21" s="36">
        <f>IF(Inputs!$Q$39=0,(I$20*I$5)/100,MIN(Inputs!$Q$39,(I$20*I$5)/100))</f>
        <v>0</v>
      </c>
      <c r="J21" s="36">
        <f>IF(Inputs!$Q$39=0,(J$20*J$5)/100,MIN(Inputs!$Q$39,(J$20*J$5)/100))</f>
        <v>0</v>
      </c>
      <c r="K21" s="36">
        <f>IF(Inputs!$Q$39=0,(K$20*K$5)/100,MIN(Inputs!$Q$39,(K$20*K$5)/100))</f>
        <v>0</v>
      </c>
      <c r="L21" s="36">
        <f>IF(Inputs!$Q$39=0,(L$20*L$5)/100,MIN(Inputs!$Q$39,(L$20*L$5)/100))</f>
        <v>0</v>
      </c>
      <c r="M21" s="36">
        <f>IF(Inputs!$Q$39=0,(M$20*M$5)/100,MIN(Inputs!$Q$39,(M$20*M$5)/100))</f>
        <v>0</v>
      </c>
      <c r="N21" s="36">
        <f>IF(Inputs!$Q$39=0,(N$20*N$5)/100,MIN(Inputs!$Q$39,(N$20*N$5)/100))</f>
        <v>0</v>
      </c>
      <c r="O21" s="36">
        <f>IF(Inputs!$Q$39=0,(O$20*O$5)/100,MIN(Inputs!$Q$39,(O$20*O$5)/100))</f>
        <v>0</v>
      </c>
      <c r="P21" s="36">
        <f>IF(Inputs!$Q$39=0,(P$20*P$5)/100,MIN(Inputs!$Q$39,(P$20*P$5)/100))</f>
        <v>0</v>
      </c>
      <c r="Q21" s="36">
        <f>IF(Inputs!$Q$39=0,(Q$20*Q$5)/100,MIN(Inputs!$Q$39,(Q$20*Q$5)/100))</f>
        <v>0</v>
      </c>
      <c r="R21" s="36">
        <f>IF(Inputs!$Q$39=0,(R$20*R$5)/100,MIN(Inputs!$Q$39,(R$20*R$5)/100))</f>
        <v>0</v>
      </c>
      <c r="S21" s="36">
        <f>IF(Inputs!$Q$39=0,(S$20*S$5)/100,MIN(Inputs!$Q$39,(S$20*S$5)/100))</f>
        <v>0</v>
      </c>
      <c r="T21" s="36">
        <f>IF(Inputs!$Q$39=0,(T$20*T$5)/100,MIN(Inputs!$Q$39,(T$20*T$5)/100))</f>
        <v>0</v>
      </c>
      <c r="U21" s="36">
        <f>IF(Inputs!$Q$39=0,(U$20*U$5)/100,MIN(Inputs!$Q$39,(U$20*U$5)/100))</f>
        <v>0</v>
      </c>
      <c r="V21" s="36">
        <f>IF(Inputs!$Q$39=0,(V$20*V$5)/100,MIN(Inputs!$Q$39,(V$20*V$5)/100))</f>
        <v>0</v>
      </c>
      <c r="W21" s="36">
        <f>IF(Inputs!$Q$39=0,(W$20*W$5)/100,MIN(Inputs!$Q$39,(W$20*W$5)/100))</f>
        <v>0</v>
      </c>
      <c r="X21" s="36">
        <f>IF(Inputs!$Q$39=0,(X$20*X$5)/100,MIN(Inputs!$Q$39,(X$20*X$5)/100))</f>
        <v>0</v>
      </c>
      <c r="Y21" s="36">
        <f>IF(Inputs!$Q$39=0,(Y$20*Y$5)/100,MIN(Inputs!$Q$39,(Y$20*Y$5)/100))</f>
        <v>0</v>
      </c>
      <c r="Z21" s="36">
        <f>IF(Inputs!$Q$39=0,(Z$20*Z$5)/100,MIN(Inputs!$Q$39,(Z$20*Z$5)/100))</f>
        <v>0</v>
      </c>
      <c r="AA21" s="36">
        <f>IF(Inputs!$Q$39=0,(AA$20*AA$5)/100,MIN(Inputs!$Q$39,(AA$20*AA$5)/100))</f>
        <v>0</v>
      </c>
      <c r="AB21" s="36">
        <f>IF(Inputs!$Q$39=0,(AB$20*AB$5)/100,MIN(Inputs!$Q$39,(AB$20*AB$5)/100))</f>
        <v>0</v>
      </c>
      <c r="AC21" s="36">
        <f>IF(Inputs!$Q$39=0,(AC$20*AC$5)/100,MIN(Inputs!$Q$39,(AC$20*AC$5)/100))</f>
        <v>0</v>
      </c>
      <c r="AD21" s="36">
        <f>IF(Inputs!$Q$39=0,(AD$20*AD$5)/100,MIN(Inputs!$Q$39,(AD$20*AD$5)/100))</f>
        <v>0</v>
      </c>
      <c r="AE21" s="36">
        <f>IF(Inputs!$Q$39=0,(AE$20*AE$5)/100,MIN(Inputs!$Q$39,(AE$20*AE$5)/100))</f>
        <v>0</v>
      </c>
      <c r="AF21" s="36">
        <f>IF(Inputs!$Q$39=0,(AF$20*AF$5)/100,MIN(Inputs!$Q$39,(AF$20*AF$5)/100))</f>
        <v>0</v>
      </c>
      <c r="AG21" s="36">
        <f>IF(Inputs!$Q$39=0,(AG$20*AG$5)/100,MIN(Inputs!$Q$39,(AG$20*AG$5)/100))</f>
        <v>0</v>
      </c>
      <c r="AH21" s="36">
        <f>IF(Inputs!$Q$39=0,(AH$20*AH$5)/100,MIN(Inputs!$Q$39,(AH$20*AH$5)/100))</f>
        <v>0</v>
      </c>
      <c r="AI21" s="36">
        <f>IF(Inputs!$Q$39=0,(AI$20*AI$5)/100,MIN(Inputs!$Q$39,(AI$20*AI$5)/100))</f>
        <v>0</v>
      </c>
      <c r="AJ21" s="36">
        <f>IF(Inputs!$Q$39=0,(AJ$20*AJ$5)/100,MIN(Inputs!$Q$39,(AJ$20*AJ$5)/100))</f>
        <v>0</v>
      </c>
    </row>
    <row r="22" spans="2:36" s="37" customFormat="1" ht="16">
      <c r="B22" s="38" t="s">
        <v>206</v>
      </c>
      <c r="C22" s="38"/>
      <c r="D22" s="38"/>
      <c r="E22" s="80" t="s">
        <v>0</v>
      </c>
      <c r="F22" s="38"/>
      <c r="G22" s="155">
        <f>G199</f>
        <v>4680.5070077230594</v>
      </c>
      <c r="H22" s="155">
        <f t="shared" ref="H22:AJ22" si="3">H199</f>
        <v>5724.9514521675046</v>
      </c>
      <c r="I22" s="155">
        <f t="shared" si="3"/>
        <v>6769.3958966119499</v>
      </c>
      <c r="J22" s="155">
        <f t="shared" si="3"/>
        <v>7813.8403410563942</v>
      </c>
      <c r="K22" s="155">
        <f t="shared" si="3"/>
        <v>8858.2847855008404</v>
      </c>
      <c r="L22" s="155">
        <f t="shared" si="3"/>
        <v>9902.7292299452838</v>
      </c>
      <c r="M22" s="155">
        <f t="shared" si="3"/>
        <v>10947.173674389729</v>
      </c>
      <c r="N22" s="155">
        <f t="shared" si="3"/>
        <v>11991.618118834174</v>
      </c>
      <c r="O22" s="155">
        <f t="shared" si="3"/>
        <v>13036.06256327862</v>
      </c>
      <c r="P22" s="155">
        <f t="shared" si="3"/>
        <v>8858.2847855008422</v>
      </c>
      <c r="Q22" s="155">
        <f t="shared" si="3"/>
        <v>4680.5070077230639</v>
      </c>
      <c r="R22" s="155">
        <f t="shared" si="3"/>
        <v>5724.9514521675083</v>
      </c>
      <c r="S22" s="155">
        <f t="shared" si="3"/>
        <v>6769.3958966119517</v>
      </c>
      <c r="T22" s="155">
        <f t="shared" si="3"/>
        <v>7813.8403410563969</v>
      </c>
      <c r="U22" s="155">
        <f t="shared" si="3"/>
        <v>8858.2847855008422</v>
      </c>
      <c r="V22" s="155">
        <f t="shared" si="3"/>
        <v>9902.7292299452874</v>
      </c>
      <c r="W22" s="155">
        <f t="shared" si="3"/>
        <v>10947.173674389733</v>
      </c>
      <c r="X22" s="155">
        <f t="shared" si="3"/>
        <v>11991.618118834176</v>
      </c>
      <c r="Y22" s="155">
        <f t="shared" si="3"/>
        <v>11470.314087159421</v>
      </c>
      <c r="Z22" s="155">
        <f t="shared" si="3"/>
        <v>5726.7878332624396</v>
      </c>
      <c r="AA22" s="155">
        <f t="shared" si="3"/>
        <v>1026.7878332624398</v>
      </c>
      <c r="AB22" s="155">
        <f t="shared" si="3"/>
        <v>1026.7878332624398</v>
      </c>
      <c r="AC22" s="155">
        <f t="shared" si="3"/>
        <v>1026.7878332624398</v>
      </c>
      <c r="AD22" s="155">
        <f t="shared" si="3"/>
        <v>1026.7878332624398</v>
      </c>
      <c r="AE22" s="155">
        <f t="shared" si="3"/>
        <v>513.39391663122251</v>
      </c>
      <c r="AF22" s="155">
        <f t="shared" si="3"/>
        <v>2.6193447411060332E-12</v>
      </c>
      <c r="AG22" s="155">
        <f t="shared" si="3"/>
        <v>0</v>
      </c>
      <c r="AH22" s="155">
        <f t="shared" si="3"/>
        <v>0</v>
      </c>
      <c r="AI22" s="155">
        <f t="shared" si="3"/>
        <v>0</v>
      </c>
      <c r="AJ22" s="155">
        <f t="shared" si="3"/>
        <v>0</v>
      </c>
    </row>
    <row r="23" spans="2:36" s="28" customFormat="1" ht="16">
      <c r="B23" s="33" t="s">
        <v>122</v>
      </c>
      <c r="C23" s="33"/>
      <c r="D23" s="33"/>
      <c r="E23" s="81" t="s">
        <v>0</v>
      </c>
      <c r="F23" s="33"/>
      <c r="G23" s="40">
        <f>G15+G17+G19+G21+G22</f>
        <v>998664.4506749229</v>
      </c>
      <c r="H23" s="40">
        <f t="shared" ref="H23:AJ23" si="4">H15+H17+H19+H21+H22</f>
        <v>994738.9754010312</v>
      </c>
      <c r="I23" s="40">
        <f t="shared" si="4"/>
        <v>990838.34972573142</v>
      </c>
      <c r="J23" s="40">
        <f t="shared" si="4"/>
        <v>986962.4494010302</v>
      </c>
      <c r="K23" s="40">
        <f t="shared" si="4"/>
        <v>983111.1508001748</v>
      </c>
      <c r="L23" s="40">
        <f t="shared" si="4"/>
        <v>979284.33091454604</v>
      </c>
      <c r="M23" s="40">
        <f t="shared" si="4"/>
        <v>975481.86735056748</v>
      </c>
      <c r="N23" s="40">
        <f t="shared" si="4"/>
        <v>971703.63832663104</v>
      </c>
      <c r="O23" s="40">
        <f t="shared" si="4"/>
        <v>967949.52267003653</v>
      </c>
      <c r="P23" s="40">
        <f t="shared" si="4"/>
        <v>958997.17759172479</v>
      </c>
      <c r="Q23" s="40">
        <f t="shared" si="4"/>
        <v>950068.70534991589</v>
      </c>
      <c r="R23" s="40">
        <f t="shared" si="4"/>
        <v>946386.20880264917</v>
      </c>
      <c r="S23" s="40">
        <f t="shared" si="4"/>
        <v>942727.34696034133</v>
      </c>
      <c r="T23" s="40">
        <f t="shared" si="4"/>
        <v>939092.00164946716</v>
      </c>
      <c r="U23" s="40">
        <f t="shared" si="4"/>
        <v>935480.05528736941</v>
      </c>
      <c r="V23" s="40">
        <f t="shared" si="4"/>
        <v>931891.39087930461</v>
      </c>
      <c r="W23" s="40">
        <f t="shared" si="4"/>
        <v>928325.89201550221</v>
      </c>
      <c r="X23" s="40">
        <f t="shared" si="4"/>
        <v>924783.44286824111</v>
      </c>
      <c r="Y23" s="40">
        <f t="shared" si="4"/>
        <v>919698.1797128194</v>
      </c>
      <c r="Z23" s="40">
        <f t="shared" si="4"/>
        <v>909413.51413079409</v>
      </c>
      <c r="AA23" s="40">
        <f t="shared" si="4"/>
        <v>900195.08049930644</v>
      </c>
      <c r="AB23" s="40">
        <f t="shared" si="4"/>
        <v>895699.23903597612</v>
      </c>
      <c r="AC23" s="40">
        <f t="shared" si="4"/>
        <v>891225.87677996256</v>
      </c>
      <c r="AD23" s="40">
        <f t="shared" si="4"/>
        <v>886774.88133522903</v>
      </c>
      <c r="AE23" s="40">
        <f t="shared" si="4"/>
        <v>881832.74695108808</v>
      </c>
      <c r="AF23" s="40">
        <f t="shared" si="4"/>
        <v>2.6193447411060332E-12</v>
      </c>
      <c r="AG23" s="40">
        <f t="shared" si="4"/>
        <v>0</v>
      </c>
      <c r="AH23" s="40">
        <f t="shared" si="4"/>
        <v>0</v>
      </c>
      <c r="AI23" s="40">
        <f t="shared" si="4"/>
        <v>0</v>
      </c>
      <c r="AJ23" s="40">
        <f t="shared" si="4"/>
        <v>0</v>
      </c>
    </row>
    <row r="24" spans="2:36" s="28" customFormat="1" ht="16">
      <c r="E24" s="79"/>
    </row>
    <row r="25" spans="2:36" s="28" customFormat="1" ht="16">
      <c r="B25" s="33" t="s">
        <v>72</v>
      </c>
      <c r="C25" s="33"/>
      <c r="D25" s="33"/>
      <c r="E25" s="79"/>
    </row>
    <row r="26" spans="2:36" s="28" customFormat="1" ht="16">
      <c r="B26" s="28" t="s">
        <v>116</v>
      </c>
      <c r="E26" s="76"/>
      <c r="F26" s="31"/>
      <c r="G26" s="323">
        <v>1</v>
      </c>
      <c r="H26" s="83">
        <f>G26*(1+IF(G$2&lt;=Inputs!$G$34,Inputs!$G$33,Inputs!$G$35))</f>
        <v>1.016</v>
      </c>
      <c r="I26" s="83">
        <f>H26*(1+IF(H$2&lt;=Inputs!$G$34,Inputs!$G$33,Inputs!$G$35))</f>
        <v>1.0322560000000001</v>
      </c>
      <c r="J26" s="83">
        <f>I26*(1+IF(I$2&lt;=Inputs!$G$34,Inputs!$G$33,Inputs!$G$35))</f>
        <v>1.048772096</v>
      </c>
      <c r="K26" s="83">
        <f>J26*(1+IF(J$2&lt;=Inputs!$G$34,Inputs!$G$33,Inputs!$G$35))</f>
        <v>1.065552449536</v>
      </c>
      <c r="L26" s="83">
        <f>K26*(1+IF(K$2&lt;=Inputs!$G$34,Inputs!$G$33,Inputs!$G$35))</f>
        <v>1.0826012887285761</v>
      </c>
      <c r="M26" s="83">
        <f>L26*(1+IF(L$2&lt;=Inputs!$G$34,Inputs!$G$33,Inputs!$G$35))</f>
        <v>1.0999229093482332</v>
      </c>
      <c r="N26" s="83">
        <f>M26*(1+IF(M$2&lt;=Inputs!$G$34,Inputs!$G$33,Inputs!$G$35))</f>
        <v>1.117521675897805</v>
      </c>
      <c r="O26" s="83">
        <f>N26*(1+IF(N$2&lt;=Inputs!$G$34,Inputs!$G$33,Inputs!$G$35))</f>
        <v>1.1354020227121699</v>
      </c>
      <c r="P26" s="83">
        <f>O26*(1+IF(O$2&lt;=Inputs!$G$34,Inputs!$G$33,Inputs!$G$35))</f>
        <v>1.1535684550755647</v>
      </c>
      <c r="Q26" s="83">
        <f>P26*(1+IF(P$2&lt;=Inputs!$G$34,Inputs!$G$33,Inputs!$G$35))</f>
        <v>1.1720255503567738</v>
      </c>
      <c r="R26" s="83">
        <f>Q26*(1+IF(Q$2&lt;=Inputs!$G$34,Inputs!$G$33,Inputs!$G$35))</f>
        <v>1.1907779591624823</v>
      </c>
      <c r="S26" s="83">
        <f>R26*(1+IF(R$2&lt;=Inputs!$G$34,Inputs!$G$33,Inputs!$G$35))</f>
        <v>1.2098304065090821</v>
      </c>
      <c r="T26" s="83">
        <f>S26*(1+IF(S$2&lt;=Inputs!$G$34,Inputs!$G$33,Inputs!$G$35))</f>
        <v>1.2291876930132275</v>
      </c>
      <c r="U26" s="83">
        <f>T26*(1+IF(T$2&lt;=Inputs!$G$34,Inputs!$G$33,Inputs!$G$35))</f>
        <v>1.2488546961014391</v>
      </c>
      <c r="V26" s="83">
        <f>U26*(1+IF(U$2&lt;=Inputs!$G$34,Inputs!$G$33,Inputs!$G$35))</f>
        <v>1.268836371239062</v>
      </c>
      <c r="W26" s="83">
        <f>V26*(1+IF(V$2&lt;=Inputs!$G$34,Inputs!$G$33,Inputs!$G$35))</f>
        <v>1.289137753178887</v>
      </c>
      <c r="X26" s="83">
        <f>W26*(1+IF(W$2&lt;=Inputs!$G$34,Inputs!$G$33,Inputs!$G$35))</f>
        <v>1.3097639572297493</v>
      </c>
      <c r="Y26" s="83">
        <f>X26*(1+IF(X$2&lt;=Inputs!$G$34,Inputs!$G$33,Inputs!$G$35))</f>
        <v>1.3307201805454252</v>
      </c>
      <c r="Z26" s="83">
        <f>Y26*(1+IF(Y$2&lt;=Inputs!$G$34,Inputs!$G$33,Inputs!$G$35))</f>
        <v>1.3520117034341521</v>
      </c>
      <c r="AA26" s="83">
        <f>Z26*(1+IF(Z$2&lt;=Inputs!$G$34,Inputs!$G$33,Inputs!$G$35))</f>
        <v>1.3736438906890986</v>
      </c>
      <c r="AB26" s="83">
        <f>AA26*(1+IF(AA$2&lt;=Inputs!$G$34,Inputs!$G$33,Inputs!$G$35))</f>
        <v>1.3956221929401242</v>
      </c>
      <c r="AC26" s="83">
        <f>AB26*(1+IF(AB$2&lt;=Inputs!$G$34,Inputs!$G$33,Inputs!$G$35))</f>
        <v>1.4179521480271662</v>
      </c>
      <c r="AD26" s="83">
        <f>AC26*(1+IF(AC$2&lt;=Inputs!$G$34,Inputs!$G$33,Inputs!$G$35))</f>
        <v>1.440639382395601</v>
      </c>
      <c r="AE26" s="83">
        <f>AD26*(1+IF(AD$2&lt;=Inputs!$G$34,Inputs!$G$33,Inputs!$G$35))</f>
        <v>1.4636896125139307</v>
      </c>
      <c r="AF26" s="83">
        <f>AE26*(1+IF(AE$2&lt;=Inputs!$G$34,Inputs!$G$33,Inputs!$G$35))</f>
        <v>1.4871086463141536</v>
      </c>
      <c r="AG26" s="83">
        <f>AF26*(1+IF(AF$2&lt;=Inputs!$G$34,Inputs!$G$33,Inputs!$G$35))</f>
        <v>1.5109023846551801</v>
      </c>
      <c r="AH26" s="83">
        <f>AG26*(1+IF(AG$2&lt;=Inputs!$G$34,Inputs!$G$33,Inputs!$G$35))</f>
        <v>1.535076822809663</v>
      </c>
      <c r="AI26" s="83">
        <f>AH26*(1+IF(AH$2&lt;=Inputs!$G$34,Inputs!$G$33,Inputs!$G$35))</f>
        <v>1.5596380519746176</v>
      </c>
      <c r="AJ26" s="83">
        <f>AI26*(1+IF(AI$2&lt;=Inputs!$G$34,Inputs!$G$33,Inputs!$G$35))</f>
        <v>1.5845922608062115</v>
      </c>
    </row>
    <row r="27" spans="2:36" s="28" customFormat="1" ht="16">
      <c r="E27" s="76"/>
      <c r="F27" s="31"/>
      <c r="G27" s="88"/>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row>
    <row r="28" spans="2:36" s="28" customFormat="1" ht="16">
      <c r="B28" s="28" t="s">
        <v>117</v>
      </c>
      <c r="E28" s="76" t="s">
        <v>0</v>
      </c>
      <c r="F28" s="31"/>
      <c r="G28" s="84">
        <f>-IF(G$2&gt;Inputs!$G$15,0,Inputs!$G$31*Inputs!$G$8*G$26)</f>
        <v>-13000</v>
      </c>
      <c r="H28" s="84">
        <f>-IF(H$2&gt;Inputs!$G$15,0,Inputs!$G$31*Inputs!$G$8*H$26)</f>
        <v>-13208</v>
      </c>
      <c r="I28" s="84">
        <f>-IF(I$2&gt;Inputs!$G$15,0,Inputs!$G$31*Inputs!$G$8*I$26)</f>
        <v>-13419.328000000001</v>
      </c>
      <c r="J28" s="84">
        <f>-IF(J$2&gt;Inputs!$G$15,0,Inputs!$G$31*Inputs!$G$8*J$26)</f>
        <v>-13634.037248000001</v>
      </c>
      <c r="K28" s="84">
        <f>-IF(K$2&gt;Inputs!$G$15,0,Inputs!$G$31*Inputs!$G$8*K$26)</f>
        <v>-13852.181843968001</v>
      </c>
      <c r="L28" s="84">
        <f>-IF(L$2&gt;Inputs!$G$15,0,Inputs!$G$31*Inputs!$G$8*L$26)</f>
        <v>-14073.816753471488</v>
      </c>
      <c r="M28" s="84">
        <f>-IF(M$2&gt;Inputs!$G$15,0,Inputs!$G$31*Inputs!$G$8*M$26)</f>
        <v>-14298.997821527031</v>
      </c>
      <c r="N28" s="84">
        <f>-IF(N$2&gt;Inputs!$G$15,0,Inputs!$G$31*Inputs!$G$8*N$26)</f>
        <v>-14527.781786671465</v>
      </c>
      <c r="O28" s="84">
        <f>-IF(O$2&gt;Inputs!$G$15,0,Inputs!$G$31*Inputs!$G$8*O$26)</f>
        <v>-14760.22629525821</v>
      </c>
      <c r="P28" s="84">
        <f>-IF(P$2&gt;Inputs!$G$15,0,Inputs!$G$31*Inputs!$G$8*P$26)</f>
        <v>-14996.389915982341</v>
      </c>
      <c r="Q28" s="84">
        <f>-IF(Q$2&gt;Inputs!$G$15,0,Inputs!$G$31*Inputs!$G$8*Q$26)</f>
        <v>-15236.332154638059</v>
      </c>
      <c r="R28" s="84">
        <f>-IF(R$2&gt;Inputs!$G$15,0,Inputs!$G$31*Inputs!$G$8*R$26)</f>
        <v>-15480.11346911227</v>
      </c>
      <c r="S28" s="84">
        <f>-IF(S$2&gt;Inputs!$G$15,0,Inputs!$G$31*Inputs!$G$8*S$26)</f>
        <v>-15727.795284618067</v>
      </c>
      <c r="T28" s="84">
        <f>-IF(T$2&gt;Inputs!$G$15,0,Inputs!$G$31*Inputs!$G$8*T$26)</f>
        <v>-15979.440009171958</v>
      </c>
      <c r="U28" s="84">
        <f>-IF(U$2&gt;Inputs!$G$15,0,Inputs!$G$31*Inputs!$G$8*U$26)</f>
        <v>-16235.111049318708</v>
      </c>
      <c r="V28" s="84">
        <f>-IF(V$2&gt;Inputs!$G$15,0,Inputs!$G$31*Inputs!$G$8*V$26)</f>
        <v>-16494.872826107807</v>
      </c>
      <c r="W28" s="84">
        <f>-IF(W$2&gt;Inputs!$G$15,0,Inputs!$G$31*Inputs!$G$8*W$26)</f>
        <v>-16758.790791325529</v>
      </c>
      <c r="X28" s="84">
        <f>-IF(X$2&gt;Inputs!$G$15,0,Inputs!$G$31*Inputs!$G$8*X$26)</f>
        <v>-17026.931443986741</v>
      </c>
      <c r="Y28" s="84">
        <f>-IF(Y$2&gt;Inputs!$G$15,0,Inputs!$G$31*Inputs!$G$8*Y$26)</f>
        <v>-17299.362347090526</v>
      </c>
      <c r="Z28" s="84">
        <f>-IF(Z$2&gt;Inputs!$G$15,0,Inputs!$G$31*Inputs!$G$8*Z$26)</f>
        <v>-17576.152144643976</v>
      </c>
      <c r="AA28" s="84">
        <f>-IF(AA$2&gt;Inputs!$G$15,0,Inputs!$G$31*Inputs!$G$8*AA$26)</f>
        <v>-17857.370578958282</v>
      </c>
      <c r="AB28" s="84">
        <f>-IF(AB$2&gt;Inputs!$G$15,0,Inputs!$G$31*Inputs!$G$8*AB$26)</f>
        <v>-18143.088508221615</v>
      </c>
      <c r="AC28" s="84">
        <f>-IF(AC$2&gt;Inputs!$G$15,0,Inputs!$G$31*Inputs!$G$8*AC$26)</f>
        <v>-18433.377924353161</v>
      </c>
      <c r="AD28" s="84">
        <f>-IF(AD$2&gt;Inputs!$G$15,0,Inputs!$G$31*Inputs!$G$8*AD$26)</f>
        <v>-18728.311971142812</v>
      </c>
      <c r="AE28" s="84">
        <f>-IF(AE$2&gt;Inputs!$G$15,0,Inputs!$G$31*Inputs!$G$8*AE$26)</f>
        <v>-19027.964962681101</v>
      </c>
      <c r="AF28" s="84">
        <f>-IF(AF$2&gt;Inputs!$G$15,0,Inputs!$G$31*Inputs!$G$8*AF$26)</f>
        <v>0</v>
      </c>
      <c r="AG28" s="84">
        <f>-IF(AG$2&gt;Inputs!$G$15,0,Inputs!$G$31*Inputs!$G$8*AG$26)</f>
        <v>0</v>
      </c>
      <c r="AH28" s="84">
        <f>-IF(AH$2&gt;Inputs!$G$15,0,Inputs!$G$31*Inputs!$G$8*AH$26)</f>
        <v>0</v>
      </c>
      <c r="AI28" s="84">
        <f>-IF(AI$2&gt;Inputs!$G$15,0,Inputs!$G$31*Inputs!$G$8*AI$26)</f>
        <v>0</v>
      </c>
      <c r="AJ28" s="84">
        <f>-IF(AJ$2&gt;Inputs!$G$15,0,Inputs!$G$31*Inputs!$G$8*AJ$26)</f>
        <v>0</v>
      </c>
    </row>
    <row r="29" spans="2:36" s="28" customFormat="1" ht="16">
      <c r="B29" s="28" t="s">
        <v>118</v>
      </c>
      <c r="E29" s="76" t="s">
        <v>0</v>
      </c>
      <c r="G29" s="84">
        <f>-IF(G$2&gt;Inputs!$G$15,0,Inputs!$G$32/100*G$5*G$26)</f>
        <v>0</v>
      </c>
      <c r="H29" s="84">
        <f>-IF(H$2&gt;Inputs!$G$15,0,Inputs!$G$32/100*H$5*H$26)</f>
        <v>0</v>
      </c>
      <c r="I29" s="84">
        <f>-IF(I$2&gt;Inputs!$G$15,0,Inputs!$G$32/100*I$5*I$26)</f>
        <v>0</v>
      </c>
      <c r="J29" s="84">
        <f>-IF(J$2&gt;Inputs!$G$15,0,Inputs!$G$32/100*J$5*J$26)</f>
        <v>0</v>
      </c>
      <c r="K29" s="84">
        <f>-IF(K$2&gt;Inputs!$G$15,0,Inputs!$G$32/100*K$5*K$26)</f>
        <v>0</v>
      </c>
      <c r="L29" s="84">
        <f>-IF(L$2&gt;Inputs!$G$15,0,Inputs!$G$32/100*L$5*L$26)</f>
        <v>0</v>
      </c>
      <c r="M29" s="84">
        <f>-IF(M$2&gt;Inputs!$G$15,0,Inputs!$G$32/100*M$5*M$26)</f>
        <v>0</v>
      </c>
      <c r="N29" s="84">
        <f>-IF(N$2&gt;Inputs!$G$15,0,Inputs!$G$32/100*N$5*N$26)</f>
        <v>0</v>
      </c>
      <c r="O29" s="84">
        <f>-IF(O$2&gt;Inputs!$G$15,0,Inputs!$G$32/100*O$5*O$26)</f>
        <v>0</v>
      </c>
      <c r="P29" s="84">
        <f>-IF(P$2&gt;Inputs!$G$15,0,Inputs!$G$32/100*P$5*P$26)</f>
        <v>0</v>
      </c>
      <c r="Q29" s="84">
        <f>-IF(Q$2&gt;Inputs!$G$15,0,Inputs!$G$32/100*Q$5*Q$26)</f>
        <v>0</v>
      </c>
      <c r="R29" s="84">
        <f>-IF(R$2&gt;Inputs!$G$15,0,Inputs!$G$32/100*R$5*R$26)</f>
        <v>0</v>
      </c>
      <c r="S29" s="84">
        <f>-IF(S$2&gt;Inputs!$G$15,0,Inputs!$G$32/100*S$5*S$26)</f>
        <v>0</v>
      </c>
      <c r="T29" s="84">
        <f>-IF(T$2&gt;Inputs!$G$15,0,Inputs!$G$32/100*T$5*T$26)</f>
        <v>0</v>
      </c>
      <c r="U29" s="84">
        <f>-IF(U$2&gt;Inputs!$G$15,0,Inputs!$G$32/100*U$5*U$26)</f>
        <v>0</v>
      </c>
      <c r="V29" s="84">
        <f>-IF(V$2&gt;Inputs!$G$15,0,Inputs!$G$32/100*V$5*V$26)</f>
        <v>0</v>
      </c>
      <c r="W29" s="84">
        <f>-IF(W$2&gt;Inputs!$G$15,0,Inputs!$G$32/100*W$5*W$26)</f>
        <v>0</v>
      </c>
      <c r="X29" s="84">
        <f>-IF(X$2&gt;Inputs!$G$15,0,Inputs!$G$32/100*X$5*X$26)</f>
        <v>0</v>
      </c>
      <c r="Y29" s="84">
        <f>-IF(Y$2&gt;Inputs!$G$15,0,Inputs!$G$32/100*Y$5*Y$26)</f>
        <v>0</v>
      </c>
      <c r="Z29" s="84">
        <f>-IF(Z$2&gt;Inputs!$G$15,0,Inputs!$G$32/100*Z$5*Z$26)</f>
        <v>0</v>
      </c>
      <c r="AA29" s="84">
        <f>-IF(AA$2&gt;Inputs!$G$15,0,Inputs!$G$32/100*AA$5*AA$26)</f>
        <v>0</v>
      </c>
      <c r="AB29" s="84">
        <f>-IF(AB$2&gt;Inputs!$G$15,0,Inputs!$G$32/100*AB$5*AB$26)</f>
        <v>0</v>
      </c>
      <c r="AC29" s="84">
        <f>-IF(AC$2&gt;Inputs!$G$15,0,Inputs!$G$32/100*AC$5*AC$26)</f>
        <v>0</v>
      </c>
      <c r="AD29" s="84">
        <f>-IF(AD$2&gt;Inputs!$G$15,0,Inputs!$G$32/100*AD$5*AD$26)</f>
        <v>0</v>
      </c>
      <c r="AE29" s="84">
        <f>-IF(AE$2&gt;Inputs!$G$15,0,Inputs!$G$32/100*AE$5*AE$26)</f>
        <v>0</v>
      </c>
      <c r="AF29" s="84">
        <f>-IF(AF$2&gt;Inputs!$G$15,0,Inputs!$G$32/100*AF$5*AF$26)</f>
        <v>0</v>
      </c>
      <c r="AG29" s="84">
        <f>-IF(AG$2&gt;Inputs!$G$15,0,Inputs!$G$32/100*AG$5*AG$26)</f>
        <v>0</v>
      </c>
      <c r="AH29" s="84">
        <f>-IF(AH$2&gt;Inputs!$G$15,0,Inputs!$G$32/100*AH$5*AH$26)</f>
        <v>0</v>
      </c>
      <c r="AI29" s="84">
        <f>-IF(AI$2&gt;Inputs!$G$15,0,Inputs!$G$32/100*AI$5*AI$26)</f>
        <v>0</v>
      </c>
      <c r="AJ29" s="84">
        <f>-IF(AJ$2&gt;Inputs!$G$15,0,Inputs!$G$32/100*AJ$5*AJ$26)</f>
        <v>0</v>
      </c>
    </row>
    <row r="30" spans="2:36" s="28" customFormat="1" ht="16">
      <c r="B30" s="28" t="s">
        <v>74</v>
      </c>
      <c r="E30" s="76" t="s">
        <v>0</v>
      </c>
      <c r="G30" s="84">
        <f>-IF(Inputs!$G$30="simple",0,IF(G$2&gt;Inputs!$G$15,0,Inputs!$G$37*G$26))</f>
        <v>-28000</v>
      </c>
      <c r="H30" s="84">
        <f>-IF(Inputs!$G$30="simple",0,IF(H$2&gt;Inputs!$G$15,0,Inputs!$G$37*H$26))</f>
        <v>-28448</v>
      </c>
      <c r="I30" s="84">
        <f>-IF(Inputs!$G$30="simple",0,IF(I$2&gt;Inputs!$G$15,0,Inputs!$G$37*I$26))</f>
        <v>-28903.168000000001</v>
      </c>
      <c r="J30" s="84">
        <f>-IF(Inputs!$G$30="simple",0,IF(J$2&gt;Inputs!$G$15,0,Inputs!$G$37*J$26))</f>
        <v>-29365.618687999999</v>
      </c>
      <c r="K30" s="84">
        <f>-IF(Inputs!$G$30="simple",0,IF(K$2&gt;Inputs!$G$15,0,Inputs!$G$37*K$26))</f>
        <v>-29835.468587007999</v>
      </c>
      <c r="L30" s="84">
        <f>-IF(Inputs!$G$30="simple",0,IF(L$2&gt;Inputs!$G$15,0,Inputs!$G$37*L$26))</f>
        <v>-30312.836084400129</v>
      </c>
      <c r="M30" s="84">
        <f>-IF(Inputs!$G$30="simple",0,IF(M$2&gt;Inputs!$G$15,0,Inputs!$G$37*M$26))</f>
        <v>-30797.84146175053</v>
      </c>
      <c r="N30" s="84">
        <f>-IF(Inputs!$G$30="simple",0,IF(N$2&gt;Inputs!$G$15,0,Inputs!$G$37*N$26))</f>
        <v>-31290.606925138542</v>
      </c>
      <c r="O30" s="84">
        <f>-IF(Inputs!$G$30="simple",0,IF(O$2&gt;Inputs!$G$15,0,Inputs!$G$37*O$26))</f>
        <v>-31791.256635940757</v>
      </c>
      <c r="P30" s="84">
        <f>-IF(Inputs!$G$30="simple",0,IF(P$2&gt;Inputs!$G$15,0,Inputs!$G$37*P$26))</f>
        <v>-32299.916742115813</v>
      </c>
      <c r="Q30" s="84">
        <f>-IF(Inputs!$G$30="simple",0,IF(Q$2&gt;Inputs!$G$15,0,Inputs!$G$37*Q$26))</f>
        <v>-32816.715409989665</v>
      </c>
      <c r="R30" s="84">
        <f>-IF(Inputs!$G$30="simple",0,IF(R$2&gt;Inputs!$G$15,0,Inputs!$G$37*R$26))</f>
        <v>-33341.782856549507</v>
      </c>
      <c r="S30" s="84">
        <f>-IF(Inputs!$G$30="simple",0,IF(S$2&gt;Inputs!$G$15,0,Inputs!$G$37*S$26))</f>
        <v>-33875.251382254297</v>
      </c>
      <c r="T30" s="84">
        <f>-IF(Inputs!$G$30="simple",0,IF(T$2&gt;Inputs!$G$15,0,Inputs!$G$37*T$26))</f>
        <v>-34417.255404370371</v>
      </c>
      <c r="U30" s="84">
        <f>-IF(Inputs!$G$30="simple",0,IF(U$2&gt;Inputs!$G$15,0,Inputs!$G$37*U$26))</f>
        <v>-34967.931490840296</v>
      </c>
      <c r="V30" s="84">
        <f>-IF(Inputs!$G$30="simple",0,IF(V$2&gt;Inputs!$G$15,0,Inputs!$G$37*V$26))</f>
        <v>-35527.418394693734</v>
      </c>
      <c r="W30" s="84">
        <f>-IF(Inputs!$G$30="simple",0,IF(W$2&gt;Inputs!$G$15,0,Inputs!$G$37*W$26))</f>
        <v>-36095.857089008838</v>
      </c>
      <c r="X30" s="84">
        <f>-IF(Inputs!$G$30="simple",0,IF(X$2&gt;Inputs!$G$15,0,Inputs!$G$37*X$26))</f>
        <v>-36673.390802432979</v>
      </c>
      <c r="Y30" s="84">
        <f>-IF(Inputs!$G$30="simple",0,IF(Y$2&gt;Inputs!$G$15,0,Inputs!$G$37*Y$26))</f>
        <v>-37260.165055271907</v>
      </c>
      <c r="Z30" s="84">
        <f>-IF(Inputs!$G$30="simple",0,IF(Z$2&gt;Inputs!$G$15,0,Inputs!$G$37*Z$26))</f>
        <v>-37856.327696156259</v>
      </c>
      <c r="AA30" s="84">
        <f>-IF(Inputs!$G$30="simple",0,IF(AA$2&gt;Inputs!$G$15,0,Inputs!$G$37*AA$26))</f>
        <v>-38462.02893929476</v>
      </c>
      <c r="AB30" s="84">
        <f>-IF(Inputs!$G$30="simple",0,IF(AB$2&gt;Inputs!$G$15,0,Inputs!$G$37*AB$26))</f>
        <v>-39077.421402323482</v>
      </c>
      <c r="AC30" s="84">
        <f>-IF(Inputs!$G$30="simple",0,IF(AC$2&gt;Inputs!$G$15,0,Inputs!$G$37*AC$26))</f>
        <v>-39702.660144760652</v>
      </c>
      <c r="AD30" s="84">
        <f>-IF(Inputs!$G$30="simple",0,IF(AD$2&gt;Inputs!$G$15,0,Inputs!$G$37*AD$26))</f>
        <v>-40337.902707076828</v>
      </c>
      <c r="AE30" s="84">
        <f>-IF(Inputs!$G$30="simple",0,IF(AE$2&gt;Inputs!$G$15,0,Inputs!$G$37*AE$26))</f>
        <v>-40983.309150390058</v>
      </c>
      <c r="AF30" s="84">
        <f>-IF(Inputs!$G$30="simple",0,IF(AF$2&gt;Inputs!$G$15,0,Inputs!$G$37*AF$26))</f>
        <v>0</v>
      </c>
      <c r="AG30" s="84">
        <f>-IF(Inputs!$G$30="simple",0,IF(AG$2&gt;Inputs!$G$15,0,Inputs!$G$37*AG$26))</f>
        <v>0</v>
      </c>
      <c r="AH30" s="84">
        <f>-IF(Inputs!$G$30="simple",0,IF(AH$2&gt;Inputs!$G$15,0,Inputs!$G$37*AH$26))</f>
        <v>0</v>
      </c>
      <c r="AI30" s="84">
        <f>-IF(Inputs!$G$30="simple",0,IF(AI$2&gt;Inputs!$G$15,0,Inputs!$G$37*AI$26))</f>
        <v>0</v>
      </c>
      <c r="AJ30" s="84">
        <f>-IF(Inputs!$G$30="simple",0,IF(AJ$2&gt;Inputs!$G$15,0,Inputs!$G$37*AJ$26))</f>
        <v>0</v>
      </c>
    </row>
    <row r="31" spans="2:36" s="28" customFormat="1" ht="16">
      <c r="B31" s="28" t="s">
        <v>73</v>
      </c>
      <c r="E31" s="76" t="s">
        <v>0</v>
      </c>
      <c r="G31" s="84">
        <f>-IF(Inputs!$G$30="simple",0,IF(G$2&gt;Inputs!$G$15,0,Inputs!$G$38*G$26))</f>
        <v>0</v>
      </c>
      <c r="H31" s="84">
        <f>-IF(Inputs!$G$30="simple",0,IF(H$2&gt;Inputs!$G$15,0,Inputs!$G$38*H$26))</f>
        <v>0</v>
      </c>
      <c r="I31" s="84">
        <f>-IF(Inputs!$G$30="simple",0,IF(I$2&gt;Inputs!$G$15,0,Inputs!$G$38*I$26))</f>
        <v>0</v>
      </c>
      <c r="J31" s="84">
        <f>-IF(Inputs!$G$30="simple",0,IF(J$2&gt;Inputs!$G$15,0,Inputs!$G$38*J$26))</f>
        <v>0</v>
      </c>
      <c r="K31" s="84">
        <f>-IF(Inputs!$G$30="simple",0,IF(K$2&gt;Inputs!$G$15,0,Inputs!$G$38*K$26))</f>
        <v>0</v>
      </c>
      <c r="L31" s="84">
        <f>-IF(Inputs!$G$30="simple",0,IF(L$2&gt;Inputs!$G$15,0,Inputs!$G$38*L$26))</f>
        <v>0</v>
      </c>
      <c r="M31" s="84">
        <f>-IF(Inputs!$G$30="simple",0,IF(M$2&gt;Inputs!$G$15,0,Inputs!$G$38*M$26))</f>
        <v>0</v>
      </c>
      <c r="N31" s="84">
        <f>-IF(Inputs!$G$30="simple",0,IF(N$2&gt;Inputs!$G$15,0,Inputs!$G$38*N$26))</f>
        <v>0</v>
      </c>
      <c r="O31" s="84">
        <f>-IF(Inputs!$G$30="simple",0,IF(O$2&gt;Inputs!$G$15,0,Inputs!$G$38*O$26))</f>
        <v>0</v>
      </c>
      <c r="P31" s="84">
        <f>-IF(Inputs!$G$30="simple",0,IF(P$2&gt;Inputs!$G$15,0,Inputs!$G$38*P$26))</f>
        <v>0</v>
      </c>
      <c r="Q31" s="84">
        <f>-IF(Inputs!$G$30="simple",0,IF(Q$2&gt;Inputs!$G$15,0,Inputs!$G$38*Q$26))</f>
        <v>0</v>
      </c>
      <c r="R31" s="84">
        <f>-IF(Inputs!$G$30="simple",0,IF(R$2&gt;Inputs!$G$15,0,Inputs!$G$38*R$26))</f>
        <v>0</v>
      </c>
      <c r="S31" s="84">
        <f>-IF(Inputs!$G$30="simple",0,IF(S$2&gt;Inputs!$G$15,0,Inputs!$G$38*S$26))</f>
        <v>0</v>
      </c>
      <c r="T31" s="84">
        <f>-IF(Inputs!$G$30="simple",0,IF(T$2&gt;Inputs!$G$15,0,Inputs!$G$38*T$26))</f>
        <v>0</v>
      </c>
      <c r="U31" s="84">
        <f>-IF(Inputs!$G$30="simple",0,IF(U$2&gt;Inputs!$G$15,0,Inputs!$G$38*U$26))</f>
        <v>0</v>
      </c>
      <c r="V31" s="84">
        <f>-IF(Inputs!$G$30="simple",0,IF(V$2&gt;Inputs!$G$15,0,Inputs!$G$38*V$26))</f>
        <v>0</v>
      </c>
      <c r="W31" s="84">
        <f>-IF(Inputs!$G$30="simple",0,IF(W$2&gt;Inputs!$G$15,0,Inputs!$G$38*W$26))</f>
        <v>0</v>
      </c>
      <c r="X31" s="84">
        <f>-IF(Inputs!$G$30="simple",0,IF(X$2&gt;Inputs!$G$15,0,Inputs!$G$38*X$26))</f>
        <v>0</v>
      </c>
      <c r="Y31" s="84">
        <f>-IF(Inputs!$G$30="simple",0,IF(Y$2&gt;Inputs!$G$15,0,Inputs!$G$38*Y$26))</f>
        <v>0</v>
      </c>
      <c r="Z31" s="84">
        <f>-IF(Inputs!$G$30="simple",0,IF(Z$2&gt;Inputs!$G$15,0,Inputs!$G$38*Z$26))</f>
        <v>0</v>
      </c>
      <c r="AA31" s="84">
        <f>-IF(Inputs!$G$30="simple",0,IF(AA$2&gt;Inputs!$G$15,0,Inputs!$G$38*AA$26))</f>
        <v>0</v>
      </c>
      <c r="AB31" s="84">
        <f>-IF(Inputs!$G$30="simple",0,IF(AB$2&gt;Inputs!$G$15,0,Inputs!$G$38*AB$26))</f>
        <v>0</v>
      </c>
      <c r="AC31" s="84">
        <f>-IF(Inputs!$G$30="simple",0,IF(AC$2&gt;Inputs!$G$15,0,Inputs!$G$38*AC$26))</f>
        <v>0</v>
      </c>
      <c r="AD31" s="84">
        <f>-IF(Inputs!$G$30="simple",0,IF(AD$2&gt;Inputs!$G$15,0,Inputs!$G$38*AD$26))</f>
        <v>0</v>
      </c>
      <c r="AE31" s="84">
        <f>-IF(Inputs!$G$30="simple",0,IF(AE$2&gt;Inputs!$G$15,0,Inputs!$G$38*AE$26))</f>
        <v>0</v>
      </c>
      <c r="AF31" s="84">
        <f>-IF(Inputs!$G$30="simple",0,IF(AF$2&gt;Inputs!$G$15,0,Inputs!$G$38*AF$26))</f>
        <v>0</v>
      </c>
      <c r="AG31" s="84">
        <f>-IF(Inputs!$G$30="simple",0,IF(AG$2&gt;Inputs!$G$15,0,Inputs!$G$38*AG$26))</f>
        <v>0</v>
      </c>
      <c r="AH31" s="84">
        <f>-IF(Inputs!$G$30="simple",0,IF(AH$2&gt;Inputs!$G$15,0,Inputs!$G$38*AH$26))</f>
        <v>0</v>
      </c>
      <c r="AI31" s="84">
        <f>-IF(Inputs!$G$30="simple",0,IF(AI$2&gt;Inputs!$G$15,0,Inputs!$G$38*AI$26))</f>
        <v>0</v>
      </c>
      <c r="AJ31" s="84">
        <f>-IF(Inputs!$G$30="simple",0,IF(AJ$2&gt;Inputs!$G$15,0,Inputs!$G$38*AJ$26))</f>
        <v>0</v>
      </c>
    </row>
    <row r="32" spans="2:36" s="28" customFormat="1" ht="16">
      <c r="B32" s="28" t="s">
        <v>119</v>
      </c>
      <c r="E32" s="76" t="s">
        <v>0</v>
      </c>
      <c r="G32" s="84">
        <f>IF(Inputs!$G$30="simple",0,IF(G$2&gt;Inputs!$G$15,0,-Inputs!$G$39))</f>
        <v>-50000</v>
      </c>
      <c r="H32" s="84">
        <f>IF(Inputs!$G$30="simple",0,IF(H$2&gt;Inputs!$G$15,0,G32*(1+Inputs!$G$40)))</f>
        <v>-45000</v>
      </c>
      <c r="I32" s="84">
        <f>IF(Inputs!$G$30="simple",0,IF(I$2&gt;Inputs!$G$15,0,H32*(1+Inputs!$G$40)))</f>
        <v>-40500</v>
      </c>
      <c r="J32" s="84">
        <f>IF(Inputs!$G$30="simple",0,IF(J$2&gt;Inputs!$G$15,0,I32*(1+Inputs!$G$40)))</f>
        <v>-36450</v>
      </c>
      <c r="K32" s="84">
        <f>IF(Inputs!$G$30="simple",0,IF(K$2&gt;Inputs!$G$15,0,J32*(1+Inputs!$G$40)))</f>
        <v>-32805</v>
      </c>
      <c r="L32" s="84">
        <f>IF(Inputs!$G$30="simple",0,IF(L$2&gt;Inputs!$G$15,0,K32*(1+Inputs!$G$40)))</f>
        <v>-29524.5</v>
      </c>
      <c r="M32" s="84">
        <f>IF(Inputs!$G$30="simple",0,IF(M$2&gt;Inputs!$G$15,0,L32*(1+Inputs!$G$40)))</f>
        <v>-26572.05</v>
      </c>
      <c r="N32" s="84">
        <f>IF(Inputs!$G$30="simple",0,IF(N$2&gt;Inputs!$G$15,0,M32*(1+Inputs!$G$40)))</f>
        <v>-23914.845000000001</v>
      </c>
      <c r="O32" s="84">
        <f>IF(Inputs!$G$30="simple",0,IF(O$2&gt;Inputs!$G$15,0,N32*(1+Inputs!$G$40)))</f>
        <v>-21523.360500000003</v>
      </c>
      <c r="P32" s="84">
        <f>IF(Inputs!$G$30="simple",0,IF(P$2&gt;Inputs!$G$15,0,O32*(1+Inputs!$G$40)))</f>
        <v>-19371.024450000004</v>
      </c>
      <c r="Q32" s="84">
        <f>IF(Inputs!$G$30="simple",0,IF(Q$2&gt;Inputs!$G$15,0,P32*(1+Inputs!$G$40)))</f>
        <v>-17433.922005000004</v>
      </c>
      <c r="R32" s="84">
        <f>IF(Inputs!$G$30="simple",0,IF(R$2&gt;Inputs!$G$15,0,Q32*(1+Inputs!$G$40)))</f>
        <v>-15690.529804500004</v>
      </c>
      <c r="S32" s="84">
        <f>IF(Inputs!$G$30="simple",0,IF(S$2&gt;Inputs!$G$15,0,R32*(1+Inputs!$G$40)))</f>
        <v>-14121.476824050003</v>
      </c>
      <c r="T32" s="84">
        <f>IF(Inputs!$G$30="simple",0,IF(T$2&gt;Inputs!$G$15,0,S32*(1+Inputs!$G$40)))</f>
        <v>-12709.329141645003</v>
      </c>
      <c r="U32" s="84">
        <f>IF(Inputs!$G$30="simple",0,IF(U$2&gt;Inputs!$G$15,0,T32*(1+Inputs!$G$40)))</f>
        <v>-11438.396227480504</v>
      </c>
      <c r="V32" s="84">
        <f>IF(Inputs!$G$30="simple",0,IF(V$2&gt;Inputs!$G$15,0,U32*(1+Inputs!$G$40)))</f>
        <v>-10294.556604732454</v>
      </c>
      <c r="W32" s="84">
        <f>IF(Inputs!$G$30="simple",0,IF(W$2&gt;Inputs!$G$15,0,V32*(1+Inputs!$G$40)))</f>
        <v>-9265.1009442592094</v>
      </c>
      <c r="X32" s="84">
        <f>IF(Inputs!$G$30="simple",0,IF(X$2&gt;Inputs!$G$15,0,W32*(1+Inputs!$G$40)))</f>
        <v>-8338.5908498332883</v>
      </c>
      <c r="Y32" s="84">
        <f>IF(Inputs!$G$30="simple",0,IF(Y$2&gt;Inputs!$G$15,0,X32*(1+Inputs!$G$40)))</f>
        <v>-7504.7317648499593</v>
      </c>
      <c r="Z32" s="84">
        <f>IF(Inputs!$G$30="simple",0,IF(Z$2&gt;Inputs!$G$15,0,Y32*(1+Inputs!$G$40)))</f>
        <v>-6754.2585883649635</v>
      </c>
      <c r="AA32" s="84">
        <f>IF(Inputs!$G$30="simple",0,IF(AA$2&gt;Inputs!$G$15,0,Z32*(1+Inputs!$G$40)))</f>
        <v>-6078.8327295284671</v>
      </c>
      <c r="AB32" s="84">
        <f>IF(Inputs!$G$30="simple",0,IF(AB$2&gt;Inputs!$G$15,0,AA32*(1+Inputs!$G$40)))</f>
        <v>-5470.9494565756204</v>
      </c>
      <c r="AC32" s="84">
        <f>IF(Inputs!$G$30="simple",0,IF(AC$2&gt;Inputs!$G$15,0,AB32*(1+Inputs!$G$40)))</f>
        <v>-4923.8545109180586</v>
      </c>
      <c r="AD32" s="84">
        <f>IF(Inputs!$G$30="simple",0,IF(AD$2&gt;Inputs!$G$15,0,AC32*(1+Inputs!$G$40)))</f>
        <v>-4431.4690598262532</v>
      </c>
      <c r="AE32" s="84">
        <f>IF(Inputs!$G$30="simple",0,IF(AE$2&gt;Inputs!$G$15,0,AD32*(1+Inputs!$G$40)))</f>
        <v>-3988.3221538436278</v>
      </c>
      <c r="AF32" s="84">
        <f>IF(Inputs!$G$30="simple",0,IF(AF$2&gt;Inputs!$G$15,0,AE32*(1+Inputs!$G$40)))</f>
        <v>0</v>
      </c>
      <c r="AG32" s="84">
        <f>IF(Inputs!$G$30="simple",0,IF(AG$2&gt;Inputs!$G$15,0,AF32*(1+Inputs!$G$40)))</f>
        <v>0</v>
      </c>
      <c r="AH32" s="84">
        <f>IF(Inputs!$G$30="simple",0,IF(AH$2&gt;Inputs!$G$15,0,AG32*(1+Inputs!$G$40)))</f>
        <v>0</v>
      </c>
      <c r="AI32" s="84">
        <f>IF(Inputs!$G$30="simple",0,IF(AI$2&gt;Inputs!$G$15,0,AH32*(1+Inputs!$G$40)))</f>
        <v>0</v>
      </c>
      <c r="AJ32" s="84">
        <f>IF(Inputs!$G$30="simple",0,IF(AJ$2&gt;Inputs!$G$15,0,AI32*(1+Inputs!$G$40)))</f>
        <v>0</v>
      </c>
    </row>
    <row r="33" spans="2:36" s="28" customFormat="1" ht="16">
      <c r="B33" s="28" t="s">
        <v>357</v>
      </c>
      <c r="E33" s="76" t="s">
        <v>0</v>
      </c>
      <c r="G33" s="84">
        <f>IF(Inputs!$G$30="simple",0,IF(G$2&gt;Inputs!$G$15,0,-Inputs!$G$41*G$26))</f>
        <v>-5000</v>
      </c>
      <c r="H33" s="84">
        <f>IF(Inputs!$G$30="simple",0,IF(H$2&gt;Inputs!$G$15,0,-Inputs!$G$41*H$26))</f>
        <v>-5080</v>
      </c>
      <c r="I33" s="84">
        <f>IF(Inputs!$G$30="simple",0,IF(I$2&gt;Inputs!$G$15,0,-Inputs!$G$41*I$26))</f>
        <v>-5161.2800000000007</v>
      </c>
      <c r="J33" s="84">
        <f>IF(Inputs!$G$30="simple",0,IF(J$2&gt;Inputs!$G$15,0,-Inputs!$G$41*J$26))</f>
        <v>-5243.8604800000003</v>
      </c>
      <c r="K33" s="84">
        <f>IF(Inputs!$G$30="simple",0,IF(K$2&gt;Inputs!$G$15,0,-Inputs!$G$41*K$26))</f>
        <v>-5327.7622476799997</v>
      </c>
      <c r="L33" s="84">
        <f>IF(Inputs!$G$30="simple",0,IF(L$2&gt;Inputs!$G$15,0,-Inputs!$G$41*L$26))</f>
        <v>-5413.0064436428802</v>
      </c>
      <c r="M33" s="84">
        <f>IF(Inputs!$G$30="simple",0,IF(M$2&gt;Inputs!$G$15,0,-Inputs!$G$41*M$26))</f>
        <v>-5499.6145467411661</v>
      </c>
      <c r="N33" s="84">
        <f>IF(Inputs!$G$30="simple",0,IF(N$2&gt;Inputs!$G$15,0,-Inputs!$G$41*N$26))</f>
        <v>-5587.6083794890255</v>
      </c>
      <c r="O33" s="84">
        <f>IF(Inputs!$G$30="simple",0,IF(O$2&gt;Inputs!$G$15,0,-Inputs!$G$41*O$26))</f>
        <v>-5677.0101135608493</v>
      </c>
      <c r="P33" s="84">
        <f>IF(Inputs!$G$30="simple",0,IF(P$2&gt;Inputs!$G$15,0,-Inputs!$G$41*P$26))</f>
        <v>-5767.8422753778232</v>
      </c>
      <c r="Q33" s="84">
        <f>IF(Inputs!$G$30="simple",0,IF(Q$2&gt;Inputs!$G$15,0,-Inputs!$G$41*Q$26))</f>
        <v>-5860.1277517838689</v>
      </c>
      <c r="R33" s="84">
        <f>IF(Inputs!$G$30="simple",0,IF(R$2&gt;Inputs!$G$15,0,-Inputs!$G$41*R$26))</f>
        <v>-5953.8897958124116</v>
      </c>
      <c r="S33" s="84">
        <f>IF(Inputs!$G$30="simple",0,IF(S$2&gt;Inputs!$G$15,0,-Inputs!$G$41*S$26))</f>
        <v>-6049.1520325454103</v>
      </c>
      <c r="T33" s="84">
        <f>IF(Inputs!$G$30="simple",0,IF(T$2&gt;Inputs!$G$15,0,-Inputs!$G$41*T$26))</f>
        <v>-6145.9384650661377</v>
      </c>
      <c r="U33" s="84">
        <f>IF(Inputs!$G$30="simple",0,IF(U$2&gt;Inputs!$G$15,0,-Inputs!$G$41*U$26))</f>
        <v>-6244.273480507195</v>
      </c>
      <c r="V33" s="84">
        <f>IF(Inputs!$G$30="simple",0,IF(V$2&gt;Inputs!$G$15,0,-Inputs!$G$41*V$26))</f>
        <v>-6344.1818561953105</v>
      </c>
      <c r="W33" s="84">
        <f>IF(Inputs!$G$30="simple",0,IF(W$2&gt;Inputs!$G$15,0,-Inputs!$G$41*W$26))</f>
        <v>-6445.6887658944352</v>
      </c>
      <c r="X33" s="84">
        <f>IF(Inputs!$G$30="simple",0,IF(X$2&gt;Inputs!$G$15,0,-Inputs!$G$41*X$26))</f>
        <v>-6548.8197861487461</v>
      </c>
      <c r="Y33" s="84">
        <f>IF(Inputs!$G$30="simple",0,IF(Y$2&gt;Inputs!$G$15,0,-Inputs!$G$41*Y$26))</f>
        <v>-6653.6009027271257</v>
      </c>
      <c r="Z33" s="84">
        <f>IF(Inputs!$G$30="simple",0,IF(Z$2&gt;Inputs!$G$15,0,-Inputs!$G$41*Z$26))</f>
        <v>-6760.0585171707608</v>
      </c>
      <c r="AA33" s="84">
        <f>IF(Inputs!$G$30="simple",0,IF(AA$2&gt;Inputs!$G$15,0,-Inputs!$G$41*AA$26))</f>
        <v>-6868.2194534454929</v>
      </c>
      <c r="AB33" s="84">
        <f>IF(Inputs!$G$30="simple",0,IF(AB$2&gt;Inputs!$G$15,0,-Inputs!$G$41*AB$26))</f>
        <v>-6978.1109647006215</v>
      </c>
      <c r="AC33" s="84">
        <f>IF(Inputs!$G$30="simple",0,IF(AC$2&gt;Inputs!$G$15,0,-Inputs!$G$41*AC$26))</f>
        <v>-7089.7607401358309</v>
      </c>
      <c r="AD33" s="84">
        <f>IF(Inputs!$G$30="simple",0,IF(AD$2&gt;Inputs!$G$15,0,-Inputs!$G$41*AD$26))</f>
        <v>-7203.1969119780051</v>
      </c>
      <c r="AE33" s="84">
        <f>IF(Inputs!$G$30="simple",0,IF(AE$2&gt;Inputs!$G$15,0,-Inputs!$G$41*AE$26))</f>
        <v>-7318.4480625696533</v>
      </c>
      <c r="AF33" s="84">
        <f>IF(Inputs!$G$30="simple",0,IF(AF$2&gt;Inputs!$G$15,0,-Inputs!$G$41*AF$26))</f>
        <v>0</v>
      </c>
      <c r="AG33" s="84">
        <f>IF(Inputs!$G$30="simple",0,IF(AG$2&gt;Inputs!$G$15,0,-Inputs!$G$41*AG$26))</f>
        <v>0</v>
      </c>
      <c r="AH33" s="84">
        <f>IF(Inputs!$G$30="simple",0,IF(AH$2&gt;Inputs!$G$15,0,-Inputs!$G$41*AH$26))</f>
        <v>0</v>
      </c>
      <c r="AI33" s="84">
        <f>IF(Inputs!$G$30="simple",0,IF(AI$2&gt;Inputs!$G$15,0,-Inputs!$G$41*AI$26))</f>
        <v>0</v>
      </c>
      <c r="AJ33" s="84">
        <f>IF(Inputs!$G$30="simple",0,IF(AJ$2&gt;Inputs!$G$15,0,-Inputs!$G$41*AJ$26))</f>
        <v>0</v>
      </c>
    </row>
    <row r="34" spans="2:36" s="28" customFormat="1" ht="16">
      <c r="B34" s="39" t="s">
        <v>120</v>
      </c>
      <c r="C34" s="39"/>
      <c r="D34" s="39"/>
      <c r="E34" s="80" t="s">
        <v>0</v>
      </c>
      <c r="F34" s="39"/>
      <c r="G34" s="53">
        <f>-IF(Inputs!$G$30="simple",0,IF(G$2&gt;Inputs!$G$15,0,Inputs!$G$42*(G$15+G$17+G$19+G$21)))</f>
        <v>-29819.518310015992</v>
      </c>
      <c r="H34" s="53">
        <f>-IF(Inputs!$G$30="simple",0,IF(H$2&gt;Inputs!$G$15,0,Inputs!$G$42*(H$15+H$17+H$19+H$21)))</f>
        <v>-29670.42071846591</v>
      </c>
      <c r="I34" s="53">
        <f>-IF(Inputs!$G$30="simple",0,IF(I$2&gt;Inputs!$G$15,0,Inputs!$G$42*(I$15+I$17+I$19+I$21)))</f>
        <v>-29522.068614873584</v>
      </c>
      <c r="J34" s="53">
        <f>-IF(Inputs!$G$30="simple",0,IF(J$2&gt;Inputs!$G$15,0,Inputs!$G$42*(J$15+J$17+J$19+J$21)))</f>
        <v>-29374.458271799216</v>
      </c>
      <c r="K34" s="53">
        <f>-IF(Inputs!$G$30="simple",0,IF(K$2&gt;Inputs!$G$15,0,Inputs!$G$42*(K$15+K$17+K$19+K$21)))</f>
        <v>-29227.585980440217</v>
      </c>
      <c r="L34" s="53">
        <f>-IF(Inputs!$G$30="simple",0,IF(L$2&gt;Inputs!$G$15,0,Inputs!$G$42*(L$15+L$17+L$19+L$21)))</f>
        <v>-29081.44805053802</v>
      </c>
      <c r="M34" s="53">
        <f>-IF(Inputs!$G$30="simple",0,IF(M$2&gt;Inputs!$G$15,0,Inputs!$G$42*(M$15+M$17+M$19+M$21)))</f>
        <v>-28936.040810285333</v>
      </c>
      <c r="N34" s="53">
        <f>-IF(Inputs!$G$30="simple",0,IF(N$2&gt;Inputs!$G$15,0,Inputs!$G$42*(N$15+N$17+N$19+N$21)))</f>
        <v>-28791.360606233902</v>
      </c>
      <c r="O34" s="53">
        <f>-IF(Inputs!$G$30="simple",0,IF(O$2&gt;Inputs!$G$15,0,Inputs!$G$42*(O$15+O$17+O$19+O$21)))</f>
        <v>-28647.403803202738</v>
      </c>
      <c r="P34" s="53">
        <f>-IF(Inputs!$G$30="simple",0,IF(P$2&gt;Inputs!$G$15,0,Inputs!$G$42*(P$15+P$17+P$19+P$21)))</f>
        <v>-28504.166784186717</v>
      </c>
      <c r="Q34" s="53">
        <f>-IF(Inputs!$G$30="simple",0,IF(Q$2&gt;Inputs!$G$15,0,Inputs!$G$42*(Q$15+Q$17+Q$19+Q$21)))</f>
        <v>-28361.645950265782</v>
      </c>
      <c r="R34" s="53">
        <f>-IF(Inputs!$G$30="simple",0,IF(R$2&gt;Inputs!$G$15,0,Inputs!$G$42*(R$15+R$17+R$19+R$21)))</f>
        <v>-28219.83772051445</v>
      </c>
      <c r="S34" s="53">
        <f>-IF(Inputs!$G$30="simple",0,IF(S$2&gt;Inputs!$G$15,0,Inputs!$G$42*(S$15+S$17+S$19+S$21)))</f>
        <v>-28078.73853191188</v>
      </c>
      <c r="T34" s="53">
        <f>-IF(Inputs!$G$30="simple",0,IF(T$2&gt;Inputs!$G$15,0,Inputs!$G$42*(T$15+T$17+T$19+T$21)))</f>
        <v>-27938.344839252324</v>
      </c>
      <c r="U34" s="53">
        <f>-IF(Inputs!$G$30="simple",0,IF(U$2&gt;Inputs!$G$15,0,Inputs!$G$42*(U$15+U$17+U$19+U$21)))</f>
        <v>-27798.653115056055</v>
      </c>
      <c r="V34" s="53">
        <f>-IF(Inputs!$G$30="simple",0,IF(V$2&gt;Inputs!$G$15,0,Inputs!$G$42*(V$15+V$17+V$19+V$21)))</f>
        <v>-27659.659849480777</v>
      </c>
      <c r="W34" s="53">
        <f>-IF(Inputs!$G$30="simple",0,IF(W$2&gt;Inputs!$G$15,0,Inputs!$G$42*(W$15+W$17+W$19+W$21)))</f>
        <v>-27521.361550233374</v>
      </c>
      <c r="X34" s="53">
        <f>-IF(Inputs!$G$30="simple",0,IF(X$2&gt;Inputs!$G$15,0,Inputs!$G$42*(X$15+X$17+X$19+X$21)))</f>
        <v>-27383.754742482204</v>
      </c>
      <c r="Y34" s="53">
        <f>-IF(Inputs!$G$30="simple",0,IF(Y$2&gt;Inputs!$G$15,0,Inputs!$G$42*(Y$15+Y$17+Y$19+Y$21)))</f>
        <v>-27246.835968769796</v>
      </c>
      <c r="Z34" s="53">
        <f>-IF(Inputs!$G$30="simple",0,IF(Z$2&gt;Inputs!$G$15,0,Inputs!$G$42*(Z$15+Z$17+Z$19+Z$21)))</f>
        <v>-27110.601788925949</v>
      </c>
      <c r="AA34" s="53">
        <f>-IF(Inputs!$G$30="simple",0,IF(AA$2&gt;Inputs!$G$15,0,Inputs!$G$42*(AA$15+AA$17+AA$19+AA$21)))</f>
        <v>-26975.048779981316</v>
      </c>
      <c r="AB34" s="53">
        <f>-IF(Inputs!$G$30="simple",0,IF(AB$2&gt;Inputs!$G$15,0,Inputs!$G$42*(AB$15+AB$17+AB$19+AB$21)))</f>
        <v>-26840.173536081409</v>
      </c>
      <c r="AC34" s="53">
        <f>-IF(Inputs!$G$30="simple",0,IF(AC$2&gt;Inputs!$G$15,0,Inputs!$G$42*(AC$15+AC$17+AC$19+AC$21)))</f>
        <v>-26705.972668401002</v>
      </c>
      <c r="AD34" s="53">
        <f>-IF(Inputs!$G$30="simple",0,IF(AD$2&gt;Inputs!$G$15,0,Inputs!$G$42*(AD$15+AD$17+AD$19+AD$21)))</f>
        <v>-26572.442805058996</v>
      </c>
      <c r="AE34" s="53">
        <f>-IF(Inputs!$G$30="simple",0,IF(AE$2&gt;Inputs!$G$15,0,Inputs!$G$42*(AE$15+AE$17+AE$19+AE$21)))</f>
        <v>-26439.580591033704</v>
      </c>
      <c r="AF34" s="53">
        <f>-IF(Inputs!$G$30="simple",0,IF(AF$2&gt;Inputs!$G$15,0,Inputs!$G$42*(AF$15+AF$17+AF$19+AF$21)))</f>
        <v>0</v>
      </c>
      <c r="AG34" s="53">
        <f>-IF(Inputs!$G$30="simple",0,IF(AG$2&gt;Inputs!$G$15,0,Inputs!$G$42*(AG$15+AG$17+AG$19+AG$21)))</f>
        <v>0</v>
      </c>
      <c r="AH34" s="53">
        <f>-IF(Inputs!$G$30="simple",0,IF(AH$2&gt;Inputs!$G$15,0,Inputs!$G$42*(AH$15+AH$17+AH$19+AH$21)))</f>
        <v>0</v>
      </c>
      <c r="AI34" s="53">
        <f>-IF(Inputs!$G$30="simple",0,IF(AI$2&gt;Inputs!$G$15,0,Inputs!$G$42*(AI$15+AI$17+AI$19+AI$21)))</f>
        <v>0</v>
      </c>
      <c r="AJ34" s="53">
        <f>-IF(Inputs!$G$30="simple",0,IF(AJ$2&gt;Inputs!$G$15,0,Inputs!$G$42*(AJ$15+AJ$17+AJ$19+AJ$21)))</f>
        <v>0</v>
      </c>
    </row>
    <row r="35" spans="2:36" s="28" customFormat="1" ht="16">
      <c r="B35" s="43" t="s">
        <v>123</v>
      </c>
      <c r="C35" s="43"/>
      <c r="D35" s="43"/>
      <c r="E35" s="81" t="s">
        <v>0</v>
      </c>
      <c r="F35" s="33"/>
      <c r="G35" s="44">
        <f>SUM(G28:G34)</f>
        <v>-125819.51831001599</v>
      </c>
      <c r="H35" s="44">
        <f t="shared" ref="H35:AJ35" si="5">SUM(H28:H34)</f>
        <v>-121406.4207184659</v>
      </c>
      <c r="I35" s="44">
        <f t="shared" si="5"/>
        <v>-117505.84461487358</v>
      </c>
      <c r="J35" s="44">
        <f t="shared" si="5"/>
        <v>-114067.97468779921</v>
      </c>
      <c r="K35" s="44">
        <f t="shared" si="5"/>
        <v>-111047.99865909622</v>
      </c>
      <c r="L35" s="44">
        <f t="shared" si="5"/>
        <v>-108405.60733205252</v>
      </c>
      <c r="M35" s="44">
        <f t="shared" si="5"/>
        <v>-106104.54464030406</v>
      </c>
      <c r="N35" s="44">
        <f t="shared" si="5"/>
        <v>-104112.20269753295</v>
      </c>
      <c r="O35" s="44">
        <f t="shared" si="5"/>
        <v>-102399.25734796256</v>
      </c>
      <c r="P35" s="44">
        <f t="shared" si="5"/>
        <v>-100939.3401676627</v>
      </c>
      <c r="Q35" s="44">
        <f t="shared" si="5"/>
        <v>-99708.743271677391</v>
      </c>
      <c r="R35" s="44">
        <f t="shared" si="5"/>
        <v>-98686.153646488645</v>
      </c>
      <c r="S35" s="44">
        <f t="shared" si="5"/>
        <v>-97852.414055379661</v>
      </c>
      <c r="T35" s="44">
        <f t="shared" si="5"/>
        <v>-97190.307859505789</v>
      </c>
      <c r="U35" s="44">
        <f t="shared" si="5"/>
        <v>-96684.365363202756</v>
      </c>
      <c r="V35" s="44">
        <f t="shared" si="5"/>
        <v>-96320.689531210082</v>
      </c>
      <c r="W35" s="44">
        <f t="shared" si="5"/>
        <v>-96086.799140721385</v>
      </c>
      <c r="X35" s="44">
        <f t="shared" si="5"/>
        <v>-95971.487624883943</v>
      </c>
      <c r="Y35" s="44">
        <f t="shared" si="5"/>
        <v>-95964.696038709313</v>
      </c>
      <c r="Z35" s="44">
        <f t="shared" si="5"/>
        <v>-96057.398735261915</v>
      </c>
      <c r="AA35" s="44">
        <f t="shared" si="5"/>
        <v>-96241.500481208321</v>
      </c>
      <c r="AB35" s="44">
        <f t="shared" si="5"/>
        <v>-96509.74386790274</v>
      </c>
      <c r="AC35" s="44">
        <f t="shared" si="5"/>
        <v>-96855.625988568703</v>
      </c>
      <c r="AD35" s="44">
        <f t="shared" si="5"/>
        <v>-97273.323455082893</v>
      </c>
      <c r="AE35" s="44">
        <f t="shared" si="5"/>
        <v>-97757.624920518152</v>
      </c>
      <c r="AF35" s="44">
        <f t="shared" si="5"/>
        <v>0</v>
      </c>
      <c r="AG35" s="44">
        <f t="shared" si="5"/>
        <v>0</v>
      </c>
      <c r="AH35" s="44">
        <f t="shared" si="5"/>
        <v>0</v>
      </c>
      <c r="AI35" s="44">
        <f t="shared" si="5"/>
        <v>0</v>
      </c>
      <c r="AJ35" s="44">
        <f t="shared" si="5"/>
        <v>0</v>
      </c>
    </row>
    <row r="36" spans="2:36" s="30" customFormat="1" ht="16" hidden="1">
      <c r="B36" s="43"/>
      <c r="C36" s="43"/>
      <c r="D36" s="43"/>
      <c r="E36" s="508"/>
      <c r="F36" s="49"/>
      <c r="G36" s="50">
        <f>IF(G35=0,"",G35)</f>
        <v>-125819.51831001599</v>
      </c>
      <c r="H36" s="50">
        <f t="shared" ref="H36:AJ36" si="6">IF(H35=0,"",H35)</f>
        <v>-121406.4207184659</v>
      </c>
      <c r="I36" s="50">
        <f t="shared" si="6"/>
        <v>-117505.84461487358</v>
      </c>
      <c r="J36" s="50">
        <f t="shared" si="6"/>
        <v>-114067.97468779921</v>
      </c>
      <c r="K36" s="50">
        <f t="shared" si="6"/>
        <v>-111047.99865909622</v>
      </c>
      <c r="L36" s="50">
        <f t="shared" si="6"/>
        <v>-108405.60733205252</v>
      </c>
      <c r="M36" s="50">
        <f t="shared" si="6"/>
        <v>-106104.54464030406</v>
      </c>
      <c r="N36" s="50">
        <f t="shared" si="6"/>
        <v>-104112.20269753295</v>
      </c>
      <c r="O36" s="50">
        <f t="shared" si="6"/>
        <v>-102399.25734796256</v>
      </c>
      <c r="P36" s="50">
        <f t="shared" si="6"/>
        <v>-100939.3401676627</v>
      </c>
      <c r="Q36" s="50">
        <f t="shared" si="6"/>
        <v>-99708.743271677391</v>
      </c>
      <c r="R36" s="50">
        <f t="shared" si="6"/>
        <v>-98686.153646488645</v>
      </c>
      <c r="S36" s="50">
        <f t="shared" si="6"/>
        <v>-97852.414055379661</v>
      </c>
      <c r="T36" s="50">
        <f t="shared" si="6"/>
        <v>-97190.307859505789</v>
      </c>
      <c r="U36" s="50">
        <f t="shared" si="6"/>
        <v>-96684.365363202756</v>
      </c>
      <c r="V36" s="50">
        <f t="shared" si="6"/>
        <v>-96320.689531210082</v>
      </c>
      <c r="W36" s="50">
        <f t="shared" si="6"/>
        <v>-96086.799140721385</v>
      </c>
      <c r="X36" s="50">
        <f t="shared" si="6"/>
        <v>-95971.487624883943</v>
      </c>
      <c r="Y36" s="50">
        <f t="shared" si="6"/>
        <v>-95964.696038709313</v>
      </c>
      <c r="Z36" s="50">
        <f t="shared" si="6"/>
        <v>-96057.398735261915</v>
      </c>
      <c r="AA36" s="50">
        <f t="shared" si="6"/>
        <v>-96241.500481208321</v>
      </c>
      <c r="AB36" s="50">
        <f t="shared" si="6"/>
        <v>-96509.74386790274</v>
      </c>
      <c r="AC36" s="50">
        <f t="shared" si="6"/>
        <v>-96855.625988568703</v>
      </c>
      <c r="AD36" s="50">
        <f t="shared" si="6"/>
        <v>-97273.323455082893</v>
      </c>
      <c r="AE36" s="50">
        <f t="shared" si="6"/>
        <v>-97757.624920518152</v>
      </c>
      <c r="AF36" s="50" t="str">
        <f t="shared" si="6"/>
        <v/>
      </c>
      <c r="AG36" s="50" t="str">
        <f t="shared" si="6"/>
        <v/>
      </c>
      <c r="AH36" s="50" t="str">
        <f t="shared" si="6"/>
        <v/>
      </c>
      <c r="AI36" s="50" t="str">
        <f t="shared" si="6"/>
        <v/>
      </c>
      <c r="AJ36" s="50" t="str">
        <f t="shared" si="6"/>
        <v/>
      </c>
    </row>
    <row r="37" spans="2:36" s="28" customFormat="1" ht="16">
      <c r="B37" s="45" t="s">
        <v>479</v>
      </c>
      <c r="C37" s="45"/>
      <c r="D37" s="45"/>
      <c r="E37" s="79" t="s">
        <v>56</v>
      </c>
      <c r="F37" s="46"/>
      <c r="G37" s="706">
        <f>IF(G$2&gt;Inputs!$G$15,0,G35*100/G5)</f>
        <v>-4.056922234536775</v>
      </c>
      <c r="H37" s="706">
        <f>IF(H$2&gt;Inputs!$G$15,0,H35*100/H5)</f>
        <v>-3.9342978863846896</v>
      </c>
      <c r="I37" s="706">
        <f>IF(I$2&gt;Inputs!$G$15,0,I35*100/I5)</f>
        <v>-3.8270309262908246</v>
      </c>
      <c r="J37" s="706">
        <f>IF(J$2&gt;Inputs!$G$15,0,J35*100/J5)</f>
        <v>-3.733732096350288</v>
      </c>
      <c r="K37" s="706">
        <f>IF(K$2&gt;Inputs!$G$15,0,K35*100/K5)</f>
        <v>-3.6531464070339492</v>
      </c>
      <c r="L37" s="706">
        <f>IF(L$2&gt;Inputs!$G$15,0,L35*100/L5)</f>
        <v>-3.5841403519052117</v>
      </c>
      <c r="M37" s="706">
        <f>IF(M$2&gt;Inputs!$G$15,0,M35*100/M5)</f>
        <v>-3.5256903437663607</v>
      </c>
      <c r="N37" s="706">
        <f>IF(N$2&gt;Inputs!$G$15,0,N35*100/N5)</f>
        <v>-3.4768722556308593</v>
      </c>
      <c r="O37" s="706">
        <f>IF(O$2&gt;Inputs!$G$15,0,O35*100/O5)</f>
        <v>-3.4368519610513069</v>
      </c>
      <c r="P37" s="706">
        <f>IF(P$2&gt;Inputs!$G$15,0,P35*100/P5)</f>
        <v>-3.4048767784031471</v>
      </c>
      <c r="Q37" s="706">
        <f>IF(Q$2&gt;Inputs!$G$15,0,Q35*100/Q5)</f>
        <v>-3.3802677328330226</v>
      </c>
      <c r="R37" s="706">
        <f>IF(R$2&gt;Inputs!$G$15,0,R35*100/R5)</f>
        <v>-3.3624125578199466</v>
      </c>
      <c r="S37" s="706">
        <f>IF(S$2&gt;Inputs!$G$15,0,S35*100/S5)</f>
        <v>-3.3507593657499433</v>
      </c>
      <c r="T37" s="706">
        <f>IF(T$2&gt;Inputs!$G$15,0,T35*100/T5)</f>
        <v>-3.3448109236458134</v>
      </c>
      <c r="U37" s="706">
        <f>IF(U$2&gt;Inputs!$G$15,0,U35*100/U5)</f>
        <v>-3.344119476291108</v>
      </c>
      <c r="V37" s="706">
        <f>IF(V$2&gt;Inputs!$G$15,0,V35*100/V5)</f>
        <v>-3.348282064502575</v>
      </c>
      <c r="W37" s="706">
        <f>IF(W$2&gt;Inputs!$G$15,0,W35*100/W5)</f>
        <v>-3.356936291294069</v>
      </c>
      <c r="X37" s="706">
        <f>IF(X$2&gt;Inputs!$G$15,0,X35*100/X5)</f>
        <v>-3.3697564931872259</v>
      </c>
      <c r="Y37" s="706">
        <f>IF(Y$2&gt;Inputs!$G$15,0,Y35*100/Y5)</f>
        <v>-3.3864502780058032</v>
      </c>
      <c r="Z37" s="706">
        <f>IF(Z$2&gt;Inputs!$G$15,0,Z35*100/Z5)</f>
        <v>-3.4067553941823938</v>
      </c>
      <c r="AA37" s="706">
        <f>IF(AA$2&gt;Inputs!$G$15,0,AA35*100/AA5)</f>
        <v>-3.4304368999456498</v>
      </c>
      <c r="AB37" s="706">
        <f>IF(AB$2&gt;Inputs!$G$15,0,AB35*100/AB5)</f>
        <v>-3.4572846037766771</v>
      </c>
      <c r="AC37" s="706">
        <f>IF(AC$2&gt;Inputs!$G$15,0,AC35*100/AC5)</f>
        <v>-3.4871107502554288</v>
      </c>
      <c r="AD37" s="706">
        <f>IF(AD$2&gt;Inputs!$G$15,0,AD35*100/AD5)</f>
        <v>-3.5197479278892563</v>
      </c>
      <c r="AE37" s="706">
        <f>IF(AE$2&gt;Inputs!$G$15,0,AE35*100/AE5)</f>
        <v>-3.5550471777511405</v>
      </c>
      <c r="AF37" s="706">
        <f>IF(AF$2&gt;Inputs!$G$15,0,AF35*100/AF5)</f>
        <v>0</v>
      </c>
      <c r="AG37" s="706">
        <f>IF(AG$2&gt;Inputs!$G$15,0,AG35*100/AG5)</f>
        <v>0</v>
      </c>
      <c r="AH37" s="706">
        <f>IF(AH$2&gt;Inputs!$G$15,0,AH35*100/AH5)</f>
        <v>0</v>
      </c>
      <c r="AI37" s="706">
        <f>IF(AI$2&gt;Inputs!$G$15,0,AI35*100/AI5)</f>
        <v>0</v>
      </c>
      <c r="AJ37" s="706">
        <f>IF(AJ$2&gt;Inputs!$G$15,0,AJ35*100/AJ5)</f>
        <v>0</v>
      </c>
    </row>
    <row r="38" spans="2:36" s="28" customFormat="1" ht="16">
      <c r="E38" s="79"/>
    </row>
    <row r="39" spans="2:36" s="28" customFormat="1" ht="16">
      <c r="B39" s="33" t="s">
        <v>124</v>
      </c>
      <c r="C39" s="33"/>
      <c r="D39" s="33"/>
      <c r="E39" s="76" t="s">
        <v>0</v>
      </c>
      <c r="F39" s="30"/>
      <c r="G39" s="44">
        <f t="shared" ref="G39:AJ39" si="7">G23+G35</f>
        <v>872844.93236490688</v>
      </c>
      <c r="H39" s="44">
        <f t="shared" si="7"/>
        <v>873332.55468256527</v>
      </c>
      <c r="I39" s="44">
        <f t="shared" si="7"/>
        <v>873332.50511085778</v>
      </c>
      <c r="J39" s="44">
        <f t="shared" si="7"/>
        <v>872894.47471323097</v>
      </c>
      <c r="K39" s="44">
        <f t="shared" si="7"/>
        <v>872063.15214107861</v>
      </c>
      <c r="L39" s="44">
        <f t="shared" si="7"/>
        <v>870878.72358249349</v>
      </c>
      <c r="M39" s="44">
        <f t="shared" si="7"/>
        <v>869377.32271026343</v>
      </c>
      <c r="N39" s="44">
        <f t="shared" si="7"/>
        <v>867591.43562909809</v>
      </c>
      <c r="O39" s="44">
        <f t="shared" si="7"/>
        <v>865550.26532207394</v>
      </c>
      <c r="P39" s="44">
        <f t="shared" si="7"/>
        <v>858057.83742406208</v>
      </c>
      <c r="Q39" s="44">
        <f t="shared" si="7"/>
        <v>850359.96207823849</v>
      </c>
      <c r="R39" s="44">
        <f t="shared" si="7"/>
        <v>847700.0551561605</v>
      </c>
      <c r="S39" s="44">
        <f t="shared" si="7"/>
        <v>844874.93290496164</v>
      </c>
      <c r="T39" s="44">
        <f t="shared" si="7"/>
        <v>841901.6937899614</v>
      </c>
      <c r="U39" s="44">
        <f t="shared" si="7"/>
        <v>838795.68992416665</v>
      </c>
      <c r="V39" s="44">
        <f t="shared" si="7"/>
        <v>835570.7013480945</v>
      </c>
      <c r="W39" s="44">
        <f t="shared" si="7"/>
        <v>832239.09287478076</v>
      </c>
      <c r="X39" s="44">
        <f t="shared" si="7"/>
        <v>828811.95524335722</v>
      </c>
      <c r="Y39" s="44">
        <f t="shared" si="7"/>
        <v>823733.48367411015</v>
      </c>
      <c r="Z39" s="44">
        <f t="shared" si="7"/>
        <v>813356.11539553222</v>
      </c>
      <c r="AA39" s="44">
        <f t="shared" si="7"/>
        <v>803953.58001809812</v>
      </c>
      <c r="AB39" s="44">
        <f t="shared" si="7"/>
        <v>799189.49516807334</v>
      </c>
      <c r="AC39" s="44">
        <f t="shared" si="7"/>
        <v>794370.25079139392</v>
      </c>
      <c r="AD39" s="44">
        <f t="shared" si="7"/>
        <v>789501.5578801462</v>
      </c>
      <c r="AE39" s="44">
        <f t="shared" si="7"/>
        <v>784075.12203056994</v>
      </c>
      <c r="AF39" s="44">
        <f t="shared" si="7"/>
        <v>2.6193447411060332E-12</v>
      </c>
      <c r="AG39" s="44">
        <f t="shared" si="7"/>
        <v>0</v>
      </c>
      <c r="AH39" s="44">
        <f t="shared" si="7"/>
        <v>0</v>
      </c>
      <c r="AI39" s="44">
        <f t="shared" si="7"/>
        <v>0</v>
      </c>
      <c r="AJ39" s="44">
        <f t="shared" si="7"/>
        <v>0</v>
      </c>
    </row>
    <row r="40" spans="2:36" s="28" customFormat="1" ht="16">
      <c r="B40" s="33"/>
      <c r="C40" s="33"/>
      <c r="D40" s="33"/>
      <c r="E40" s="76" t="s">
        <v>282</v>
      </c>
      <c r="F40" s="82" t="s">
        <v>217</v>
      </c>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row>
    <row r="41" spans="2:36" s="30" customFormat="1" ht="16">
      <c r="B41" s="47" t="s">
        <v>154</v>
      </c>
      <c r="C41" s="47"/>
      <c r="D41" s="47"/>
      <c r="E41" s="48">
        <f>IF(OR(Inputs!$G$51=0,Inputs!$G$51=""),"N/A",AVERAGE(G41:AJ41))</f>
        <v>2.5774679598234309</v>
      </c>
      <c r="F41" s="48">
        <f>IF(OR(Inputs!$G$51=0,Inputs!$G$51=""),"N/A",MIN(G41:AJ41))</f>
        <v>2.4799313071852951</v>
      </c>
      <c r="G41" s="48">
        <f>IF(OR(Inputs!$G$51=0,Inputs!$G$51=""),"N/A",IF(G$2&gt;Inputs!$G$52,"N/A",(G39+SUM(G47:G48))/-G85))</f>
        <v>2.6205444956799373</v>
      </c>
      <c r="H41" s="48">
        <f>IF(OR(Inputs!$G$51=0,Inputs!$G$51=""),"N/A",IF(H$2&gt;Inputs!$G$52,"N/A",(H39+SUM(H47:H48))/-H85))</f>
        <v>2.6221016497346774</v>
      </c>
      <c r="I41" s="48">
        <f>IF(OR(Inputs!$G$51=0,Inputs!$G$51=""),"N/A",IF(I$2&gt;Inputs!$G$52,"N/A",(I39+SUM(I47:I48))/-I85))</f>
        <v>2.6221014914343237</v>
      </c>
      <c r="J41" s="48">
        <f>IF(OR(Inputs!$G$51=0,Inputs!$G$51=""),"N/A",IF(J$2&gt;Inputs!$G$52,"N/A",(J39+SUM(J47:J48))/-J85))</f>
        <v>2.6207027022791447</v>
      </c>
      <c r="K41" s="48">
        <f>IF(OR(Inputs!$G$51=0,Inputs!$G$51=""),"N/A",IF(K$2&gt;Inputs!$G$52,"N/A",(K39+SUM(K47:K48))/-K85))</f>
        <v>2.6180479892622337</v>
      </c>
      <c r="L41" s="48">
        <f>IF(OR(Inputs!$G$51=0,Inputs!$G$51=""),"N/A",IF(L$2&gt;Inputs!$G$52,"N/A",(L39+SUM(L47:L48))/-L85))</f>
        <v>2.6142656813863199</v>
      </c>
      <c r="M41" s="48">
        <f>IF(OR(Inputs!$G$51=0,Inputs!$G$51=""),"N/A",IF(M$2&gt;Inputs!$G$52,"N/A",(M39+SUM(M47:M48))/-M85))</f>
        <v>2.6094711665101138</v>
      </c>
      <c r="N41" s="48">
        <f>IF(OR(Inputs!$G$51=0,Inputs!$G$51=""),"N/A",IF(N$2&gt;Inputs!$G$52,"N/A",(N39+SUM(N47:N48))/-N85))</f>
        <v>2.603768184490959</v>
      </c>
      <c r="O41" s="48">
        <f>IF(OR(Inputs!$G$51=0,Inputs!$G$51=""),"N/A",IF(O$2&gt;Inputs!$G$52,"N/A",(O39+SUM(O47:O48))/-O85))</f>
        <v>2.5972499909938684</v>
      </c>
      <c r="P41" s="48">
        <f>IF(OR(Inputs!$G$51=0,Inputs!$G$51=""),"N/A",IF(P$2&gt;Inputs!$G$52,"N/A",(P39+SUM(P47:P48))/-P85))</f>
        <v>2.7400883683144568</v>
      </c>
      <c r="Q41" s="48">
        <f>IF(OR(Inputs!$G$51=0,Inputs!$G$51=""),"N/A",IF(Q$2&gt;Inputs!$G$52,"N/A",(Q39+SUM(Q47:Q48))/-Q85))</f>
        <v>2.5487418701956748</v>
      </c>
      <c r="R41" s="48">
        <f>IF(OR(Inputs!$G$51=0,Inputs!$G$51=""),"N/A",IF(R$2&gt;Inputs!$G$52,"N/A",(R39+SUM(R47:R48))/-R85))</f>
        <v>2.5402478273700009</v>
      </c>
      <c r="S41" s="48">
        <f>IF(OR(Inputs!$G$51=0,Inputs!$G$51=""),"N/A",IF(S$2&gt;Inputs!$G$52,"N/A",(S39+SUM(S47:S48))/-S85))</f>
        <v>2.5312261923683144</v>
      </c>
      <c r="T41" s="48">
        <f>IF(OR(Inputs!$G$51=0,Inputs!$G$51=""),"N/A",IF(T$2&gt;Inputs!$G$52,"N/A",(T39+SUM(T47:T48))/-T85))</f>
        <v>2.521731566761622</v>
      </c>
      <c r="U41" s="48">
        <f>IF(OR(Inputs!$G$51=0,Inputs!$G$51=""),"N/A",IF(U$2&gt;Inputs!$G$52,"N/A",(U39+SUM(U47:U48))/-U85))</f>
        <v>2.5118129753876963</v>
      </c>
      <c r="V41" s="48">
        <f>IF(OR(Inputs!$G$51=0,Inputs!$G$51=""),"N/A",IF(V$2&gt;Inputs!$G$52,"N/A",(V39+SUM(V47:V48))/-V85))</f>
        <v>2.5015144228894508</v>
      </c>
      <c r="W41" s="48">
        <f>IF(OR(Inputs!$G$51=0,Inputs!$G$51=""),"N/A",IF(W$2&gt;Inputs!$G$52,"N/A",(W39+SUM(W47:W48))/-W85))</f>
        <v>2.4908753945776643</v>
      </c>
      <c r="X41" s="48">
        <f>IF(OR(Inputs!$G$51=0,Inputs!$G$51=""),"N/A",IF(X$2&gt;Inputs!$G$52,"N/A",(X39+SUM(X47:X48))/-X85))</f>
        <v>2.4799313071852951</v>
      </c>
      <c r="Y41" s="48" t="str">
        <f>IF(OR(Inputs!$G$51=0,Inputs!$G$51=""),"N/A",IF(Y$2&gt;Inputs!$G$52,"N/A",(Y39+SUM(Y47:Y48))/-Y85))</f>
        <v>N/A</v>
      </c>
      <c r="Z41" s="48" t="str">
        <f>IF(OR(Inputs!$G$51=0,Inputs!$G$51=""),"N/A",IF(Z$2&gt;Inputs!$G$52,"N/A",(Z39+SUM(Z47:Z48))/-Z85))</f>
        <v>N/A</v>
      </c>
      <c r="AA41" s="48" t="str">
        <f>IF(OR(Inputs!$G$51=0,Inputs!$G$51=""),"N/A",IF(AA$2&gt;Inputs!$G$52,"N/A",(AA39+SUM(AA47:AA48))/-AA85))</f>
        <v>N/A</v>
      </c>
      <c r="AB41" s="48" t="str">
        <f>IF(OR(Inputs!$G$51=0,Inputs!$G$51=""),"N/A",IF(AB$2&gt;Inputs!$G$52,"N/A",(AB39+SUM(AB47:AB48))/-AB85))</f>
        <v>N/A</v>
      </c>
      <c r="AC41" s="48" t="str">
        <f>IF(OR(Inputs!$G$51=0,Inputs!$G$51=""),"N/A",IF(AC$2&gt;Inputs!$G$52,"N/A",(AC39+SUM(AC47:AC48))/-AC85))</f>
        <v>N/A</v>
      </c>
      <c r="AD41" s="48" t="str">
        <f>IF(OR(Inputs!$G$51=0,Inputs!$G$51=""),"N/A",IF(AD$2&gt;Inputs!$G$52,"N/A",(AD39+SUM(AD47:AD48))/-AD85))</f>
        <v>N/A</v>
      </c>
      <c r="AE41" s="48" t="str">
        <f>IF(OR(Inputs!$G$51=0,Inputs!$G$51=""),"N/A",IF(AE$2&gt;Inputs!$G$52,"N/A",(AE39+SUM(AE47:AE48))/-AE85))</f>
        <v>N/A</v>
      </c>
      <c r="AF41" s="48" t="str">
        <f>IF(OR(Inputs!$G$51=0,Inputs!$G$51=""),"N/A",IF(AF$2&gt;Inputs!$G$52,"N/A",(AF39+SUM(AF47:AF48))/-AF85))</f>
        <v>N/A</v>
      </c>
      <c r="AG41" s="48" t="str">
        <f>IF(OR(Inputs!$G$51=0,Inputs!$G$51=""),"N/A",IF(AG$2&gt;Inputs!$G$52,"N/A",(AG39+SUM(AG47:AG48))/-AG85))</f>
        <v>N/A</v>
      </c>
      <c r="AH41" s="48" t="str">
        <f>IF(OR(Inputs!$G$51=0,Inputs!$G$51=""),"N/A",IF(AH$2&gt;Inputs!$G$52,"N/A",(AH39+SUM(AH47:AH48))/-AH85))</f>
        <v>N/A</v>
      </c>
      <c r="AI41" s="48" t="str">
        <f>IF(OR(Inputs!$G$51=0,Inputs!$G$51=""),"N/A",IF(AI$2&gt;Inputs!$G$52,"N/A",(AI39+SUM(AI47:AI48))/-AI85))</f>
        <v>N/A</v>
      </c>
      <c r="AJ41" s="48" t="str">
        <f>IF(OR(Inputs!$G$51=0,Inputs!$G$51=""),"N/A",IF(AJ$2&gt;Inputs!$G$52,"N/A",(AJ39+SUM(AJ47:AJ48))/-AJ85))</f>
        <v>N/A</v>
      </c>
    </row>
    <row r="42" spans="2:36" s="30" customFormat="1" ht="16">
      <c r="B42" s="47" t="s">
        <v>312</v>
      </c>
      <c r="C42" s="47"/>
      <c r="D42" s="47"/>
      <c r="E42" s="82"/>
      <c r="F42" s="48"/>
      <c r="G42" s="423" t="str">
        <f>IF(G41=$F$41,G2,"")</f>
        <v/>
      </c>
      <c r="H42" s="423" t="str">
        <f t="shared" ref="H42:AJ42" si="8">IF(H41=$F$41,H2,"")</f>
        <v/>
      </c>
      <c r="I42" s="423" t="str">
        <f t="shared" si="8"/>
        <v/>
      </c>
      <c r="J42" s="423" t="str">
        <f t="shared" si="8"/>
        <v/>
      </c>
      <c r="K42" s="423" t="str">
        <f t="shared" si="8"/>
        <v/>
      </c>
      <c r="L42" s="423" t="str">
        <f t="shared" si="8"/>
        <v/>
      </c>
      <c r="M42" s="423" t="str">
        <f t="shared" si="8"/>
        <v/>
      </c>
      <c r="N42" s="423" t="str">
        <f t="shared" si="8"/>
        <v/>
      </c>
      <c r="O42" s="423" t="str">
        <f t="shared" si="8"/>
        <v/>
      </c>
      <c r="P42" s="423" t="str">
        <f t="shared" si="8"/>
        <v/>
      </c>
      <c r="Q42" s="423" t="str">
        <f t="shared" si="8"/>
        <v/>
      </c>
      <c r="R42" s="423" t="str">
        <f t="shared" si="8"/>
        <v/>
      </c>
      <c r="S42" s="423" t="str">
        <f t="shared" si="8"/>
        <v/>
      </c>
      <c r="T42" s="423" t="str">
        <f t="shared" si="8"/>
        <v/>
      </c>
      <c r="U42" s="423" t="str">
        <f t="shared" si="8"/>
        <v/>
      </c>
      <c r="V42" s="423" t="str">
        <f t="shared" si="8"/>
        <v/>
      </c>
      <c r="W42" s="423" t="str">
        <f t="shared" si="8"/>
        <v/>
      </c>
      <c r="X42" s="423">
        <f t="shared" si="8"/>
        <v>18</v>
      </c>
      <c r="Y42" s="423" t="str">
        <f t="shared" si="8"/>
        <v/>
      </c>
      <c r="Z42" s="423" t="str">
        <f t="shared" si="8"/>
        <v/>
      </c>
      <c r="AA42" s="423" t="str">
        <f t="shared" si="8"/>
        <v/>
      </c>
      <c r="AB42" s="423" t="str">
        <f t="shared" si="8"/>
        <v/>
      </c>
      <c r="AC42" s="423" t="str">
        <f t="shared" si="8"/>
        <v/>
      </c>
      <c r="AD42" s="423" t="str">
        <f t="shared" si="8"/>
        <v/>
      </c>
      <c r="AE42" s="423" t="str">
        <f t="shared" si="8"/>
        <v/>
      </c>
      <c r="AF42" s="423" t="str">
        <f t="shared" si="8"/>
        <v/>
      </c>
      <c r="AG42" s="423" t="str">
        <f t="shared" si="8"/>
        <v/>
      </c>
      <c r="AH42" s="423" t="str">
        <f t="shared" si="8"/>
        <v/>
      </c>
      <c r="AI42" s="423" t="str">
        <f t="shared" si="8"/>
        <v/>
      </c>
      <c r="AJ42" s="423" t="str">
        <f t="shared" si="8"/>
        <v/>
      </c>
    </row>
    <row r="43" spans="2:36" s="28" customFormat="1" ht="16">
      <c r="B43" s="38" t="s">
        <v>129</v>
      </c>
      <c r="C43" s="38"/>
      <c r="D43" s="38"/>
      <c r="E43" s="80"/>
      <c r="F43" s="38"/>
      <c r="G43" s="42">
        <f>G86</f>
        <v>-220500</v>
      </c>
      <c r="H43" s="42">
        <f t="shared" ref="H43:AJ43" si="9">H86</f>
        <v>-214014.52133433119</v>
      </c>
      <c r="I43" s="42">
        <f t="shared" si="9"/>
        <v>-207075.05916206553</v>
      </c>
      <c r="J43" s="42">
        <f t="shared" si="9"/>
        <v>-199649.83463774127</v>
      </c>
      <c r="K43" s="42">
        <f t="shared" si="9"/>
        <v>-191704.84439671438</v>
      </c>
      <c r="L43" s="42">
        <f t="shared" si="9"/>
        <v>-183203.70483881555</v>
      </c>
      <c r="M43" s="42">
        <f t="shared" si="9"/>
        <v>-174107.48551186384</v>
      </c>
      <c r="N43" s="42">
        <f t="shared" si="9"/>
        <v>-164374.53083202546</v>
      </c>
      <c r="O43" s="42">
        <f t="shared" si="9"/>
        <v>-153960.26932459843</v>
      </c>
      <c r="P43" s="42">
        <f t="shared" si="9"/>
        <v>-142817.00951165153</v>
      </c>
      <c r="Q43" s="42">
        <f t="shared" si="9"/>
        <v>-130893.72151179831</v>
      </c>
      <c r="R43" s="42">
        <f t="shared" si="9"/>
        <v>-118135.80335195536</v>
      </c>
      <c r="S43" s="42">
        <f t="shared" si="9"/>
        <v>-104484.83092092343</v>
      </c>
      <c r="T43" s="42">
        <f t="shared" si="9"/>
        <v>-89878.290419719226</v>
      </c>
      <c r="U43" s="42">
        <f t="shared" si="9"/>
        <v>-74249.292083430744</v>
      </c>
      <c r="V43" s="42">
        <f t="shared" si="9"/>
        <v>-57526.263863602086</v>
      </c>
      <c r="W43" s="42">
        <f t="shared" si="9"/>
        <v>-39632.623668385415</v>
      </c>
      <c r="X43" s="42">
        <f t="shared" si="9"/>
        <v>-20486.428659503574</v>
      </c>
      <c r="Y43" s="42">
        <f t="shared" si="9"/>
        <v>0</v>
      </c>
      <c r="Z43" s="42">
        <f t="shared" si="9"/>
        <v>0</v>
      </c>
      <c r="AA43" s="42">
        <f t="shared" si="9"/>
        <v>0</v>
      </c>
      <c r="AB43" s="42">
        <f t="shared" si="9"/>
        <v>0</v>
      </c>
      <c r="AC43" s="42">
        <f t="shared" si="9"/>
        <v>0</v>
      </c>
      <c r="AD43" s="42">
        <f t="shared" si="9"/>
        <v>0</v>
      </c>
      <c r="AE43" s="42">
        <f t="shared" si="9"/>
        <v>0</v>
      </c>
      <c r="AF43" s="42">
        <f t="shared" si="9"/>
        <v>0</v>
      </c>
      <c r="AG43" s="42">
        <f t="shared" si="9"/>
        <v>0</v>
      </c>
      <c r="AH43" s="42">
        <f t="shared" si="9"/>
        <v>0</v>
      </c>
      <c r="AI43" s="42">
        <f t="shared" si="9"/>
        <v>0</v>
      </c>
      <c r="AJ43" s="42">
        <f t="shared" si="9"/>
        <v>0</v>
      </c>
    </row>
    <row r="44" spans="2:36" s="28" customFormat="1" ht="16">
      <c r="B44" s="49" t="s">
        <v>76</v>
      </c>
      <c r="C44" s="49"/>
      <c r="D44" s="49"/>
      <c r="E44" s="82"/>
      <c r="F44" s="49"/>
      <c r="G44" s="50">
        <f>G39+G43</f>
        <v>652344.93236490688</v>
      </c>
      <c r="H44" s="50">
        <f t="shared" ref="H44:AJ44" si="10">H39+H43</f>
        <v>659318.03334823414</v>
      </c>
      <c r="I44" s="50">
        <f t="shared" si="10"/>
        <v>666257.44594879227</v>
      </c>
      <c r="J44" s="50">
        <f t="shared" si="10"/>
        <v>673244.64007548965</v>
      </c>
      <c r="K44" s="50">
        <f t="shared" si="10"/>
        <v>680358.30774436425</v>
      </c>
      <c r="L44" s="50">
        <f t="shared" si="10"/>
        <v>687675.018743678</v>
      </c>
      <c r="M44" s="50">
        <f t="shared" si="10"/>
        <v>695269.83719839959</v>
      </c>
      <c r="N44" s="50">
        <f t="shared" si="10"/>
        <v>703216.90479707264</v>
      </c>
      <c r="O44" s="50">
        <f t="shared" si="10"/>
        <v>711589.99599747546</v>
      </c>
      <c r="P44" s="50">
        <f t="shared" si="10"/>
        <v>715240.82791241049</v>
      </c>
      <c r="Q44" s="50">
        <f t="shared" si="10"/>
        <v>719466.24056644016</v>
      </c>
      <c r="R44" s="50">
        <f t="shared" si="10"/>
        <v>729564.25180420512</v>
      </c>
      <c r="S44" s="50">
        <f t="shared" si="10"/>
        <v>740390.10198403825</v>
      </c>
      <c r="T44" s="50">
        <f t="shared" si="10"/>
        <v>752023.40337024222</v>
      </c>
      <c r="U44" s="50">
        <f t="shared" si="10"/>
        <v>764546.39784073597</v>
      </c>
      <c r="V44" s="50">
        <f t="shared" si="10"/>
        <v>778044.43748449243</v>
      </c>
      <c r="W44" s="50">
        <f t="shared" si="10"/>
        <v>792606.46920639533</v>
      </c>
      <c r="X44" s="50">
        <f t="shared" si="10"/>
        <v>808325.52658385364</v>
      </c>
      <c r="Y44" s="50">
        <f t="shared" si="10"/>
        <v>823733.48367411015</v>
      </c>
      <c r="Z44" s="50">
        <f t="shared" si="10"/>
        <v>813356.11539553222</v>
      </c>
      <c r="AA44" s="50">
        <f t="shared" si="10"/>
        <v>803953.58001809812</v>
      </c>
      <c r="AB44" s="50">
        <f t="shared" si="10"/>
        <v>799189.49516807334</v>
      </c>
      <c r="AC44" s="50">
        <f t="shared" si="10"/>
        <v>794370.25079139392</v>
      </c>
      <c r="AD44" s="50">
        <f t="shared" si="10"/>
        <v>789501.5578801462</v>
      </c>
      <c r="AE44" s="50">
        <f t="shared" si="10"/>
        <v>784075.12203056994</v>
      </c>
      <c r="AF44" s="50">
        <f t="shared" si="10"/>
        <v>2.6193447411060332E-12</v>
      </c>
      <c r="AG44" s="50">
        <f t="shared" si="10"/>
        <v>0</v>
      </c>
      <c r="AH44" s="50">
        <f t="shared" si="10"/>
        <v>0</v>
      </c>
      <c r="AI44" s="50">
        <f t="shared" si="10"/>
        <v>0</v>
      </c>
      <c r="AJ44" s="50">
        <f t="shared" si="10"/>
        <v>0</v>
      </c>
    </row>
    <row r="45" spans="2:36" s="28" customFormat="1" ht="16">
      <c r="B45" s="30"/>
      <c r="C45" s="30"/>
      <c r="D45" s="30"/>
      <c r="E45" s="82"/>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2:36" s="28" customFormat="1" ht="16">
      <c r="B46" s="35" t="s">
        <v>128</v>
      </c>
      <c r="C46" s="35"/>
      <c r="D46" s="35"/>
      <c r="E46" s="76"/>
      <c r="F46" s="35"/>
      <c r="G46" s="41">
        <f>G87</f>
        <v>-92649.695223840274</v>
      </c>
      <c r="H46" s="41">
        <f t="shared" ref="H46:AJ46" si="11">H87</f>
        <v>-99135.173889509097</v>
      </c>
      <c r="I46" s="41">
        <f t="shared" si="11"/>
        <v>-106074.63606177476</v>
      </c>
      <c r="J46" s="41">
        <f t="shared" si="11"/>
        <v>-113499.86058609896</v>
      </c>
      <c r="K46" s="41">
        <f t="shared" si="11"/>
        <v>-121444.85082712591</v>
      </c>
      <c r="L46" s="41">
        <f t="shared" si="11"/>
        <v>-129945.99038502472</v>
      </c>
      <c r="M46" s="41">
        <f t="shared" si="11"/>
        <v>-139042.20971197647</v>
      </c>
      <c r="N46" s="41">
        <f t="shared" si="11"/>
        <v>-148775.16439181482</v>
      </c>
      <c r="O46" s="41">
        <f t="shared" si="11"/>
        <v>-159189.42589924182</v>
      </c>
      <c r="P46" s="41">
        <f t="shared" si="11"/>
        <v>-170332.68571218877</v>
      </c>
      <c r="Q46" s="41">
        <f t="shared" si="11"/>
        <v>-182255.97371204197</v>
      </c>
      <c r="R46" s="41">
        <f t="shared" si="11"/>
        <v>-195013.89187188493</v>
      </c>
      <c r="S46" s="41">
        <f t="shared" si="11"/>
        <v>-208664.86430291686</v>
      </c>
      <c r="T46" s="41">
        <f t="shared" si="11"/>
        <v>-223271.40480412103</v>
      </c>
      <c r="U46" s="41">
        <f t="shared" si="11"/>
        <v>-238900.4031404095</v>
      </c>
      <c r="V46" s="41">
        <f t="shared" si="11"/>
        <v>-255623.4313602382</v>
      </c>
      <c r="W46" s="41">
        <f t="shared" si="11"/>
        <v>-273517.07155545487</v>
      </c>
      <c r="X46" s="41">
        <f t="shared" si="11"/>
        <v>-292663.26656433672</v>
      </c>
      <c r="Y46" s="41">
        <f t="shared" si="11"/>
        <v>0</v>
      </c>
      <c r="Z46" s="41">
        <f t="shared" si="11"/>
        <v>0</v>
      </c>
      <c r="AA46" s="41">
        <f t="shared" si="11"/>
        <v>0</v>
      </c>
      <c r="AB46" s="41">
        <f t="shared" si="11"/>
        <v>0</v>
      </c>
      <c r="AC46" s="41">
        <f t="shared" si="11"/>
        <v>0</v>
      </c>
      <c r="AD46" s="41">
        <f t="shared" si="11"/>
        <v>0</v>
      </c>
      <c r="AE46" s="41">
        <f t="shared" si="11"/>
        <v>0</v>
      </c>
      <c r="AF46" s="41">
        <f t="shared" si="11"/>
        <v>0</v>
      </c>
      <c r="AG46" s="41">
        <f t="shared" si="11"/>
        <v>0</v>
      </c>
      <c r="AH46" s="41">
        <f t="shared" si="11"/>
        <v>0</v>
      </c>
      <c r="AI46" s="41">
        <f t="shared" si="11"/>
        <v>0</v>
      </c>
      <c r="AJ46" s="41">
        <f t="shared" si="11"/>
        <v>0</v>
      </c>
    </row>
    <row r="47" spans="2:36" s="37" customFormat="1" ht="16">
      <c r="B47" s="35" t="s">
        <v>210</v>
      </c>
      <c r="C47" s="35"/>
      <c r="D47" s="35"/>
      <c r="E47" s="76"/>
      <c r="F47" s="35"/>
      <c r="G47" s="41">
        <f>-G200</f>
        <v>-52222.222222222219</v>
      </c>
      <c r="H47" s="41">
        <f t="shared" ref="H47:AJ47" si="12">-H200</f>
        <v>-52222.222222222219</v>
      </c>
      <c r="I47" s="41">
        <f t="shared" si="12"/>
        <v>-52222.222222222219</v>
      </c>
      <c r="J47" s="41">
        <f t="shared" si="12"/>
        <v>-52222.222222222219</v>
      </c>
      <c r="K47" s="41">
        <f t="shared" si="12"/>
        <v>-52222.222222222219</v>
      </c>
      <c r="L47" s="41">
        <f t="shared" si="12"/>
        <v>-52222.222222222219</v>
      </c>
      <c r="M47" s="41">
        <f t="shared" si="12"/>
        <v>-52222.222222222219</v>
      </c>
      <c r="N47" s="41">
        <f t="shared" si="12"/>
        <v>-52222.222222222219</v>
      </c>
      <c r="O47" s="41">
        <f t="shared" si="12"/>
        <v>-52222.222222222219</v>
      </c>
      <c r="P47" s="41">
        <f t="shared" si="12"/>
        <v>470000</v>
      </c>
      <c r="Q47" s="41">
        <f t="shared" si="12"/>
        <v>-52222.222222222219</v>
      </c>
      <c r="R47" s="41">
        <f t="shared" si="12"/>
        <v>-52222.222222222219</v>
      </c>
      <c r="S47" s="41">
        <f t="shared" si="12"/>
        <v>-52222.222222222219</v>
      </c>
      <c r="T47" s="41">
        <f t="shared" si="12"/>
        <v>-52222.222222222219</v>
      </c>
      <c r="U47" s="41">
        <f t="shared" si="12"/>
        <v>-52222.222222222219</v>
      </c>
      <c r="V47" s="41">
        <f t="shared" si="12"/>
        <v>-52222.222222222219</v>
      </c>
      <c r="W47" s="41">
        <f t="shared" si="12"/>
        <v>-52222.222222222219</v>
      </c>
      <c r="X47" s="41">
        <f t="shared" si="12"/>
        <v>-52222.222222222219</v>
      </c>
      <c r="Y47" s="41">
        <f t="shared" si="12"/>
        <v>104352.62538969793</v>
      </c>
      <c r="Z47" s="41">
        <f t="shared" si="12"/>
        <v>470000</v>
      </c>
      <c r="AA47" s="41">
        <f t="shared" si="12"/>
        <v>0</v>
      </c>
      <c r="AB47" s="41">
        <f t="shared" si="12"/>
        <v>0</v>
      </c>
      <c r="AC47" s="41">
        <f t="shared" si="12"/>
        <v>0</v>
      </c>
      <c r="AD47" s="41">
        <f t="shared" si="12"/>
        <v>0</v>
      </c>
      <c r="AE47" s="41">
        <f t="shared" si="12"/>
        <v>51339.391663121729</v>
      </c>
      <c r="AF47" s="41">
        <f t="shared" si="12"/>
        <v>0</v>
      </c>
      <c r="AG47" s="41">
        <f t="shared" si="12"/>
        <v>0</v>
      </c>
      <c r="AH47" s="41">
        <f t="shared" si="12"/>
        <v>0</v>
      </c>
      <c r="AI47" s="41">
        <f t="shared" si="12"/>
        <v>0</v>
      </c>
      <c r="AJ47" s="41">
        <f t="shared" si="12"/>
        <v>0</v>
      </c>
    </row>
    <row r="48" spans="2:36" s="37" customFormat="1" ht="16">
      <c r="B48" s="38" t="s">
        <v>211</v>
      </c>
      <c r="C48" s="38"/>
      <c r="D48" s="38"/>
      <c r="E48" s="80"/>
      <c r="F48" s="38"/>
      <c r="G48" s="42">
        <f>MIN(G195,0)</f>
        <v>0</v>
      </c>
      <c r="H48" s="42">
        <f t="shared" ref="H48:AJ48" si="13">MIN(H195,0)</f>
        <v>0</v>
      </c>
      <c r="I48" s="42">
        <f t="shared" si="13"/>
        <v>0</v>
      </c>
      <c r="J48" s="42">
        <f t="shared" si="13"/>
        <v>0</v>
      </c>
      <c r="K48" s="42">
        <f t="shared" si="13"/>
        <v>0</v>
      </c>
      <c r="L48" s="42">
        <f t="shared" si="13"/>
        <v>0</v>
      </c>
      <c r="M48" s="42">
        <f t="shared" si="13"/>
        <v>0</v>
      </c>
      <c r="N48" s="42">
        <f t="shared" si="13"/>
        <v>0</v>
      </c>
      <c r="O48" s="42">
        <f t="shared" si="13"/>
        <v>0</v>
      </c>
      <c r="P48" s="42">
        <f t="shared" si="13"/>
        <v>-470000</v>
      </c>
      <c r="Q48" s="42">
        <f t="shared" si="13"/>
        <v>0</v>
      </c>
      <c r="R48" s="42">
        <f t="shared" si="13"/>
        <v>0</v>
      </c>
      <c r="S48" s="42">
        <f t="shared" si="13"/>
        <v>0</v>
      </c>
      <c r="T48" s="42">
        <f t="shared" si="13"/>
        <v>0</v>
      </c>
      <c r="U48" s="42">
        <f t="shared" si="13"/>
        <v>0</v>
      </c>
      <c r="V48" s="42">
        <f t="shared" si="13"/>
        <v>0</v>
      </c>
      <c r="W48" s="42">
        <f t="shared" si="13"/>
        <v>0</v>
      </c>
      <c r="X48" s="42">
        <f t="shared" si="13"/>
        <v>0</v>
      </c>
      <c r="Y48" s="42">
        <f t="shared" si="13"/>
        <v>0</v>
      </c>
      <c r="Z48" s="42">
        <f t="shared" si="13"/>
        <v>-470000</v>
      </c>
      <c r="AA48" s="42">
        <f t="shared" si="13"/>
        <v>0</v>
      </c>
      <c r="AB48" s="42">
        <f t="shared" si="13"/>
        <v>0</v>
      </c>
      <c r="AC48" s="42">
        <f t="shared" si="13"/>
        <v>0</v>
      </c>
      <c r="AD48" s="42">
        <f t="shared" si="13"/>
        <v>0</v>
      </c>
      <c r="AE48" s="42">
        <f t="shared" si="13"/>
        <v>0</v>
      </c>
      <c r="AF48" s="42">
        <f t="shared" si="13"/>
        <v>0</v>
      </c>
      <c r="AG48" s="42">
        <f t="shared" si="13"/>
        <v>0</v>
      </c>
      <c r="AH48" s="42">
        <f t="shared" si="13"/>
        <v>0</v>
      </c>
      <c r="AI48" s="42">
        <f t="shared" si="13"/>
        <v>0</v>
      </c>
      <c r="AJ48" s="42">
        <f t="shared" si="13"/>
        <v>0</v>
      </c>
    </row>
    <row r="49" spans="1:36" s="28" customFormat="1" ht="17">
      <c r="A49" s="30"/>
      <c r="B49" s="51" t="s">
        <v>77</v>
      </c>
      <c r="C49" s="51"/>
      <c r="D49" s="51"/>
      <c r="E49" s="336"/>
      <c r="F49" s="336"/>
      <c r="G49" s="44">
        <f>G44+SUM(G46:G48)</f>
        <v>507473.01491884439</v>
      </c>
      <c r="H49" s="44">
        <f t="shared" ref="H49:AJ49" si="14">H44+SUM(H46:H48)</f>
        <v>507960.63723650284</v>
      </c>
      <c r="I49" s="44">
        <f t="shared" si="14"/>
        <v>507960.58766479528</v>
      </c>
      <c r="J49" s="44">
        <f t="shared" si="14"/>
        <v>507522.55726716848</v>
      </c>
      <c r="K49" s="44">
        <f t="shared" si="14"/>
        <v>506691.23469501612</v>
      </c>
      <c r="L49" s="44">
        <f t="shared" si="14"/>
        <v>505506.80613643106</v>
      </c>
      <c r="M49" s="44">
        <f t="shared" si="14"/>
        <v>504005.40526420088</v>
      </c>
      <c r="N49" s="44">
        <f t="shared" si="14"/>
        <v>502219.5181830356</v>
      </c>
      <c r="O49" s="44">
        <f t="shared" si="14"/>
        <v>500178.34787601139</v>
      </c>
      <c r="P49" s="44">
        <f t="shared" si="14"/>
        <v>544908.14220022177</v>
      </c>
      <c r="Q49" s="44">
        <f t="shared" si="14"/>
        <v>484988.04463217594</v>
      </c>
      <c r="R49" s="44">
        <f t="shared" si="14"/>
        <v>482328.13771009794</v>
      </c>
      <c r="S49" s="44">
        <f t="shared" si="14"/>
        <v>479503.0154588992</v>
      </c>
      <c r="T49" s="44">
        <f t="shared" si="14"/>
        <v>476529.77634389896</v>
      </c>
      <c r="U49" s="44">
        <f t="shared" si="14"/>
        <v>473423.77247810422</v>
      </c>
      <c r="V49" s="44">
        <f t="shared" si="14"/>
        <v>470198.78390203201</v>
      </c>
      <c r="W49" s="44">
        <f t="shared" si="14"/>
        <v>466867.17542871821</v>
      </c>
      <c r="X49" s="44">
        <f t="shared" si="14"/>
        <v>463440.03779729467</v>
      </c>
      <c r="Y49" s="44">
        <f t="shared" si="14"/>
        <v>928086.10906380811</v>
      </c>
      <c r="Z49" s="44">
        <f t="shared" si="14"/>
        <v>813356.11539553222</v>
      </c>
      <c r="AA49" s="44">
        <f t="shared" si="14"/>
        <v>803953.58001809812</v>
      </c>
      <c r="AB49" s="44">
        <f t="shared" si="14"/>
        <v>799189.49516807334</v>
      </c>
      <c r="AC49" s="44">
        <f t="shared" si="14"/>
        <v>794370.25079139392</v>
      </c>
      <c r="AD49" s="44">
        <f t="shared" si="14"/>
        <v>789501.5578801462</v>
      </c>
      <c r="AE49" s="44">
        <f t="shared" si="14"/>
        <v>835414.5136936917</v>
      </c>
      <c r="AF49" s="44">
        <f t="shared" si="14"/>
        <v>2.6193447411060332E-12</v>
      </c>
      <c r="AG49" s="44">
        <f t="shared" si="14"/>
        <v>0</v>
      </c>
      <c r="AH49" s="44">
        <f t="shared" si="14"/>
        <v>0</v>
      </c>
      <c r="AI49" s="44">
        <f t="shared" si="14"/>
        <v>0</v>
      </c>
      <c r="AJ49" s="44">
        <f t="shared" si="14"/>
        <v>0</v>
      </c>
    </row>
    <row r="50" spans="1:36" s="28" customFormat="1" ht="16">
      <c r="B50" s="33"/>
      <c r="C50" s="33"/>
      <c r="D50" s="33"/>
      <c r="G50" s="52"/>
    </row>
    <row r="51" spans="1:36" s="28" customFormat="1" ht="16">
      <c r="B51" s="29" t="s">
        <v>78</v>
      </c>
      <c r="C51" s="29"/>
      <c r="D51" s="29"/>
      <c r="F51" s="87"/>
      <c r="G51" s="52"/>
    </row>
    <row r="52" spans="1:36" s="28" customFormat="1" ht="16">
      <c r="B52" s="30" t="s">
        <v>286</v>
      </c>
      <c r="C52" s="30"/>
      <c r="D52" s="30"/>
      <c r="F52" s="52">
        <f>-(Inputs!$G$26-Inputs!G69-$F$82)</f>
        <v>-4239914.239275042</v>
      </c>
      <c r="G52" s="52">
        <v>0</v>
      </c>
      <c r="H52" s="52">
        <v>0</v>
      </c>
      <c r="I52" s="52">
        <v>0</v>
      </c>
      <c r="J52" s="52">
        <v>0</v>
      </c>
      <c r="K52" s="52">
        <v>0</v>
      </c>
      <c r="L52" s="52">
        <v>0</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52">
        <v>0</v>
      </c>
      <c r="AD52" s="52">
        <v>0</v>
      </c>
      <c r="AE52" s="52">
        <v>0</v>
      </c>
      <c r="AF52" s="52">
        <v>0</v>
      </c>
      <c r="AG52" s="52">
        <v>0</v>
      </c>
      <c r="AH52" s="52">
        <v>0</v>
      </c>
      <c r="AI52" s="52">
        <v>0</v>
      </c>
      <c r="AJ52" s="52">
        <v>0</v>
      </c>
    </row>
    <row r="53" spans="1:36" s="28" customFormat="1" ht="16">
      <c r="B53" s="39" t="s">
        <v>77</v>
      </c>
      <c r="C53" s="39"/>
      <c r="D53" s="39"/>
      <c r="E53" s="39"/>
      <c r="F53" s="39"/>
      <c r="G53" s="53">
        <f>G49</f>
        <v>507473.01491884439</v>
      </c>
      <c r="H53" s="53">
        <f t="shared" ref="H53:AJ53" si="15">H49</f>
        <v>507960.63723650284</v>
      </c>
      <c r="I53" s="53">
        <f t="shared" si="15"/>
        <v>507960.58766479528</v>
      </c>
      <c r="J53" s="53">
        <f t="shared" si="15"/>
        <v>507522.55726716848</v>
      </c>
      <c r="K53" s="53">
        <f t="shared" si="15"/>
        <v>506691.23469501612</v>
      </c>
      <c r="L53" s="53">
        <f t="shared" si="15"/>
        <v>505506.80613643106</v>
      </c>
      <c r="M53" s="53">
        <f t="shared" si="15"/>
        <v>504005.40526420088</v>
      </c>
      <c r="N53" s="53">
        <f t="shared" si="15"/>
        <v>502219.5181830356</v>
      </c>
      <c r="O53" s="53">
        <f t="shared" si="15"/>
        <v>500178.34787601139</v>
      </c>
      <c r="P53" s="53">
        <f t="shared" si="15"/>
        <v>544908.14220022177</v>
      </c>
      <c r="Q53" s="53">
        <f t="shared" si="15"/>
        <v>484988.04463217594</v>
      </c>
      <c r="R53" s="53">
        <f t="shared" si="15"/>
        <v>482328.13771009794</v>
      </c>
      <c r="S53" s="53">
        <f t="shared" si="15"/>
        <v>479503.0154588992</v>
      </c>
      <c r="T53" s="53">
        <f t="shared" si="15"/>
        <v>476529.77634389896</v>
      </c>
      <c r="U53" s="53">
        <f t="shared" si="15"/>
        <v>473423.77247810422</v>
      </c>
      <c r="V53" s="53">
        <f t="shared" si="15"/>
        <v>470198.78390203201</v>
      </c>
      <c r="W53" s="53">
        <f t="shared" si="15"/>
        <v>466867.17542871821</v>
      </c>
      <c r="X53" s="53">
        <f t="shared" si="15"/>
        <v>463440.03779729467</v>
      </c>
      <c r="Y53" s="53">
        <f t="shared" si="15"/>
        <v>928086.10906380811</v>
      </c>
      <c r="Z53" s="53">
        <f t="shared" si="15"/>
        <v>813356.11539553222</v>
      </c>
      <c r="AA53" s="53">
        <f t="shared" si="15"/>
        <v>803953.58001809812</v>
      </c>
      <c r="AB53" s="53">
        <f t="shared" si="15"/>
        <v>799189.49516807334</v>
      </c>
      <c r="AC53" s="53">
        <f t="shared" si="15"/>
        <v>794370.25079139392</v>
      </c>
      <c r="AD53" s="53">
        <f t="shared" si="15"/>
        <v>789501.5578801462</v>
      </c>
      <c r="AE53" s="53">
        <f t="shared" si="15"/>
        <v>835414.5136936917</v>
      </c>
      <c r="AF53" s="53">
        <f t="shared" si="15"/>
        <v>2.6193447411060332E-12</v>
      </c>
      <c r="AG53" s="53">
        <f t="shared" si="15"/>
        <v>0</v>
      </c>
      <c r="AH53" s="53">
        <f t="shared" si="15"/>
        <v>0</v>
      </c>
      <c r="AI53" s="53">
        <f t="shared" si="15"/>
        <v>0</v>
      </c>
      <c r="AJ53" s="53">
        <f t="shared" si="15"/>
        <v>0</v>
      </c>
    </row>
    <row r="54" spans="1:36" s="28" customFormat="1" ht="17">
      <c r="B54" s="51" t="s">
        <v>130</v>
      </c>
      <c r="C54" s="51"/>
      <c r="D54" s="51"/>
      <c r="E54" s="395"/>
      <c r="F54" s="52">
        <f t="shared" ref="F54:AJ54" si="16">SUM(F52:F53)</f>
        <v>-4239914.239275042</v>
      </c>
      <c r="G54" s="52">
        <f t="shared" si="16"/>
        <v>507473.01491884439</v>
      </c>
      <c r="H54" s="52">
        <f t="shared" si="16"/>
        <v>507960.63723650284</v>
      </c>
      <c r="I54" s="52">
        <f t="shared" si="16"/>
        <v>507960.58766479528</v>
      </c>
      <c r="J54" s="52">
        <f t="shared" si="16"/>
        <v>507522.55726716848</v>
      </c>
      <c r="K54" s="52">
        <f t="shared" si="16"/>
        <v>506691.23469501612</v>
      </c>
      <c r="L54" s="52">
        <f t="shared" si="16"/>
        <v>505506.80613643106</v>
      </c>
      <c r="M54" s="52">
        <f t="shared" si="16"/>
        <v>504005.40526420088</v>
      </c>
      <c r="N54" s="52">
        <f t="shared" si="16"/>
        <v>502219.5181830356</v>
      </c>
      <c r="O54" s="52">
        <f t="shared" si="16"/>
        <v>500178.34787601139</v>
      </c>
      <c r="P54" s="52">
        <f t="shared" si="16"/>
        <v>544908.14220022177</v>
      </c>
      <c r="Q54" s="52">
        <f t="shared" si="16"/>
        <v>484988.04463217594</v>
      </c>
      <c r="R54" s="52">
        <f t="shared" si="16"/>
        <v>482328.13771009794</v>
      </c>
      <c r="S54" s="52">
        <f t="shared" si="16"/>
        <v>479503.0154588992</v>
      </c>
      <c r="T54" s="52">
        <f t="shared" si="16"/>
        <v>476529.77634389896</v>
      </c>
      <c r="U54" s="52">
        <f t="shared" si="16"/>
        <v>473423.77247810422</v>
      </c>
      <c r="V54" s="52">
        <f t="shared" si="16"/>
        <v>470198.78390203201</v>
      </c>
      <c r="W54" s="52">
        <f t="shared" si="16"/>
        <v>466867.17542871821</v>
      </c>
      <c r="X54" s="52">
        <f t="shared" si="16"/>
        <v>463440.03779729467</v>
      </c>
      <c r="Y54" s="52">
        <f t="shared" si="16"/>
        <v>928086.10906380811</v>
      </c>
      <c r="Z54" s="52">
        <f t="shared" si="16"/>
        <v>813356.11539553222</v>
      </c>
      <c r="AA54" s="52">
        <f t="shared" si="16"/>
        <v>803953.58001809812</v>
      </c>
      <c r="AB54" s="52">
        <f t="shared" si="16"/>
        <v>799189.49516807334</v>
      </c>
      <c r="AC54" s="52">
        <f t="shared" si="16"/>
        <v>794370.25079139392</v>
      </c>
      <c r="AD54" s="52">
        <f t="shared" si="16"/>
        <v>789501.5578801462</v>
      </c>
      <c r="AE54" s="52">
        <f t="shared" si="16"/>
        <v>835414.5136936917</v>
      </c>
      <c r="AF54" s="52">
        <f t="shared" si="16"/>
        <v>2.6193447411060332E-12</v>
      </c>
      <c r="AG54" s="52">
        <f t="shared" si="16"/>
        <v>0</v>
      </c>
      <c r="AH54" s="52">
        <f t="shared" si="16"/>
        <v>0</v>
      </c>
      <c r="AI54" s="52">
        <f t="shared" si="16"/>
        <v>0</v>
      </c>
      <c r="AJ54" s="52">
        <f t="shared" si="16"/>
        <v>0</v>
      </c>
    </row>
    <row r="55" spans="1:36" s="28" customFormat="1" ht="17">
      <c r="B55" s="54" t="s">
        <v>79</v>
      </c>
      <c r="C55" s="54"/>
      <c r="D55" s="54"/>
      <c r="E55" s="52"/>
      <c r="F55" s="85"/>
      <c r="G55" s="378">
        <f>IF(ISERROR(IRR($F54:G54)),"NA",IRR($F54:G54))</f>
        <v>-0.88031054727049995</v>
      </c>
      <c r="H55" s="378">
        <f>IF(ISERROR(IRR($F54:H54)),"NA",IRR($F54:H54))</f>
        <v>-0.58889205097597241</v>
      </c>
      <c r="I55" s="378">
        <f>IF(ISERROR(IRR($F54:I54)),"NA",IRR($F54:I54))</f>
        <v>-0.37801467699251445</v>
      </c>
      <c r="J55" s="378">
        <f>IF(ISERROR(IRR($F54:J54)),"NA",IRR($F54:J54))</f>
        <v>-0.24090800612541863</v>
      </c>
      <c r="K55" s="378">
        <f>IF(ISERROR(IRR($F54:K54)),"NA",IRR($F54:K54))</f>
        <v>-0.14990885656790232</v>
      </c>
      <c r="L55" s="378">
        <f>IF(ISERROR(IRR($F54:L54)),"NA",IRR($F54:L54))</f>
        <v>-8.7306369516834903E-2</v>
      </c>
      <c r="M55" s="378">
        <f>IF(ISERROR(IRR($F54:M54)),"NA",IRR($F54:M54))</f>
        <v>-4.2758694530572905E-2</v>
      </c>
      <c r="N55" s="378">
        <f>IF(ISERROR(IRR($F54:N54)),"NA",IRR($F54:N54))</f>
        <v>-1.0125954452117392E-2</v>
      </c>
      <c r="O55" s="378">
        <f>IF(ISERROR(IRR($F54:O54)),"NA",IRR($F54:O54))</f>
        <v>1.4368640206135375E-2</v>
      </c>
      <c r="P55" s="378">
        <f>IF(ISERROR(IRR($F54:P54)),"NA",IRR($F54:P54))</f>
        <v>3.4705783460232231E-2</v>
      </c>
      <c r="Q55" s="378">
        <f>IF(ISERROR(IRR($F54:Q54)),"NA",IRR($F54:Q54))</f>
        <v>4.8799209168754798E-2</v>
      </c>
      <c r="R55" s="378">
        <f>IF(ISERROR(IRR($F54:R54)),"NA",IRR($F54:R54))</f>
        <v>6.0009287426368019E-2</v>
      </c>
      <c r="S55" s="378">
        <f>IF(ISERROR(IRR($F54:S54)),"NA",IRR($F54:S54))</f>
        <v>6.9025876765369087E-2</v>
      </c>
      <c r="T55" s="378">
        <f>IF(ISERROR(IRR($F54:T54)),"NA",IRR($F54:T54))</f>
        <v>7.6350624174678305E-2</v>
      </c>
      <c r="U55" s="378">
        <f>IF(ISERROR(IRR($F54:U54)),"NA",IRR($F54:U54))</f>
        <v>8.2353692918387233E-2</v>
      </c>
      <c r="V55" s="378">
        <f>IF(ISERROR(IRR($F54:V54)),"NA",IRR($F54:V54))</f>
        <v>8.7312195370820245E-2</v>
      </c>
      <c r="W55" s="378">
        <f>IF(ISERROR(IRR($F54:W54)),"NA",IRR($F54:W54))</f>
        <v>9.1436430711328898E-2</v>
      </c>
      <c r="X55" s="378">
        <f>IF(ISERROR(IRR($F54:X54)),"NA",IRR($F54:X54))</f>
        <v>9.4888022477862988E-2</v>
      </c>
      <c r="Y55" s="378">
        <f>IF(ISERROR(IRR($F54:Y54)),"NA",IRR($F54:Y54))</f>
        <v>0.10055511595606648</v>
      </c>
      <c r="Z55" s="378">
        <f>IF(ISERROR(IRR($F54:Z54)),"NA",IRR($F54:Z54))</f>
        <v>0.10456617316146355</v>
      </c>
      <c r="AA55" s="378">
        <f>IF(ISERROR(IRR($F54:AA54)),"NA",IRR($F54:AA54))</f>
        <v>0.10783543917408078</v>
      </c>
      <c r="AB55" s="378">
        <f>IF(ISERROR(IRR($F54:AB54)),"NA",IRR($F54:AB54))</f>
        <v>0.11054190644848072</v>
      </c>
      <c r="AC55" s="378">
        <f>IF(ISERROR(IRR($F54:AC54)),"NA",IRR($F54:AC54))</f>
        <v>0.11279990008124807</v>
      </c>
      <c r="AD55" s="378">
        <f>IF(ISERROR(IRR($F54:AD54)),"NA",IRR($F54:AD54))</f>
        <v>0.11469597477755844</v>
      </c>
      <c r="AE55" s="378">
        <f>IF(ISERROR(IRR($F54:AE54)),"NA",IRR($F54:AE54))</f>
        <v>0.11639786080898906</v>
      </c>
      <c r="AF55" s="378">
        <f>IF(ISERROR(IRR($F54:AF54)),"NA",IRR($F54:AF54))</f>
        <v>0.11639786080898906</v>
      </c>
      <c r="AG55" s="378">
        <f>IF(ISERROR(IRR($F54:AG54)),"NA",IRR($F54:AG54))</f>
        <v>0.11639786080898906</v>
      </c>
      <c r="AH55" s="378">
        <f>IF(ISERROR(IRR($F54:AH54)),"NA",IRR($F54:AH54))</f>
        <v>0.11639786080898906</v>
      </c>
      <c r="AI55" s="378">
        <f>IF(ISERROR(IRR($F54:AI54)),"NA",IRR($F54:AI54))</f>
        <v>0.11639786080898906</v>
      </c>
      <c r="AJ55" s="378">
        <f>IF(ISERROR(IRR($F54:AJ54)),"NA",IRR($F54:AJ54))</f>
        <v>0.11639786080898906</v>
      </c>
    </row>
    <row r="56" spans="1:36" s="28" customFormat="1" ht="16">
      <c r="B56" s="54"/>
      <c r="C56" s="54"/>
      <c r="D56" s="54"/>
      <c r="E56" s="52"/>
      <c r="F56" s="8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row>
    <row r="57" spans="1:36" s="28" customFormat="1" ht="17">
      <c r="B57" s="387" t="s">
        <v>161</v>
      </c>
      <c r="C57" s="387"/>
      <c r="D57" s="387"/>
      <c r="E57" s="39"/>
      <c r="F57" s="343"/>
      <c r="G57" s="53">
        <f t="shared" ref="G57:AJ57" si="17">-G136</f>
        <v>-4246626.5836329898</v>
      </c>
      <c r="H57" s="53">
        <f t="shared" si="17"/>
        <v>-895566.42799093807</v>
      </c>
      <c r="I57" s="53">
        <f t="shared" si="17"/>
        <v>-562618.92799093807</v>
      </c>
      <c r="J57" s="53">
        <f t="shared" si="17"/>
        <v>-362052.42799093801</v>
      </c>
      <c r="K57" s="53">
        <f t="shared" si="17"/>
        <v>-359857.92799093801</v>
      </c>
      <c r="L57" s="53">
        <f t="shared" si="17"/>
        <v>-209254.92799093801</v>
      </c>
      <c r="M57" s="53">
        <f t="shared" si="17"/>
        <v>-59706.427990938028</v>
      </c>
      <c r="N57" s="53">
        <f t="shared" si="17"/>
        <v>-59706.427990938028</v>
      </c>
      <c r="O57" s="53">
        <f t="shared" si="17"/>
        <v>-59734.927990938028</v>
      </c>
      <c r="P57" s="53">
        <f t="shared" si="17"/>
        <v>-153706.42799093801</v>
      </c>
      <c r="Q57" s="53">
        <f t="shared" si="17"/>
        <v>-210134.92799093801</v>
      </c>
      <c r="R57" s="53">
        <f t="shared" si="17"/>
        <v>-149893.92799093801</v>
      </c>
      <c r="S57" s="53">
        <f t="shared" si="17"/>
        <v>-113826.42799093803</v>
      </c>
      <c r="T57" s="53">
        <f t="shared" si="17"/>
        <v>-113797.92799093803</v>
      </c>
      <c r="U57" s="53">
        <f t="shared" si="17"/>
        <v>-86754.427990938028</v>
      </c>
      <c r="V57" s="53">
        <f t="shared" si="17"/>
        <v>-33763.927990938028</v>
      </c>
      <c r="W57" s="53">
        <f t="shared" si="17"/>
        <v>-7873.9279909380239</v>
      </c>
      <c r="X57" s="53">
        <f t="shared" si="17"/>
        <v>-7873.9279909380239</v>
      </c>
      <c r="Y57" s="53">
        <f t="shared" si="17"/>
        <v>-7873.9279909380239</v>
      </c>
      <c r="Z57" s="53">
        <f t="shared" si="17"/>
        <v>-101873.92799093803</v>
      </c>
      <c r="AA57" s="53">
        <f t="shared" si="17"/>
        <v>-154336.96399546901</v>
      </c>
      <c r="AB57" s="53">
        <f t="shared" si="17"/>
        <v>-90240</v>
      </c>
      <c r="AC57" s="53">
        <f t="shared" si="17"/>
        <v>-54144</v>
      </c>
      <c r="AD57" s="53">
        <f t="shared" si="17"/>
        <v>-54144</v>
      </c>
      <c r="AE57" s="53">
        <f t="shared" si="17"/>
        <v>-27072</v>
      </c>
      <c r="AF57" s="53">
        <f t="shared" si="17"/>
        <v>0</v>
      </c>
      <c r="AG57" s="53">
        <f t="shared" si="17"/>
        <v>0</v>
      </c>
      <c r="AH57" s="53">
        <f t="shared" si="17"/>
        <v>0</v>
      </c>
      <c r="AI57" s="53">
        <f t="shared" si="17"/>
        <v>0</v>
      </c>
      <c r="AJ57" s="53">
        <f t="shared" si="17"/>
        <v>0</v>
      </c>
    </row>
    <row r="58" spans="1:36" s="28" customFormat="1" ht="16">
      <c r="B58" s="33" t="s">
        <v>307</v>
      </c>
      <c r="C58" s="33"/>
      <c r="D58" s="33"/>
      <c r="F58" s="86"/>
      <c r="G58" s="84">
        <f>IF(Inputs!$G$73="No",0,(G$44+G$57))</f>
        <v>-3594281.6512680827</v>
      </c>
      <c r="H58" s="84">
        <f>IF(Inputs!$G$73="No",0,(H$44+H$57))</f>
        <v>-236248.39464270393</v>
      </c>
      <c r="I58" s="84">
        <f>IF(Inputs!$G$73="No",0,(I$44+I$57))</f>
        <v>103638.5179578542</v>
      </c>
      <c r="J58" s="84">
        <f>IF(Inputs!$G$73="No",0,(J$44+J$57))</f>
        <v>311192.21208455163</v>
      </c>
      <c r="K58" s="84">
        <f>IF(Inputs!$G$73="No",0,(K$44+K$57))</f>
        <v>320500.37975342624</v>
      </c>
      <c r="L58" s="84">
        <f>IF(Inputs!$G$73="No",0,(L$44+L$57))</f>
        <v>478420.09075273998</v>
      </c>
      <c r="M58" s="84">
        <f>IF(Inputs!$G$73="No",0,(M$44+M$57))</f>
        <v>635563.40920746152</v>
      </c>
      <c r="N58" s="84">
        <f>IF(Inputs!$G$73="No",0,(N$44+N$57))</f>
        <v>643510.47680613457</v>
      </c>
      <c r="O58" s="84">
        <f>IF(Inputs!$G$73="No",0,(O$44+O$57))</f>
        <v>651855.06800653739</v>
      </c>
      <c r="P58" s="84">
        <f>IF(Inputs!$G$73="No",0,(P$44+P$57))</f>
        <v>561534.39992147242</v>
      </c>
      <c r="Q58" s="84">
        <f>IF(Inputs!$G$73="No",0,(Q$44+Q$57))</f>
        <v>509331.31257550215</v>
      </c>
      <c r="R58" s="84">
        <f>IF(Inputs!$G$73="No",0,(R$44+R$57))</f>
        <v>579670.32381326705</v>
      </c>
      <c r="S58" s="84">
        <f>IF(Inputs!$G$73="No",0,(S$44+S$57))</f>
        <v>626563.67399310018</v>
      </c>
      <c r="T58" s="84">
        <f>IF(Inputs!$G$73="No",0,(T$44+T$57))</f>
        <v>638225.47537930415</v>
      </c>
      <c r="U58" s="84">
        <f>IF(Inputs!$G$73="No",0,(U$44+U$57))</f>
        <v>677791.9698497979</v>
      </c>
      <c r="V58" s="84">
        <f>IF(Inputs!$G$73="No",0,(V$44+V$57))</f>
        <v>744280.50949355436</v>
      </c>
      <c r="W58" s="84">
        <f>IF(Inputs!$G$73="No",0,(W$44+W$57))</f>
        <v>784732.54121545726</v>
      </c>
      <c r="X58" s="84">
        <f>IF(Inputs!$G$73="No",0,(X$44+X$57))</f>
        <v>800451.59859291557</v>
      </c>
      <c r="Y58" s="84">
        <f>IF(Inputs!$G$73="No",0,(Y$44+Y$57))</f>
        <v>815859.55568317208</v>
      </c>
      <c r="Z58" s="84">
        <f>IF(Inputs!$G$73="No",0,(Z$44+Z$57))</f>
        <v>711482.18740459415</v>
      </c>
      <c r="AA58" s="84">
        <f>IF(Inputs!$G$73="No",0,(AA$44+AA$57))</f>
        <v>649616.61602262908</v>
      </c>
      <c r="AB58" s="84">
        <f>IF(Inputs!$G$73="No",0,(AB$44+AB$57))</f>
        <v>708949.49516807334</v>
      </c>
      <c r="AC58" s="84">
        <f>IF(Inputs!$G$73="No",0,(AC$44+AC$57))</f>
        <v>740226.25079139392</v>
      </c>
      <c r="AD58" s="84">
        <f>IF(Inputs!$G$73="No",0,(AD$44+AD$57))</f>
        <v>735357.5578801462</v>
      </c>
      <c r="AE58" s="84">
        <f>IF(Inputs!$G$73="No",0,(AE$44+AE$57))</f>
        <v>757003.12203056994</v>
      </c>
      <c r="AF58" s="84">
        <f>IF(Inputs!$G$73="No",0,(AF$44+AF$57))</f>
        <v>2.6193447411060332E-12</v>
      </c>
      <c r="AG58" s="84">
        <f>IF(Inputs!$G$73="No",0,(AG$44+AG$57))</f>
        <v>0</v>
      </c>
      <c r="AH58" s="84">
        <f>IF(Inputs!$G$73="No",0,(AH$44+AH$57))</f>
        <v>0</v>
      </c>
      <c r="AI58" s="84">
        <f>IF(Inputs!$G$73="No",0,(AI$44+AI$57))</f>
        <v>0</v>
      </c>
      <c r="AJ58" s="84">
        <f>IF(Inputs!$G$73="No",0,(AJ$44+AJ$57))</f>
        <v>0</v>
      </c>
    </row>
    <row r="59" spans="1:36" s="28" customFormat="1" ht="16">
      <c r="B59" s="51"/>
      <c r="C59" s="51"/>
      <c r="D59" s="51"/>
      <c r="F59" s="86"/>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row>
    <row r="60" spans="1:36" s="28" customFormat="1" ht="16">
      <c r="B60" s="33" t="s">
        <v>371</v>
      </c>
      <c r="C60" s="33"/>
      <c r="D60" s="33"/>
      <c r="E60" s="521" t="s">
        <v>370</v>
      </c>
      <c r="F60" s="344" t="str">
        <f>Inputs!G75</f>
        <v>As Generated</v>
      </c>
      <c r="G60" s="84">
        <f t="shared" ref="G60:AJ60" si="18">IF($F$60="as generated",G$58,G$151)</f>
        <v>-3594281.6512680827</v>
      </c>
      <c r="H60" s="84">
        <f t="shared" si="18"/>
        <v>-236248.39464270393</v>
      </c>
      <c r="I60" s="84">
        <f t="shared" si="18"/>
        <v>103638.5179578542</v>
      </c>
      <c r="J60" s="84">
        <f t="shared" si="18"/>
        <v>311192.21208455163</v>
      </c>
      <c r="K60" s="84">
        <f t="shared" si="18"/>
        <v>320500.37975342624</v>
      </c>
      <c r="L60" s="84">
        <f t="shared" si="18"/>
        <v>478420.09075273998</v>
      </c>
      <c r="M60" s="84">
        <f t="shared" si="18"/>
        <v>635563.40920746152</v>
      </c>
      <c r="N60" s="84">
        <f t="shared" si="18"/>
        <v>643510.47680613457</v>
      </c>
      <c r="O60" s="84">
        <f t="shared" si="18"/>
        <v>651855.06800653739</v>
      </c>
      <c r="P60" s="84">
        <f t="shared" si="18"/>
        <v>561534.39992147242</v>
      </c>
      <c r="Q60" s="84">
        <f t="shared" si="18"/>
        <v>509331.31257550215</v>
      </c>
      <c r="R60" s="84">
        <f t="shared" si="18"/>
        <v>579670.32381326705</v>
      </c>
      <c r="S60" s="84">
        <f t="shared" si="18"/>
        <v>626563.67399310018</v>
      </c>
      <c r="T60" s="84">
        <f t="shared" si="18"/>
        <v>638225.47537930415</v>
      </c>
      <c r="U60" s="84">
        <f t="shared" si="18"/>
        <v>677791.9698497979</v>
      </c>
      <c r="V60" s="84">
        <f t="shared" si="18"/>
        <v>744280.50949355436</v>
      </c>
      <c r="W60" s="84">
        <f t="shared" si="18"/>
        <v>784732.54121545726</v>
      </c>
      <c r="X60" s="84">
        <f t="shared" si="18"/>
        <v>800451.59859291557</v>
      </c>
      <c r="Y60" s="84">
        <f t="shared" si="18"/>
        <v>815859.55568317208</v>
      </c>
      <c r="Z60" s="84">
        <f t="shared" si="18"/>
        <v>711482.18740459415</v>
      </c>
      <c r="AA60" s="84">
        <f t="shared" si="18"/>
        <v>649616.61602262908</v>
      </c>
      <c r="AB60" s="84">
        <f t="shared" si="18"/>
        <v>708949.49516807334</v>
      </c>
      <c r="AC60" s="84">
        <f t="shared" si="18"/>
        <v>740226.25079139392</v>
      </c>
      <c r="AD60" s="84">
        <f t="shared" si="18"/>
        <v>735357.5578801462</v>
      </c>
      <c r="AE60" s="84">
        <f t="shared" si="18"/>
        <v>757003.12203056994</v>
      </c>
      <c r="AF60" s="84">
        <f t="shared" si="18"/>
        <v>2.6193447411060332E-12</v>
      </c>
      <c r="AG60" s="84">
        <f t="shared" si="18"/>
        <v>0</v>
      </c>
      <c r="AH60" s="84">
        <f t="shared" si="18"/>
        <v>0</v>
      </c>
      <c r="AI60" s="84">
        <f t="shared" si="18"/>
        <v>0</v>
      </c>
      <c r="AJ60" s="84">
        <f t="shared" si="18"/>
        <v>0</v>
      </c>
    </row>
    <row r="61" spans="1:36" s="28" customFormat="1" ht="16">
      <c r="B61" s="33" t="s">
        <v>372</v>
      </c>
      <c r="C61" s="33"/>
      <c r="D61" s="33"/>
      <c r="E61" s="521" t="s">
        <v>370</v>
      </c>
      <c r="F61" s="344" t="str">
        <f>Inputs!G77</f>
        <v>As Generated</v>
      </c>
      <c r="G61" s="84">
        <f t="shared" ref="G61:AJ61" si="19">IF($F$61="as generated",G$58,G$159)</f>
        <v>-3594281.6512680827</v>
      </c>
      <c r="H61" s="84">
        <f t="shared" si="19"/>
        <v>-236248.39464270393</v>
      </c>
      <c r="I61" s="84">
        <f t="shared" si="19"/>
        <v>103638.5179578542</v>
      </c>
      <c r="J61" s="84">
        <f t="shared" si="19"/>
        <v>311192.21208455163</v>
      </c>
      <c r="K61" s="84">
        <f t="shared" si="19"/>
        <v>320500.37975342624</v>
      </c>
      <c r="L61" s="84">
        <f t="shared" si="19"/>
        <v>478420.09075273998</v>
      </c>
      <c r="M61" s="84">
        <f t="shared" si="19"/>
        <v>635563.40920746152</v>
      </c>
      <c r="N61" s="84">
        <f t="shared" si="19"/>
        <v>643510.47680613457</v>
      </c>
      <c r="O61" s="84">
        <f t="shared" si="19"/>
        <v>651855.06800653739</v>
      </c>
      <c r="P61" s="84">
        <f t="shared" si="19"/>
        <v>561534.39992147242</v>
      </c>
      <c r="Q61" s="84">
        <f t="shared" si="19"/>
        <v>509331.31257550215</v>
      </c>
      <c r="R61" s="84">
        <f t="shared" si="19"/>
        <v>579670.32381326705</v>
      </c>
      <c r="S61" s="84">
        <f t="shared" si="19"/>
        <v>626563.67399310018</v>
      </c>
      <c r="T61" s="84">
        <f t="shared" si="19"/>
        <v>638225.47537930415</v>
      </c>
      <c r="U61" s="84">
        <f t="shared" si="19"/>
        <v>677791.9698497979</v>
      </c>
      <c r="V61" s="84">
        <f t="shared" si="19"/>
        <v>744280.50949355436</v>
      </c>
      <c r="W61" s="84">
        <f t="shared" si="19"/>
        <v>784732.54121545726</v>
      </c>
      <c r="X61" s="84">
        <f t="shared" si="19"/>
        <v>800451.59859291557</v>
      </c>
      <c r="Y61" s="84">
        <f t="shared" si="19"/>
        <v>815859.55568317208</v>
      </c>
      <c r="Z61" s="84">
        <f t="shared" si="19"/>
        <v>711482.18740459415</v>
      </c>
      <c r="AA61" s="84">
        <f t="shared" si="19"/>
        <v>649616.61602262908</v>
      </c>
      <c r="AB61" s="84">
        <f t="shared" si="19"/>
        <v>708949.49516807334</v>
      </c>
      <c r="AC61" s="84">
        <f t="shared" si="19"/>
        <v>740226.25079139392</v>
      </c>
      <c r="AD61" s="84">
        <f t="shared" si="19"/>
        <v>735357.5578801462</v>
      </c>
      <c r="AE61" s="84">
        <f t="shared" si="19"/>
        <v>757003.12203056994</v>
      </c>
      <c r="AF61" s="84">
        <f t="shared" si="19"/>
        <v>2.6193447411060332E-12</v>
      </c>
      <c r="AG61" s="84">
        <f t="shared" si="19"/>
        <v>0</v>
      </c>
      <c r="AH61" s="84">
        <f t="shared" si="19"/>
        <v>0</v>
      </c>
      <c r="AI61" s="84">
        <f t="shared" si="19"/>
        <v>0</v>
      </c>
      <c r="AJ61" s="84">
        <f t="shared" si="19"/>
        <v>0</v>
      </c>
    </row>
    <row r="62" spans="1:36" s="28" customFormat="1" ht="16">
      <c r="B62" s="342"/>
      <c r="C62" s="342"/>
      <c r="D62" s="342"/>
      <c r="F62" s="86"/>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row>
    <row r="63" spans="1:36" s="37" customFormat="1" ht="16">
      <c r="B63" s="35" t="s">
        <v>145</v>
      </c>
      <c r="C63" s="35"/>
      <c r="D63" s="35"/>
      <c r="E63" s="336"/>
      <c r="G63" s="84">
        <f>IF(Inputs!$G$73="No",0,-(G$60+G$64)*Inputs!$G$74)</f>
        <v>1151068.6988186033</v>
      </c>
      <c r="H63" s="84">
        <f>IF(Inputs!$G$73="No",0,-(H$60+H$64)*Inputs!$G$74)</f>
        <v>75658.548384325928</v>
      </c>
      <c r="I63" s="84">
        <f>IF(Inputs!$G$73="No",0,-(I$60+I$64)*Inputs!$G$74)</f>
        <v>-33190.235376002805</v>
      </c>
      <c r="J63" s="84">
        <f>IF(Inputs!$G$73="No",0,-(J$60+J$64)*Inputs!$G$74)</f>
        <v>-99659.305920077662</v>
      </c>
      <c r="K63" s="84">
        <f>IF(Inputs!$G$73="No",0,-(K$60+K$64)*Inputs!$G$74)</f>
        <v>-102640.24661603474</v>
      </c>
      <c r="L63" s="84">
        <f>IF(Inputs!$G$73="No",0,-(L$60+L$64)*Inputs!$G$74)</f>
        <v>-153214.03406356496</v>
      </c>
      <c r="M63" s="84">
        <f>IF(Inputs!$G$73="No",0,-(M$60+M$64)*Inputs!$G$74)</f>
        <v>-203539.18179868953</v>
      </c>
      <c r="N63" s="84">
        <f>IF(Inputs!$G$73="No",0,-(N$60+N$64)*Inputs!$G$74)</f>
        <v>-206084.23019716461</v>
      </c>
      <c r="O63" s="84">
        <f>IF(Inputs!$G$73="No",0,-(O$60+O$64)*Inputs!$G$74)</f>
        <v>-208756.58552909357</v>
      </c>
      <c r="P63" s="84">
        <f>IF(Inputs!$G$73="No",0,-(P$60+P$64)*Inputs!$G$74)</f>
        <v>-179831.39157485153</v>
      </c>
      <c r="Q63" s="84">
        <f>IF(Inputs!$G$73="No",0,-(Q$60+Q$64)*Inputs!$G$74)</f>
        <v>-163113.35285230455</v>
      </c>
      <c r="R63" s="84">
        <f>IF(Inputs!$G$73="No",0,-(R$60+R$64)*Inputs!$G$74)</f>
        <v>-185639.42120119877</v>
      </c>
      <c r="S63" s="84">
        <f>IF(Inputs!$G$73="No",0,-(S$60+S$64)*Inputs!$G$74)</f>
        <v>-200657.01659629031</v>
      </c>
      <c r="T63" s="84">
        <f>IF(Inputs!$G$73="No",0,-(T$60+T$64)*Inputs!$G$74)</f>
        <v>-204391.70849022214</v>
      </c>
      <c r="U63" s="84">
        <f>IF(Inputs!$G$73="No",0,-(U$60+U$64)*Inputs!$G$74)</f>
        <v>-217062.87834439776</v>
      </c>
      <c r="V63" s="84">
        <f>IF(Inputs!$G$73="No",0,-(V$60+V$64)*Inputs!$G$74)</f>
        <v>-238355.83316531076</v>
      </c>
      <c r="W63" s="84">
        <f>IF(Inputs!$G$73="No",0,-(W$60+W$64)*Inputs!$G$74)</f>
        <v>-251310.59632425019</v>
      </c>
      <c r="X63" s="84">
        <f>IF(Inputs!$G$73="No",0,-(X$60+X$64)*Inputs!$G$74)</f>
        <v>-256344.62444938117</v>
      </c>
      <c r="Y63" s="84">
        <f>IF(Inputs!$G$73="No",0,-(Y$60+Y$64)*Inputs!$G$74)</f>
        <v>-261279.02270753583</v>
      </c>
      <c r="Z63" s="84">
        <f>IF(Inputs!$G$73="No",0,-(Z$60+Z$64)*Inputs!$G$74)</f>
        <v>-227852.17051632126</v>
      </c>
      <c r="AA63" s="84">
        <f>IF(Inputs!$G$73="No",0,-(AA$60+AA$64)*Inputs!$G$74)</f>
        <v>-208039.72128124695</v>
      </c>
      <c r="AB63" s="84">
        <f>IF(Inputs!$G$73="No",0,-(AB$60+AB$64)*Inputs!$G$74)</f>
        <v>-227041.07582757546</v>
      </c>
      <c r="AC63" s="84">
        <f>IF(Inputs!$G$73="No",0,-(AC$60+AC$64)*Inputs!$G$74)</f>
        <v>-237057.45681594391</v>
      </c>
      <c r="AD63" s="84">
        <f>IF(Inputs!$G$73="No",0,-(AD$60+AD$64)*Inputs!$G$74)</f>
        <v>-235498.25791111682</v>
      </c>
      <c r="AE63" s="84">
        <f>IF(Inputs!$G$73="No",0,-(AE$60+AE$64)*Inputs!$G$74)</f>
        <v>-242430.24983029001</v>
      </c>
      <c r="AF63" s="84">
        <f>IF(Inputs!$G$73="No",0,-(AF$60+AF$64)*Inputs!$G$74)</f>
        <v>-8.38845153339207E-13</v>
      </c>
      <c r="AG63" s="84">
        <f>IF(Inputs!$G$73="No",0,-(AG$60+AG$64)*Inputs!$G$74)</f>
        <v>0</v>
      </c>
      <c r="AH63" s="84">
        <f>IF(Inputs!$G$73="No",0,-(AH$60+AH$64)*Inputs!$G$74)</f>
        <v>0</v>
      </c>
      <c r="AI63" s="84">
        <f>IF(Inputs!$G$73="No",0,-(AI$60+AI$64)*Inputs!$G$74)</f>
        <v>0</v>
      </c>
      <c r="AJ63" s="84">
        <f>IF(Inputs!$G$73="No",0,-(AJ$60+AJ$64)*Inputs!$G$74)</f>
        <v>0</v>
      </c>
    </row>
    <row r="64" spans="1:36" s="37" customFormat="1" ht="16">
      <c r="B64" s="35" t="s">
        <v>202</v>
      </c>
      <c r="C64" s="35"/>
      <c r="D64" s="35"/>
      <c r="G64" s="84">
        <f>IF(Inputs!$G$73="No",0,-(G$61-IF(AND(Inputs!$Q$38="Cash",Inputs!$Q$40="No"),'Cash Flow'!G$21,0))*Inputs!$G$76)</f>
        <v>305513.94035778707</v>
      </c>
      <c r="H64" s="84">
        <f>IF(Inputs!$G$73="No",0,-(H$61-IF(AND(Inputs!$Q$38="Cash",Inputs!$Q$40="No"),'Cash Flow'!H$21,0))*Inputs!$G$76)</f>
        <v>20081.113544629836</v>
      </c>
      <c r="I64" s="84">
        <f>IF(Inputs!$G$73="No",0,-(I$61-IF(AND(Inputs!$Q$38="Cash",Inputs!$Q$40="No"),'Cash Flow'!I$21,0))*Inputs!$G$76)</f>
        <v>-8809.2740264176082</v>
      </c>
      <c r="J64" s="84">
        <f>IF(Inputs!$G$73="No",0,-(J$61-IF(AND(Inputs!$Q$38="Cash",Inputs!$Q$40="No"),'Cash Flow'!J$21,0))*Inputs!$G$76)</f>
        <v>-26451.338027186892</v>
      </c>
      <c r="K64" s="84">
        <f>IF(Inputs!$G$73="No",0,-(K$61-IF(AND(Inputs!$Q$38="Cash",Inputs!$Q$40="No"),'Cash Flow'!K$21,0))*Inputs!$G$76)</f>
        <v>-27242.532279041232</v>
      </c>
      <c r="L64" s="84">
        <f>IF(Inputs!$G$73="No",0,-(L$61-IF(AND(Inputs!$Q$38="Cash",Inputs!$Q$40="No"),'Cash Flow'!L$21,0))*Inputs!$G$76)</f>
        <v>-40665.707713982898</v>
      </c>
      <c r="M64" s="84">
        <f>IF(Inputs!$G$73="No",0,-(M$61-IF(AND(Inputs!$Q$38="Cash",Inputs!$Q$40="No"),'Cash Flow'!M$21,0))*Inputs!$G$76)</f>
        <v>-54022.889782634236</v>
      </c>
      <c r="N64" s="84">
        <f>IF(Inputs!$G$73="No",0,-(N$61-IF(AND(Inputs!$Q$38="Cash",Inputs!$Q$40="No"),'Cash Flow'!N$21,0))*Inputs!$G$76)</f>
        <v>-54698.390528521442</v>
      </c>
      <c r="O64" s="84">
        <f>IF(Inputs!$G$73="No",0,-(O$61-IF(AND(Inputs!$Q$38="Cash",Inputs!$Q$40="No"),'Cash Flow'!O$21,0))*Inputs!$G$76)</f>
        <v>-55407.680780555682</v>
      </c>
      <c r="P64" s="84">
        <f>IF(Inputs!$G$73="No",0,-(P$61-IF(AND(Inputs!$Q$38="Cash",Inputs!$Q$40="No"),'Cash Flow'!P$21,0))*Inputs!$G$76)</f>
        <v>-47730.423993325159</v>
      </c>
      <c r="Q64" s="84">
        <f>IF(Inputs!$G$73="No",0,-(Q$61-IF(AND(Inputs!$Q$38="Cash",Inputs!$Q$40="No"),'Cash Flow'!Q$21,0))*Inputs!$G$76)</f>
        <v>-43293.161568917683</v>
      </c>
      <c r="R64" s="84">
        <f>IF(Inputs!$G$73="No",0,-(R$61-IF(AND(Inputs!$Q$38="Cash",Inputs!$Q$40="No"),'Cash Flow'!R$21,0))*Inputs!$G$76)</f>
        <v>-49271.977524127702</v>
      </c>
      <c r="S64" s="84">
        <f>IF(Inputs!$G$73="No",0,-(S$61-IF(AND(Inputs!$Q$38="Cash",Inputs!$Q$40="No"),'Cash Flow'!S$21,0))*Inputs!$G$76)</f>
        <v>-53257.912289413522</v>
      </c>
      <c r="T64" s="84">
        <f>IF(Inputs!$G$73="No",0,-(T$61-IF(AND(Inputs!$Q$38="Cash",Inputs!$Q$40="No"),'Cash Flow'!T$21,0))*Inputs!$G$76)</f>
        <v>-54249.165407240856</v>
      </c>
      <c r="U64" s="84">
        <f>IF(Inputs!$G$73="No",0,-(U$61-IF(AND(Inputs!$Q$38="Cash",Inputs!$Q$40="No"),'Cash Flow'!U$21,0))*Inputs!$G$76)</f>
        <v>-57612.317437232829</v>
      </c>
      <c r="V64" s="84">
        <f>IF(Inputs!$G$73="No",0,-(V$61-IF(AND(Inputs!$Q$38="Cash",Inputs!$Q$40="No"),'Cash Flow'!V$21,0))*Inputs!$G$76)</f>
        <v>-63263.843306952127</v>
      </c>
      <c r="W64" s="84">
        <f>IF(Inputs!$G$73="No",0,-(W$61-IF(AND(Inputs!$Q$38="Cash",Inputs!$Q$40="No"),'Cash Flow'!W$21,0))*Inputs!$G$76)</f>
        <v>-66702.266003313867</v>
      </c>
      <c r="X64" s="84">
        <f>IF(Inputs!$G$73="No",0,-(X$61-IF(AND(Inputs!$Q$38="Cash",Inputs!$Q$40="No"),'Cash Flow'!X$21,0))*Inputs!$G$76)</f>
        <v>-68038.385880397822</v>
      </c>
      <c r="Y64" s="84">
        <f>IF(Inputs!$G$73="No",0,-(Y$61-IF(AND(Inputs!$Q$38="Cash",Inputs!$Q$40="No"),'Cash Flow'!Y$21,0))*Inputs!$G$76)</f>
        <v>-69348.062233069635</v>
      </c>
      <c r="Z64" s="84">
        <f>IF(Inputs!$G$73="No",0,-(Z$61-IF(AND(Inputs!$Q$38="Cash",Inputs!$Q$40="No"),'Cash Flow'!Z$21,0))*Inputs!$G$76)</f>
        <v>-60475.98592939051</v>
      </c>
      <c r="AA64" s="84">
        <f>IF(Inputs!$G$73="No",0,-(AA$61-IF(AND(Inputs!$Q$38="Cash",Inputs!$Q$40="No"),'Cash Flow'!AA$21,0))*Inputs!$G$76)</f>
        <v>-55217.412361923474</v>
      </c>
      <c r="AB64" s="84">
        <f>IF(Inputs!$G$73="No",0,-(AB$61-IF(AND(Inputs!$Q$38="Cash",Inputs!$Q$40="No"),'Cash Flow'!AB$21,0))*Inputs!$G$76)</f>
        <v>-60260.707089286239</v>
      </c>
      <c r="AC64" s="84">
        <f>IF(Inputs!$G$73="No",0,-(AC$61-IF(AND(Inputs!$Q$38="Cash",Inputs!$Q$40="No"),'Cash Flow'!AC$21,0))*Inputs!$G$76)</f>
        <v>-62919.231317268488</v>
      </c>
      <c r="AD64" s="84">
        <f>IF(Inputs!$G$73="No",0,-(AD$61-IF(AND(Inputs!$Q$38="Cash",Inputs!$Q$40="No"),'Cash Flow'!AD$21,0))*Inputs!$G$76)</f>
        <v>-62505.39241981243</v>
      </c>
      <c r="AE64" s="84">
        <f>IF(Inputs!$G$73="No",0,-(AE$61-IF(AND(Inputs!$Q$38="Cash",Inputs!$Q$40="No"),'Cash Flow'!AE$21,0))*Inputs!$G$76)</f>
        <v>-64345.265372598449</v>
      </c>
      <c r="AF64" s="84">
        <f>IF(Inputs!$G$73="No",0,-(AF$61-IF(AND(Inputs!$Q$38="Cash",Inputs!$Q$40="No"),'Cash Flow'!AF$21,0))*Inputs!$G$76)</f>
        <v>-2.2264430299401285E-13</v>
      </c>
      <c r="AG64" s="84">
        <f>IF(Inputs!$G$73="No",0,-(AG$61-IF(AND(Inputs!$Q$38="Cash",Inputs!$Q$40="No"),'Cash Flow'!AG$21,0))*Inputs!$G$76)</f>
        <v>0</v>
      </c>
      <c r="AH64" s="84">
        <f>IF(Inputs!$G$73="No",0,-(AH$61-IF(AND(Inputs!$Q$38="Cash",Inputs!$Q$40="No"),'Cash Flow'!AH$21,0))*Inputs!$G$76)</f>
        <v>0</v>
      </c>
      <c r="AI64" s="84">
        <f>IF(Inputs!$G$73="No",0,-(AI$61-IF(AND(Inputs!$Q$38="Cash",Inputs!$Q$40="No"),'Cash Flow'!AI$21,0))*Inputs!$G$76)</f>
        <v>0</v>
      </c>
      <c r="AJ64" s="84">
        <f>IF(Inputs!$G$73="No",0,-(AJ$61-IF(AND(Inputs!$Q$38="Cash",Inputs!$Q$40="No"),'Cash Flow'!AJ$21,0))*Inputs!$G$76)</f>
        <v>0</v>
      </c>
    </row>
    <row r="65" spans="2:36" s="28" customFormat="1" ht="16">
      <c r="B65" s="35" t="s">
        <v>292</v>
      </c>
      <c r="C65" s="35"/>
      <c r="D65" s="35"/>
      <c r="E65" s="336"/>
      <c r="F65" s="37"/>
      <c r="G65" s="41">
        <f>IF(AND(Inputs!$Q$19="Cost-Based",Inputs!$Q$20="Cash Grant",G$2=1),Inputs!$Q$23,IF(Inputs!$G$75="as generated",'Cash Flow'!G$166,-G$173))</f>
        <v>0</v>
      </c>
      <c r="H65" s="41">
        <f>IF(AND(Inputs!$Q$19="Cost-Based",Inputs!$Q$20="Cash Grant",H$2=1),Inputs!$Q$23,IF(Inputs!$G$75="as generated",'Cash Flow'!H$166,-H$173))</f>
        <v>0</v>
      </c>
      <c r="I65" s="41">
        <f>IF(AND(Inputs!$Q$19="Cost-Based",Inputs!$Q$20="Cash Grant",I$2=1),Inputs!$Q$23,IF(Inputs!$G$75="as generated",'Cash Flow'!I$166,-I$173))</f>
        <v>0</v>
      </c>
      <c r="J65" s="41">
        <f>IF(AND(Inputs!$Q$19="Cost-Based",Inputs!$Q$20="Cash Grant",J$2=1),Inputs!$Q$23,IF(Inputs!$G$75="as generated",'Cash Flow'!J$166,-J$173))</f>
        <v>0</v>
      </c>
      <c r="K65" s="41">
        <f>IF(AND(Inputs!$Q$19="Cost-Based",Inputs!$Q$20="Cash Grant",K$2=1),Inputs!$Q$23,IF(Inputs!$G$75="as generated",'Cash Flow'!K$166,-K$173))</f>
        <v>0</v>
      </c>
      <c r="L65" s="41">
        <f>IF(AND(Inputs!$Q$19="Cost-Based",Inputs!$Q$20="Cash Grant",L$2=1),Inputs!$Q$23,IF(Inputs!$G$75="as generated",'Cash Flow'!L$166,-L$173))</f>
        <v>0</v>
      </c>
      <c r="M65" s="41">
        <f>IF(AND(Inputs!$Q$19="Cost-Based",Inputs!$Q$20="Cash Grant",M$2=1),Inputs!$Q$23,IF(Inputs!$G$75="as generated",'Cash Flow'!M$166,-M$173))</f>
        <v>0</v>
      </c>
      <c r="N65" s="41">
        <f>IF(AND(Inputs!$Q$19="Cost-Based",Inputs!$Q$20="Cash Grant",N$2=1),Inputs!$Q$23,IF(Inputs!$G$75="as generated",'Cash Flow'!N$166,-N$173))</f>
        <v>0</v>
      </c>
      <c r="O65" s="41">
        <f>IF(AND(Inputs!$Q$19="Cost-Based",Inputs!$Q$20="Cash Grant",O$2=1),Inputs!$Q$23,IF(Inputs!$G$75="as generated",'Cash Flow'!O$166,-O$173))</f>
        <v>0</v>
      </c>
      <c r="P65" s="41">
        <f>IF(AND(Inputs!$Q$19="Cost-Based",Inputs!$Q$20="Cash Grant",P$2=1),Inputs!$Q$23,IF(Inputs!$G$75="as generated",'Cash Flow'!P$166,-P$173))</f>
        <v>0</v>
      </c>
      <c r="Q65" s="41">
        <f>IF(AND(Inputs!$Q$19="Cost-Based",Inputs!$Q$20="Cash Grant",Q$2=1),Inputs!$Q$23,IF(Inputs!$G$75="as generated",'Cash Flow'!Q$166,-Q$173))</f>
        <v>0</v>
      </c>
      <c r="R65" s="41">
        <f>IF(AND(Inputs!$Q$19="Cost-Based",Inputs!$Q$20="Cash Grant",R$2=1),Inputs!$Q$23,IF(Inputs!$G$75="as generated",'Cash Flow'!R$166,-R$173))</f>
        <v>0</v>
      </c>
      <c r="S65" s="41">
        <f>IF(AND(Inputs!$Q$19="Cost-Based",Inputs!$Q$20="Cash Grant",S$2=1),Inputs!$Q$23,IF(Inputs!$G$75="as generated",'Cash Flow'!S$166,-S$173))</f>
        <v>0</v>
      </c>
      <c r="T65" s="41">
        <f>IF(AND(Inputs!$Q$19="Cost-Based",Inputs!$Q$20="Cash Grant",T$2=1),Inputs!$Q$23,IF(Inputs!$G$75="as generated",'Cash Flow'!T$166,-T$173))</f>
        <v>0</v>
      </c>
      <c r="U65" s="41">
        <f>IF(AND(Inputs!$Q$19="Cost-Based",Inputs!$Q$20="Cash Grant",U$2=1),Inputs!$Q$23,IF(Inputs!$G$75="as generated",'Cash Flow'!U$166,-U$173))</f>
        <v>0</v>
      </c>
      <c r="V65" s="41">
        <f>IF(AND(Inputs!$Q$19="Cost-Based",Inputs!$Q$20="Cash Grant",V$2=1),Inputs!$Q$23,IF(Inputs!$G$75="as generated",'Cash Flow'!V$166,-V$173))</f>
        <v>0</v>
      </c>
      <c r="W65" s="41">
        <f>IF(AND(Inputs!$Q$19="Cost-Based",Inputs!$Q$20="Cash Grant",W$2=1),Inputs!$Q$23,IF(Inputs!$G$75="as generated",'Cash Flow'!W$166,-W$173))</f>
        <v>0</v>
      </c>
      <c r="X65" s="41">
        <f>IF(AND(Inputs!$Q$19="Cost-Based",Inputs!$Q$20="Cash Grant",X$2=1),Inputs!$Q$23,IF(Inputs!$G$75="as generated",'Cash Flow'!X$166,-X$173))</f>
        <v>0</v>
      </c>
      <c r="Y65" s="41">
        <f>IF(AND(Inputs!$Q$19="Cost-Based",Inputs!$Q$20="Cash Grant",Y$2=1),Inputs!$Q$23,IF(Inputs!$G$75="as generated",'Cash Flow'!Y$166,-Y$173))</f>
        <v>0</v>
      </c>
      <c r="Z65" s="41">
        <f>IF(AND(Inputs!$Q$19="Cost-Based",Inputs!$Q$20="Cash Grant",Z$2=1),Inputs!$Q$23,IF(Inputs!$G$75="as generated",'Cash Flow'!Z$166,-Z$173))</f>
        <v>0</v>
      </c>
      <c r="AA65" s="41">
        <f>IF(AND(Inputs!$Q$19="Cost-Based",Inputs!$Q$20="Cash Grant",AA$2=1),Inputs!$Q$23,IF(Inputs!$G$75="as generated",'Cash Flow'!AA$166,-AA$173))</f>
        <v>0</v>
      </c>
      <c r="AB65" s="41">
        <f>IF(AND(Inputs!$Q$19="Cost-Based",Inputs!$Q$20="Cash Grant",AB$2=1),Inputs!$Q$23,IF(Inputs!$G$75="as generated",'Cash Flow'!AB$166,-AB$173))</f>
        <v>0</v>
      </c>
      <c r="AC65" s="41">
        <f>IF(AND(Inputs!$Q$19="Cost-Based",Inputs!$Q$20="Cash Grant",AC$2=1),Inputs!$Q$23,IF(Inputs!$G$75="as generated",'Cash Flow'!AC$166,-AC$173))</f>
        <v>0</v>
      </c>
      <c r="AD65" s="41">
        <f>IF(AND(Inputs!$Q$19="Cost-Based",Inputs!$Q$20="Cash Grant",AD$2=1),Inputs!$Q$23,IF(Inputs!$G$75="as generated",'Cash Flow'!AD$166,-AD$173))</f>
        <v>0</v>
      </c>
      <c r="AE65" s="41">
        <f>IF(AND(Inputs!$Q$19="Cost-Based",Inputs!$Q$20="Cash Grant",AE$2=1),Inputs!$Q$23,IF(Inputs!$G$75="as generated",'Cash Flow'!AE$166,-AE$173))</f>
        <v>0</v>
      </c>
      <c r="AF65" s="41">
        <f>IF(AND(Inputs!$Q$19="Cost-Based",Inputs!$Q$20="Cash Grant",AF$2=1),Inputs!$Q$23,IF(Inputs!$G$75="as generated",'Cash Flow'!AF$166,-AF$173))</f>
        <v>0</v>
      </c>
      <c r="AG65" s="41">
        <f>IF(AND(Inputs!$Q$19="Cost-Based",Inputs!$Q$20="Cash Grant",AG$2=1),Inputs!$Q$23,IF(Inputs!$G$75="as generated",'Cash Flow'!AG$166,-AG$173))</f>
        <v>0</v>
      </c>
      <c r="AH65" s="41">
        <f>IF(AND(Inputs!$Q$19="Cost-Based",Inputs!$Q$20="Cash Grant",AH$2=1),Inputs!$Q$23,IF(Inputs!$G$75="as generated",'Cash Flow'!AH$166,-AH$173))</f>
        <v>0</v>
      </c>
      <c r="AI65" s="41">
        <f>IF(AND(Inputs!$Q$19="Cost-Based",Inputs!$Q$20="Cash Grant",AI$2=1),Inputs!$Q$23,IF(Inputs!$G$75="as generated",'Cash Flow'!AI$166,-AI$173))</f>
        <v>0</v>
      </c>
      <c r="AJ65" s="41">
        <f>IF(AND(Inputs!$Q$19="Cost-Based",Inputs!$Q$20="Cash Grant",AJ$2=1),Inputs!$Q$23,IF(Inputs!$G$75="as generated",'Cash Flow'!AJ$166,-AJ$173))</f>
        <v>0</v>
      </c>
    </row>
    <row r="66" spans="2:36" s="28" customFormat="1" ht="16">
      <c r="B66" s="38" t="s">
        <v>148</v>
      </c>
      <c r="C66" s="38"/>
      <c r="D66" s="38"/>
      <c r="E66" s="337"/>
      <c r="F66" s="39"/>
      <c r="G66" s="42">
        <f>IF(Inputs!$G$77="as generated",'Cash Flow'!G$180,-G$187)</f>
        <v>0</v>
      </c>
      <c r="H66" s="42">
        <f>IF(Inputs!$G$77="as generated",'Cash Flow'!H$180,-H$187)</f>
        <v>0</v>
      </c>
      <c r="I66" s="42">
        <f>IF(Inputs!$G$77="as generated",'Cash Flow'!I$180,-I$187)</f>
        <v>0</v>
      </c>
      <c r="J66" s="42">
        <f>IF(Inputs!$G$77="as generated",'Cash Flow'!J$180,-J$187)</f>
        <v>0</v>
      </c>
      <c r="K66" s="42">
        <f>IF(Inputs!$G$77="as generated",'Cash Flow'!K$180,-K$187)</f>
        <v>0</v>
      </c>
      <c r="L66" s="42">
        <f>IF(Inputs!$G$77="as generated",'Cash Flow'!L$180,-L$187)</f>
        <v>0</v>
      </c>
      <c r="M66" s="42">
        <f>IF(Inputs!$G$77="as generated",'Cash Flow'!M$180,-M$187)</f>
        <v>0</v>
      </c>
      <c r="N66" s="42">
        <f>IF(Inputs!$G$77="as generated",'Cash Flow'!N$180,-N$187)</f>
        <v>0</v>
      </c>
      <c r="O66" s="42">
        <f>IF(Inputs!$G$77="as generated",'Cash Flow'!O$180,-O$187)</f>
        <v>0</v>
      </c>
      <c r="P66" s="42">
        <f>IF(Inputs!$G$77="as generated",'Cash Flow'!P$180,-P$187)</f>
        <v>0</v>
      </c>
      <c r="Q66" s="42">
        <f>IF(Inputs!$G$77="as generated",'Cash Flow'!Q$180,-Q$187)</f>
        <v>0</v>
      </c>
      <c r="R66" s="42">
        <f>IF(Inputs!$G$77="as generated",'Cash Flow'!R$180,-R$187)</f>
        <v>0</v>
      </c>
      <c r="S66" s="42">
        <f>IF(Inputs!$G$77="as generated",'Cash Flow'!S$180,-S$187)</f>
        <v>0</v>
      </c>
      <c r="T66" s="42">
        <f>IF(Inputs!$G$77="as generated",'Cash Flow'!T$180,-T$187)</f>
        <v>0</v>
      </c>
      <c r="U66" s="42">
        <f>IF(Inputs!$G$77="as generated",'Cash Flow'!U$180,-U$187)</f>
        <v>0</v>
      </c>
      <c r="V66" s="42">
        <f>IF(Inputs!$G$77="as generated",'Cash Flow'!V$180,-V$187)</f>
        <v>0</v>
      </c>
      <c r="W66" s="42">
        <f>IF(Inputs!$G$77="as generated",'Cash Flow'!W$180,-W$187)</f>
        <v>0</v>
      </c>
      <c r="X66" s="42">
        <f>IF(Inputs!$G$77="as generated",'Cash Flow'!X$180,-X$187)</f>
        <v>0</v>
      </c>
      <c r="Y66" s="42">
        <f>IF(Inputs!$G$77="as generated",'Cash Flow'!Y$180,-Y$187)</f>
        <v>0</v>
      </c>
      <c r="Z66" s="42">
        <f>IF(Inputs!$G$77="as generated",'Cash Flow'!Z$180,-Z$187)</f>
        <v>0</v>
      </c>
      <c r="AA66" s="42">
        <f>IF(Inputs!$G$77="as generated",'Cash Flow'!AA$180,-AA$187)</f>
        <v>0</v>
      </c>
      <c r="AB66" s="42">
        <f>IF(Inputs!$G$77="as generated",'Cash Flow'!AB$180,-AB$187)</f>
        <v>0</v>
      </c>
      <c r="AC66" s="42">
        <f>IF(Inputs!$G$77="as generated",'Cash Flow'!AC$180,-AC$187)</f>
        <v>0</v>
      </c>
      <c r="AD66" s="42">
        <f>IF(Inputs!$G$77="as generated",'Cash Flow'!AD$180,-AD$187)</f>
        <v>0</v>
      </c>
      <c r="AE66" s="42">
        <f>IF(Inputs!$G$77="as generated",'Cash Flow'!AE$180,-AE$187)</f>
        <v>0</v>
      </c>
      <c r="AF66" s="42">
        <f>IF(Inputs!$G$77="as generated",'Cash Flow'!AF$180,-AF$187)</f>
        <v>0</v>
      </c>
      <c r="AG66" s="42">
        <f>IF(Inputs!$G$77="as generated",'Cash Flow'!AG$180,-AG$187)</f>
        <v>0</v>
      </c>
      <c r="AH66" s="42">
        <f>IF(Inputs!$G$77="as generated",'Cash Flow'!AH$180,-AH$187)</f>
        <v>0</v>
      </c>
      <c r="AI66" s="42">
        <f>IF(Inputs!$G$77="as generated",'Cash Flow'!AI$180,-AI$187)</f>
        <v>0</v>
      </c>
      <c r="AJ66" s="42">
        <f>IF(Inputs!$G$77="as generated",'Cash Flow'!AJ$180,-AJ$187)</f>
        <v>0</v>
      </c>
    </row>
    <row r="67" spans="2:36" s="28" customFormat="1" ht="16">
      <c r="B67" s="33" t="s">
        <v>147</v>
      </c>
      <c r="C67" s="33"/>
      <c r="D67" s="33"/>
      <c r="E67" s="52"/>
      <c r="F67" s="44">
        <f t="shared" ref="F67:AJ67" si="20">F54+SUM(F63:F66)</f>
        <v>-4239914.239275042</v>
      </c>
      <c r="G67" s="44">
        <f>G54+SUM(G63:G66)</f>
        <v>1964055.6540952348</v>
      </c>
      <c r="H67" s="44">
        <f t="shared" si="20"/>
        <v>603700.29916545865</v>
      </c>
      <c r="I67" s="44">
        <f t="shared" si="20"/>
        <v>465961.07826237485</v>
      </c>
      <c r="J67" s="44">
        <f t="shared" si="20"/>
        <v>381411.91331990389</v>
      </c>
      <c r="K67" s="44">
        <f t="shared" si="20"/>
        <v>376808.45579994016</v>
      </c>
      <c r="L67" s="44">
        <f t="shared" si="20"/>
        <v>311627.06435888319</v>
      </c>
      <c r="M67" s="44">
        <f t="shared" si="20"/>
        <v>246443.3336828771</v>
      </c>
      <c r="N67" s="44">
        <f t="shared" si="20"/>
        <v>241436.89745734955</v>
      </c>
      <c r="O67" s="44">
        <f t="shared" si="20"/>
        <v>236014.08156636212</v>
      </c>
      <c r="P67" s="44">
        <f t="shared" si="20"/>
        <v>317346.32663204509</v>
      </c>
      <c r="Q67" s="44">
        <f t="shared" si="20"/>
        <v>278581.53021095367</v>
      </c>
      <c r="R67" s="44">
        <f t="shared" si="20"/>
        <v>247416.73898477148</v>
      </c>
      <c r="S67" s="44">
        <f t="shared" si="20"/>
        <v>225588.08657319535</v>
      </c>
      <c r="T67" s="44">
        <f t="shared" si="20"/>
        <v>217888.90244643597</v>
      </c>
      <c r="U67" s="44">
        <f t="shared" si="20"/>
        <v>198748.57669647364</v>
      </c>
      <c r="V67" s="44">
        <f t="shared" si="20"/>
        <v>168579.10742976912</v>
      </c>
      <c r="W67" s="44">
        <f t="shared" si="20"/>
        <v>148854.31310115417</v>
      </c>
      <c r="X67" s="44">
        <f t="shared" si="20"/>
        <v>139057.02746751567</v>
      </c>
      <c r="Y67" s="44">
        <f t="shared" si="20"/>
        <v>597459.02412320266</v>
      </c>
      <c r="Z67" s="44">
        <f t="shared" si="20"/>
        <v>525027.95894982037</v>
      </c>
      <c r="AA67" s="44">
        <f t="shared" si="20"/>
        <v>540696.44637492765</v>
      </c>
      <c r="AB67" s="44">
        <f t="shared" si="20"/>
        <v>511887.71225121163</v>
      </c>
      <c r="AC67" s="44">
        <f t="shared" si="20"/>
        <v>494393.56265818153</v>
      </c>
      <c r="AD67" s="44">
        <f t="shared" si="20"/>
        <v>491497.90754921694</v>
      </c>
      <c r="AE67" s="44">
        <f t="shared" si="20"/>
        <v>528638.99849080318</v>
      </c>
      <c r="AF67" s="44">
        <f t="shared" si="20"/>
        <v>1.5578552847728135E-12</v>
      </c>
      <c r="AG67" s="44">
        <f t="shared" si="20"/>
        <v>0</v>
      </c>
      <c r="AH67" s="44">
        <f t="shared" si="20"/>
        <v>0</v>
      </c>
      <c r="AI67" s="44">
        <f t="shared" si="20"/>
        <v>0</v>
      </c>
      <c r="AJ67" s="44">
        <f t="shared" si="20"/>
        <v>0</v>
      </c>
    </row>
    <row r="68" spans="2:36" s="28" customFormat="1" ht="17">
      <c r="B68" s="54" t="s">
        <v>146</v>
      </c>
      <c r="C68" s="54"/>
      <c r="D68" s="54"/>
      <c r="E68" s="52"/>
      <c r="F68" s="44"/>
      <c r="G68" s="378">
        <f>IF(ISERROR(IRR($F67:G67)),"NA",IRR($F67:G67))</f>
        <v>-0.53676995730200028</v>
      </c>
      <c r="H68" s="378">
        <f>IF(ISERROR(IRR($F67:H67)),"NA",IRR($F67:H67))</f>
        <v>-0.32563161151860787</v>
      </c>
      <c r="I68" s="378">
        <f>IF(ISERROR(IRR($F67:I67)),"NA",IRR($F67:I67))</f>
        <v>-0.19213312094863322</v>
      </c>
      <c r="J68" s="378">
        <f>IF(ISERROR(IRR($F67:J67)),"NA",IRR($F67:J67))</f>
        <v>-0.11022812382234126</v>
      </c>
      <c r="K68" s="378">
        <f>IF(ISERROR(IRR($F67:K67)),"NA",IRR($F67:K67))</f>
        <v>-5.0492480297172126E-2</v>
      </c>
      <c r="L68" s="378">
        <f>IF(ISERROR(IRR($F67:L67)),"NA",IRR($F67:L67))</f>
        <v>-1.3419505214408711E-2</v>
      </c>
      <c r="M68" s="378">
        <f>IF(ISERROR(IRR($F67:M67)),"NA",IRR($F67:M67))</f>
        <v>9.7489946556754692E-3</v>
      </c>
      <c r="N68" s="378">
        <f>IF(ISERROR(IRR($F67:N67)),"NA",IRR($F67:N67))</f>
        <v>2.8112984854075318E-2</v>
      </c>
      <c r="O68" s="378">
        <f>IF(ISERROR(IRR($F67:O67)),"NA",IRR($F67:O67))</f>
        <v>4.2664920533315387E-2</v>
      </c>
      <c r="P68" s="378">
        <f>IF(ISERROR(IRR($F67:P67)),"NA",IRR($F67:P67))</f>
        <v>5.8204999785730571E-2</v>
      </c>
      <c r="Q68" s="378">
        <f>IF(ISERROR(IRR($F67:Q67)),"NA",IRR($F67:Q67))</f>
        <v>6.8997019409086091E-2</v>
      </c>
      <c r="R68" s="378">
        <f>IF(ISERROR(IRR($F67:R67)),"NA",IRR($F67:R67))</f>
        <v>7.6809575686212828E-2</v>
      </c>
      <c r="S68" s="378">
        <f>IF(ISERROR(IRR($F67:S67)),"NA",IRR($F67:S67))</f>
        <v>8.2728901723537085E-2</v>
      </c>
      <c r="T68" s="378">
        <f>IF(ISERROR(IRR($F67:T67)),"NA",IRR($F67:T67))</f>
        <v>8.7533120664195385E-2</v>
      </c>
      <c r="U68" s="378">
        <f>IF(ISERROR(IRR($F67:U67)),"NA",IRR($F67:U67))</f>
        <v>9.1248787815040311E-2</v>
      </c>
      <c r="V68" s="378">
        <f>IF(ISERROR(IRR($F67:V67)),"NA",IRR($F67:V67))</f>
        <v>9.39532079433405E-2</v>
      </c>
      <c r="W68" s="378">
        <f>IF(ISERROR(IRR($F67:W67)),"NA",IRR($F67:W67))</f>
        <v>9.6024324130380867E-2</v>
      </c>
      <c r="X68" s="378">
        <f>IF(ISERROR(IRR($F67:X67)),"NA",IRR($F67:X67))</f>
        <v>9.7713016435764244E-2</v>
      </c>
      <c r="Y68" s="378">
        <f>IF(ISERROR(IRR($F67:Y67)),"NA",IRR($F67:Y67))</f>
        <v>0.1037002419801436</v>
      </c>
      <c r="Z68" s="378">
        <f>IF(ISERROR(IRR($F67:Z67)),"NA",IRR($F67:Z67))</f>
        <v>0.10787827640240422</v>
      </c>
      <c r="AA68" s="378">
        <f>IF(ISERROR(IRR($F67:AA67)),"NA",IRR($F67:AA67))</f>
        <v>0.11137770858014084</v>
      </c>
      <c r="AB68" s="378">
        <f>IF(ISERROR(IRR($F67:AB67)),"NA",IRR($F67:AB67))</f>
        <v>0.11410723684212609</v>
      </c>
      <c r="AC68" s="378">
        <f>IF(ISERROR(IRR($F67:AC67)),"NA",IRR($F67:AC67))</f>
        <v>0.1163070711359695</v>
      </c>
      <c r="AD68" s="378">
        <f>IF(ISERROR(IRR($F67:AD67)),"NA",IRR($F67:AD67))</f>
        <v>0.11814745558080841</v>
      </c>
      <c r="AE68" s="378">
        <f>IF(ISERROR(IRR($F67:AE67)),"NA",IRR($F67:AE67))</f>
        <v>0.11981994764332282</v>
      </c>
      <c r="AF68" s="378">
        <f>IF(ISERROR(IRR($F67:AF67)),"NA",IRR($F67:AF67))</f>
        <v>0.11981994764332282</v>
      </c>
      <c r="AG68" s="378">
        <f>IF(ISERROR(IRR($F67:AG67)),"NA",IRR($F67:AG67))</f>
        <v>0.11981994764332282</v>
      </c>
      <c r="AH68" s="378">
        <f>IF(ISERROR(IRR($F67:AH67)),"NA",IRR($F67:AH67))</f>
        <v>0.11981994764332282</v>
      </c>
      <c r="AI68" s="378">
        <f>IF(ISERROR(IRR($F67:AI67)),"NA",IRR($F67:AI67))</f>
        <v>0.11981994764332282</v>
      </c>
      <c r="AJ68" s="378">
        <f>IF(ISERROR(IRR($F67:AJ67)),"NA",IRR($F67:AJ67))</f>
        <v>0.11981994764332282</v>
      </c>
    </row>
    <row r="69" spans="2:36" s="28" customFormat="1" ht="17" thickBot="1">
      <c r="B69" s="33"/>
      <c r="C69" s="33"/>
      <c r="D69" s="33"/>
      <c r="E69" s="56"/>
      <c r="F69" s="394"/>
      <c r="G69" s="394"/>
      <c r="H69" s="394"/>
      <c r="I69" s="394"/>
      <c r="J69" s="394"/>
      <c r="K69" s="394"/>
      <c r="L69" s="394"/>
      <c r="M69" s="394"/>
      <c r="N69" s="44"/>
      <c r="O69" s="44"/>
      <c r="P69" s="44"/>
      <c r="Q69" s="44"/>
      <c r="R69" s="44"/>
      <c r="S69" s="44"/>
      <c r="T69" s="44"/>
      <c r="U69" s="44"/>
      <c r="V69" s="44"/>
      <c r="W69" s="44"/>
      <c r="X69" s="44"/>
      <c r="Y69" s="44"/>
      <c r="Z69" s="44"/>
      <c r="AA69" s="44"/>
      <c r="AB69" s="44"/>
      <c r="AC69" s="44"/>
      <c r="AD69" s="44"/>
      <c r="AE69" s="44"/>
      <c r="AF69" s="44"/>
      <c r="AG69" s="44"/>
      <c r="AH69" s="44"/>
      <c r="AI69" s="44"/>
      <c r="AJ69" s="44"/>
    </row>
    <row r="70" spans="2:36" s="28" customFormat="1" ht="17" thickBot="1">
      <c r="B70" s="795" t="s">
        <v>385</v>
      </c>
      <c r="C70" s="796"/>
      <c r="D70" s="517">
        <f>IRR(F54:AJ54)</f>
        <v>0.11639786080898906</v>
      </c>
      <c r="F70" s="44"/>
      <c r="G70" s="460" t="s">
        <v>205</v>
      </c>
      <c r="H70" s="469"/>
      <c r="I70" s="469"/>
      <c r="J70" s="470"/>
      <c r="K70" s="469"/>
      <c r="L70" s="44"/>
      <c r="O70" s="44"/>
      <c r="P70" s="44"/>
      <c r="Q70" s="44"/>
      <c r="R70" s="44"/>
      <c r="S70" s="44"/>
      <c r="T70" s="44"/>
      <c r="U70" s="44"/>
      <c r="V70" s="44"/>
      <c r="W70" s="44"/>
      <c r="X70" s="44"/>
      <c r="Y70" s="44"/>
      <c r="Z70" s="44"/>
      <c r="AA70" s="44"/>
      <c r="AB70" s="44"/>
      <c r="AC70" s="44"/>
      <c r="AD70" s="44"/>
      <c r="AE70" s="44"/>
      <c r="AF70" s="44"/>
      <c r="AG70" s="44"/>
      <c r="AH70" s="44"/>
      <c r="AI70" s="44"/>
      <c r="AJ70" s="44"/>
    </row>
    <row r="71" spans="2:36" s="28" customFormat="1" ht="18" thickBot="1">
      <c r="B71" s="518" t="s">
        <v>386</v>
      </c>
      <c r="C71" s="519"/>
      <c r="D71" s="517">
        <f>IRR(F67:AJ67)</f>
        <v>0.11981994764332282</v>
      </c>
      <c r="F71" s="44"/>
      <c r="G71" s="462" t="s">
        <v>297</v>
      </c>
      <c r="H71" s="471"/>
      <c r="I71" s="467"/>
      <c r="J71" s="468"/>
      <c r="K71" s="468"/>
      <c r="L71" s="44"/>
      <c r="O71" s="44"/>
      <c r="P71" s="44"/>
      <c r="Q71" s="44"/>
      <c r="R71" s="44"/>
      <c r="S71" s="44"/>
      <c r="T71" s="44"/>
      <c r="U71" s="44"/>
      <c r="V71" s="44"/>
      <c r="W71" s="44"/>
      <c r="X71" s="44"/>
      <c r="Y71" s="44"/>
      <c r="Z71" s="44"/>
      <c r="AA71" s="44"/>
      <c r="AB71" s="44"/>
      <c r="AC71" s="44"/>
      <c r="AD71" s="44"/>
      <c r="AE71" s="44"/>
      <c r="AF71" s="44"/>
      <c r="AG71" s="44"/>
      <c r="AH71" s="44"/>
      <c r="AI71" s="44"/>
      <c r="AJ71" s="44"/>
    </row>
    <row r="72" spans="2:36" s="28" customFormat="1" ht="17" thickBot="1">
      <c r="B72" s="797">
        <f>Inputs!$G$62</f>
        <v>0.12</v>
      </c>
      <c r="C72" s="798"/>
      <c r="D72" s="520">
        <f>NPV(Inputs!$G$62,'Cash Flow'!F67:AJ67)</f>
        <v>-3081.4092713228902</v>
      </c>
      <c r="G72" s="461">
        <f>AVERAGE(R204:S204)</f>
        <v>32.049999999999997</v>
      </c>
      <c r="H72" s="471"/>
      <c r="I72" s="467"/>
      <c r="J72" s="472"/>
      <c r="K72" s="467"/>
    </row>
    <row r="73" spans="2:36" s="28" customFormat="1" ht="17" thickBot="1">
      <c r="B73" s="57"/>
      <c r="C73" s="57"/>
      <c r="D73" s="57"/>
      <c r="E73" s="58"/>
      <c r="F73" s="349"/>
      <c r="G73" s="335"/>
      <c r="H73" s="349"/>
      <c r="I73" s="349"/>
      <c r="J73" s="349"/>
      <c r="K73" s="349"/>
      <c r="L73" s="349"/>
      <c r="M73" s="349"/>
      <c r="N73" s="349"/>
      <c r="O73" s="349"/>
      <c r="P73" s="349"/>
      <c r="Q73" s="349"/>
      <c r="R73" s="349"/>
      <c r="S73" s="349"/>
      <c r="T73" s="349"/>
      <c r="U73" s="349"/>
      <c r="V73" s="349"/>
      <c r="W73" s="349"/>
      <c r="X73" s="349"/>
      <c r="Y73" s="349"/>
      <c r="Z73" s="349"/>
      <c r="AA73" s="349"/>
      <c r="AB73" s="349"/>
      <c r="AC73" s="349"/>
      <c r="AD73" s="349"/>
      <c r="AE73" s="349"/>
      <c r="AF73" s="349"/>
      <c r="AG73" s="349"/>
      <c r="AH73" s="349"/>
      <c r="AI73" s="349"/>
      <c r="AJ73" s="349"/>
    </row>
    <row r="74" spans="2:36" s="28" customFormat="1" ht="16">
      <c r="B74" s="59"/>
      <c r="C74" s="59"/>
      <c r="D74" s="59"/>
      <c r="E74" s="60"/>
      <c r="F74" s="60"/>
      <c r="G74" s="61"/>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row>
    <row r="75" spans="2:36" s="28" customFormat="1" ht="16">
      <c r="B75" s="62" t="s">
        <v>80</v>
      </c>
      <c r="C75" s="62"/>
      <c r="D75" s="62"/>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row>
    <row r="76" spans="2:36" s="28" customFormat="1" ht="17" thickBot="1">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row>
    <row r="77" spans="2:36" s="28" customFormat="1" ht="16">
      <c r="B77" s="263"/>
      <c r="C77" s="263"/>
      <c r="D77" s="263"/>
      <c r="E77" s="263"/>
      <c r="F77" s="278"/>
      <c r="G77" s="288"/>
      <c r="H77" s="289"/>
      <c r="I77" s="263"/>
      <c r="J77" s="263"/>
      <c r="K77" s="263"/>
      <c r="L77" s="263"/>
      <c r="M77" s="263"/>
      <c r="N77" s="263"/>
      <c r="O77" s="263"/>
      <c r="P77" s="263"/>
      <c r="Q77" s="263"/>
      <c r="R77" s="263"/>
      <c r="S77" s="263"/>
      <c r="T77" s="263"/>
      <c r="U77" s="263"/>
      <c r="V77" s="263"/>
      <c r="W77" s="263"/>
      <c r="X77" s="263"/>
      <c r="Y77" s="263"/>
      <c r="Z77" s="263"/>
      <c r="AA77" s="263"/>
      <c r="AB77" s="263"/>
      <c r="AC77" s="263"/>
      <c r="AD77" s="263"/>
      <c r="AE77" s="263"/>
      <c r="AF77" s="263"/>
      <c r="AG77" s="263"/>
      <c r="AH77" s="263"/>
      <c r="AI77" s="263"/>
      <c r="AJ77" s="263"/>
    </row>
    <row r="78" spans="2:36" s="28" customFormat="1" ht="16">
      <c r="B78" s="262" t="s">
        <v>88</v>
      </c>
      <c r="C78" s="262"/>
      <c r="D78" s="262"/>
      <c r="E78" s="263"/>
      <c r="F78" s="263"/>
      <c r="G78" s="263"/>
      <c r="H78" s="263"/>
      <c r="I78" s="263"/>
      <c r="J78" s="263"/>
      <c r="K78" s="263"/>
      <c r="L78" s="263"/>
      <c r="M78" s="263"/>
      <c r="N78" s="263"/>
      <c r="O78" s="263"/>
      <c r="P78" s="263"/>
      <c r="Q78" s="263"/>
      <c r="R78" s="263"/>
      <c r="S78" s="263"/>
      <c r="T78" s="263"/>
      <c r="U78" s="263"/>
      <c r="V78" s="263"/>
      <c r="W78" s="263"/>
      <c r="X78" s="263"/>
      <c r="Y78" s="263"/>
      <c r="Z78" s="263"/>
      <c r="AA78" s="263"/>
      <c r="AB78" s="263"/>
      <c r="AC78" s="263"/>
      <c r="AD78" s="263"/>
      <c r="AE78" s="263"/>
      <c r="AF78" s="263"/>
      <c r="AG78" s="263"/>
      <c r="AH78" s="263"/>
      <c r="AI78" s="263"/>
      <c r="AJ78" s="263"/>
    </row>
    <row r="79" spans="2:36" s="28" customFormat="1" ht="16">
      <c r="B79" s="290" t="s">
        <v>90</v>
      </c>
      <c r="C79" s="290"/>
      <c r="D79" s="290"/>
      <c r="E79" s="291"/>
      <c r="F79" s="292"/>
      <c r="G79" s="293"/>
      <c r="H79" s="293"/>
      <c r="I79" s="293"/>
      <c r="J79" s="293"/>
      <c r="K79" s="293"/>
      <c r="L79" s="293"/>
      <c r="M79" s="293"/>
      <c r="N79" s="293"/>
      <c r="O79" s="293"/>
      <c r="P79" s="293"/>
      <c r="Q79" s="293"/>
      <c r="R79" s="293"/>
      <c r="S79" s="293"/>
      <c r="T79" s="293"/>
      <c r="U79" s="293"/>
      <c r="V79" s="293"/>
      <c r="W79" s="293"/>
      <c r="X79" s="293"/>
      <c r="Y79" s="293"/>
      <c r="Z79" s="293"/>
      <c r="AA79" s="293"/>
      <c r="AB79" s="293"/>
      <c r="AC79" s="293"/>
      <c r="AD79" s="293"/>
      <c r="AE79" s="293"/>
      <c r="AF79" s="293"/>
      <c r="AG79" s="293"/>
      <c r="AH79" s="293"/>
      <c r="AI79" s="293"/>
      <c r="AJ79" s="293"/>
    </row>
    <row r="80" spans="2:36" s="28" customFormat="1" ht="16">
      <c r="B80" s="291" t="s">
        <v>91</v>
      </c>
      <c r="C80" s="291"/>
      <c r="D80" s="291"/>
      <c r="E80" s="291"/>
      <c r="F80" s="292">
        <f>IF(Inputs!$G$18="Simple",Inputs!$G$26-Inputs!$G$69,IF(Inputs!$G$18="Intermediate",SUM(Inputs!G20:G23)-Inputs!G69,'Complex Inputs'!C26+'Complex Inputs'!C51+'Complex Inputs'!C76+'Complex Inputs'!C101))</f>
        <v>7000000</v>
      </c>
      <c r="G80" s="293"/>
      <c r="H80" s="293"/>
      <c r="I80" s="293"/>
      <c r="J80" s="293"/>
      <c r="K80" s="293"/>
      <c r="L80" s="293"/>
      <c r="M80" s="293"/>
      <c r="N80" s="293"/>
      <c r="O80" s="293"/>
      <c r="P80" s="293"/>
      <c r="Q80" s="293"/>
      <c r="R80" s="293"/>
      <c r="S80" s="293"/>
      <c r="T80" s="293"/>
      <c r="U80" s="293"/>
      <c r="V80" s="293"/>
      <c r="W80" s="293"/>
      <c r="X80" s="293"/>
      <c r="Y80" s="293"/>
      <c r="Z80" s="293"/>
      <c r="AA80" s="293"/>
      <c r="AB80" s="293"/>
      <c r="AC80" s="293"/>
      <c r="AD80" s="293"/>
      <c r="AE80" s="293"/>
      <c r="AF80" s="293"/>
      <c r="AG80" s="293"/>
      <c r="AH80" s="293"/>
      <c r="AI80" s="293"/>
      <c r="AJ80" s="293"/>
    </row>
    <row r="81" spans="2:36" s="28" customFormat="1" ht="16">
      <c r="B81" s="291" t="s">
        <v>92</v>
      </c>
      <c r="C81" s="291"/>
      <c r="D81" s="291"/>
      <c r="E81" s="291"/>
      <c r="F81" s="294">
        <f>Inputs!$G$51</f>
        <v>0.45</v>
      </c>
      <c r="G81" s="293"/>
      <c r="H81" s="293"/>
      <c r="I81" s="293"/>
      <c r="J81" s="293"/>
      <c r="K81" s="293"/>
      <c r="L81" s="293"/>
      <c r="M81" s="293"/>
      <c r="N81" s="293"/>
      <c r="O81" s="293"/>
      <c r="P81" s="293"/>
      <c r="Q81" s="293"/>
      <c r="R81" s="293"/>
      <c r="S81" s="293"/>
      <c r="T81" s="293"/>
      <c r="U81" s="293"/>
      <c r="V81" s="293"/>
      <c r="W81" s="293"/>
      <c r="X81" s="293"/>
      <c r="Y81" s="293"/>
      <c r="Z81" s="293"/>
      <c r="AA81" s="293"/>
      <c r="AB81" s="293"/>
      <c r="AC81" s="293"/>
      <c r="AD81" s="293"/>
      <c r="AE81" s="293"/>
      <c r="AF81" s="293"/>
      <c r="AG81" s="293"/>
      <c r="AH81" s="293"/>
      <c r="AI81" s="293"/>
      <c r="AJ81" s="293"/>
    </row>
    <row r="82" spans="2:36" s="28" customFormat="1" ht="16">
      <c r="B82" s="291" t="s">
        <v>89</v>
      </c>
      <c r="C82" s="291"/>
      <c r="D82" s="291"/>
      <c r="E82" s="291"/>
      <c r="F82" s="295">
        <f>F80*F81</f>
        <v>3150000</v>
      </c>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93"/>
      <c r="AF82" s="293"/>
      <c r="AG82" s="293"/>
      <c r="AH82" s="293"/>
      <c r="AI82" s="293"/>
      <c r="AJ82" s="293"/>
    </row>
    <row r="83" spans="2:36" s="28" customFormat="1" ht="16">
      <c r="B83" s="296"/>
      <c r="C83" s="296"/>
      <c r="D83" s="296"/>
      <c r="E83" s="296"/>
      <c r="F83" s="297"/>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93"/>
      <c r="AF83" s="293"/>
      <c r="AG83" s="293"/>
      <c r="AH83" s="293"/>
      <c r="AI83" s="293"/>
      <c r="AJ83" s="293"/>
    </row>
    <row r="84" spans="2:36" s="28" customFormat="1" ht="16">
      <c r="B84" s="290" t="s">
        <v>127</v>
      </c>
      <c r="C84" s="290"/>
      <c r="D84" s="290"/>
      <c r="E84" s="290"/>
      <c r="F84" s="297"/>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3"/>
      <c r="AF84" s="293"/>
      <c r="AG84" s="293"/>
      <c r="AH84" s="293"/>
      <c r="AI84" s="293"/>
      <c r="AJ84" s="293"/>
    </row>
    <row r="85" spans="2:36" s="28" customFormat="1" ht="16">
      <c r="B85" s="298" t="s">
        <v>98</v>
      </c>
      <c r="C85" s="298"/>
      <c r="D85" s="298"/>
      <c r="E85" s="298"/>
      <c r="F85" s="299">
        <v>0</v>
      </c>
      <c r="G85" s="300">
        <f>SUM(G86:G87)</f>
        <v>-313149.6952238403</v>
      </c>
      <c r="H85" s="300">
        <f t="shared" ref="H85:AJ85" si="21">SUM(H86:H87)</f>
        <v>-313149.6952238403</v>
      </c>
      <c r="I85" s="300">
        <f t="shared" si="21"/>
        <v>-313149.6952238403</v>
      </c>
      <c r="J85" s="300">
        <f t="shared" si="21"/>
        <v>-313149.69522384024</v>
      </c>
      <c r="K85" s="300">
        <f t="shared" si="21"/>
        <v>-313149.6952238403</v>
      </c>
      <c r="L85" s="300">
        <f t="shared" si="21"/>
        <v>-313149.6952238403</v>
      </c>
      <c r="M85" s="300">
        <f t="shared" si="21"/>
        <v>-313149.6952238403</v>
      </c>
      <c r="N85" s="300">
        <f t="shared" si="21"/>
        <v>-313149.6952238403</v>
      </c>
      <c r="O85" s="300">
        <f t="shared" si="21"/>
        <v>-313149.69522384024</v>
      </c>
      <c r="P85" s="300">
        <f t="shared" si="21"/>
        <v>-313149.6952238403</v>
      </c>
      <c r="Q85" s="300">
        <f t="shared" si="21"/>
        <v>-313149.6952238403</v>
      </c>
      <c r="R85" s="300">
        <f t="shared" si="21"/>
        <v>-313149.6952238403</v>
      </c>
      <c r="S85" s="300">
        <f t="shared" si="21"/>
        <v>-313149.6952238403</v>
      </c>
      <c r="T85" s="300">
        <f t="shared" si="21"/>
        <v>-313149.69522384024</v>
      </c>
      <c r="U85" s="300">
        <f t="shared" si="21"/>
        <v>-313149.69522384024</v>
      </c>
      <c r="V85" s="300">
        <f t="shared" si="21"/>
        <v>-313149.6952238403</v>
      </c>
      <c r="W85" s="300">
        <f t="shared" si="21"/>
        <v>-313149.6952238403</v>
      </c>
      <c r="X85" s="300">
        <f t="shared" si="21"/>
        <v>-313149.6952238403</v>
      </c>
      <c r="Y85" s="300">
        <f t="shared" si="21"/>
        <v>0</v>
      </c>
      <c r="Z85" s="300">
        <f t="shared" si="21"/>
        <v>0</v>
      </c>
      <c r="AA85" s="300">
        <f t="shared" si="21"/>
        <v>0</v>
      </c>
      <c r="AB85" s="300">
        <f t="shared" si="21"/>
        <v>0</v>
      </c>
      <c r="AC85" s="300">
        <f t="shared" si="21"/>
        <v>0</v>
      </c>
      <c r="AD85" s="300">
        <f t="shared" si="21"/>
        <v>0</v>
      </c>
      <c r="AE85" s="300">
        <f t="shared" si="21"/>
        <v>0</v>
      </c>
      <c r="AF85" s="300">
        <f t="shared" si="21"/>
        <v>0</v>
      </c>
      <c r="AG85" s="300">
        <f t="shared" si="21"/>
        <v>0</v>
      </c>
      <c r="AH85" s="300">
        <f t="shared" si="21"/>
        <v>0</v>
      </c>
      <c r="AI85" s="300">
        <f t="shared" si="21"/>
        <v>0</v>
      </c>
      <c r="AJ85" s="300">
        <f t="shared" si="21"/>
        <v>0</v>
      </c>
    </row>
    <row r="86" spans="2:36" s="37" customFormat="1" ht="16">
      <c r="B86" s="301" t="s">
        <v>96</v>
      </c>
      <c r="C86" s="301"/>
      <c r="D86" s="301"/>
      <c r="E86" s="301"/>
      <c r="F86" s="299">
        <v>0</v>
      </c>
      <c r="G86" s="300">
        <f>IF(G$2&gt;Inputs!$G$52,0,IPMT(Inputs!$G$53,G$2,Inputs!$G$52,$F$82))</f>
        <v>-220500</v>
      </c>
      <c r="H86" s="300">
        <f>IF(H$2&gt;Inputs!$G$52,0,IPMT(Inputs!$G$53,H$2,Inputs!$G$52,$F$82))</f>
        <v>-214014.52133433119</v>
      </c>
      <c r="I86" s="300">
        <f>IF(I$2&gt;Inputs!$G$52,0,IPMT(Inputs!$G$53,I$2,Inputs!$G$52,$F$82))</f>
        <v>-207075.05916206553</v>
      </c>
      <c r="J86" s="300">
        <f>IF(J$2&gt;Inputs!$G$52,0,IPMT(Inputs!$G$53,J$2,Inputs!$G$52,$F$82))</f>
        <v>-199649.83463774127</v>
      </c>
      <c r="K86" s="300">
        <f>IF(K$2&gt;Inputs!$G$52,0,IPMT(Inputs!$G$53,K$2,Inputs!$G$52,$F$82))</f>
        <v>-191704.84439671438</v>
      </c>
      <c r="L86" s="300">
        <f>IF(L$2&gt;Inputs!$G$52,0,IPMT(Inputs!$G$53,L$2,Inputs!$G$52,$F$82))</f>
        <v>-183203.70483881555</v>
      </c>
      <c r="M86" s="300">
        <f>IF(M$2&gt;Inputs!$G$52,0,IPMT(Inputs!$G$53,M$2,Inputs!$G$52,$F$82))</f>
        <v>-174107.48551186384</v>
      </c>
      <c r="N86" s="300">
        <f>IF(N$2&gt;Inputs!$G$52,0,IPMT(Inputs!$G$53,N$2,Inputs!$G$52,$F$82))</f>
        <v>-164374.53083202546</v>
      </c>
      <c r="O86" s="300">
        <f>IF(O$2&gt;Inputs!$G$52,0,IPMT(Inputs!$G$53,O$2,Inputs!$G$52,$F$82))</f>
        <v>-153960.26932459843</v>
      </c>
      <c r="P86" s="300">
        <f>IF(P$2&gt;Inputs!$G$52,0,IPMT(Inputs!$G$53,P$2,Inputs!$G$52,$F$82))</f>
        <v>-142817.00951165153</v>
      </c>
      <c r="Q86" s="300">
        <f>IF(Q$2&gt;Inputs!$G$52,0,IPMT(Inputs!$G$53,Q$2,Inputs!$G$52,$F$82))</f>
        <v>-130893.72151179831</v>
      </c>
      <c r="R86" s="300">
        <f>IF(R$2&gt;Inputs!$G$52,0,IPMT(Inputs!$G$53,R$2,Inputs!$G$52,$F$82))</f>
        <v>-118135.80335195536</v>
      </c>
      <c r="S86" s="300">
        <f>IF(S$2&gt;Inputs!$G$52,0,IPMT(Inputs!$G$53,S$2,Inputs!$G$52,$F$82))</f>
        <v>-104484.83092092343</v>
      </c>
      <c r="T86" s="300">
        <f>IF(T$2&gt;Inputs!$G$52,0,IPMT(Inputs!$G$53,T$2,Inputs!$G$52,$F$82))</f>
        <v>-89878.290419719226</v>
      </c>
      <c r="U86" s="300">
        <f>IF(U$2&gt;Inputs!$G$52,0,IPMT(Inputs!$G$53,U$2,Inputs!$G$52,$F$82))</f>
        <v>-74249.292083430744</v>
      </c>
      <c r="V86" s="300">
        <f>IF(V$2&gt;Inputs!$G$52,0,IPMT(Inputs!$G$53,V$2,Inputs!$G$52,$F$82))</f>
        <v>-57526.263863602086</v>
      </c>
      <c r="W86" s="300">
        <f>IF(W$2&gt;Inputs!$G$52,0,IPMT(Inputs!$G$53,W$2,Inputs!$G$52,$F$82))</f>
        <v>-39632.623668385415</v>
      </c>
      <c r="X86" s="300">
        <f>IF(X$2&gt;Inputs!$G$52,0,IPMT(Inputs!$G$53,X$2,Inputs!$G$52,$F$82))</f>
        <v>-20486.428659503574</v>
      </c>
      <c r="Y86" s="300">
        <f>IF(Y$2&gt;Inputs!$G$52,0,IPMT(Inputs!$G$53,Y$2,Inputs!$G$52,$F$82))</f>
        <v>0</v>
      </c>
      <c r="Z86" s="300">
        <f>IF(Z$2&gt;Inputs!$G$52,0,IPMT(Inputs!$G$53,Z$2,Inputs!$G$52,$F$82))</f>
        <v>0</v>
      </c>
      <c r="AA86" s="300">
        <f>IF(AA$2&gt;Inputs!$G$52,0,IPMT(Inputs!$G$53,AA$2,Inputs!$G$52,$F$82))</f>
        <v>0</v>
      </c>
      <c r="AB86" s="300">
        <f>IF(AB$2&gt;Inputs!$G$52,0,IPMT(Inputs!$G$53,AB$2,Inputs!$G$52,$F$82))</f>
        <v>0</v>
      </c>
      <c r="AC86" s="300">
        <f>IF(AC$2&gt;Inputs!$G$52,0,IPMT(Inputs!$G$53,AC$2,Inputs!$G$52,$F$82))</f>
        <v>0</v>
      </c>
      <c r="AD86" s="300">
        <f>IF(AD$2&gt;Inputs!$G$52,0,IPMT(Inputs!$G$53,AD$2,Inputs!$G$52,$F$82))</f>
        <v>0</v>
      </c>
      <c r="AE86" s="300">
        <f>IF(AE$2&gt;Inputs!$G$52,0,IPMT(Inputs!$G$53,AE$2,Inputs!$G$52,$F$82))</f>
        <v>0</v>
      </c>
      <c r="AF86" s="300">
        <f>IF(AF$2&gt;Inputs!$G$52,0,IPMT(Inputs!$G$53,AF$2,Inputs!$G$52,$F$82))</f>
        <v>0</v>
      </c>
      <c r="AG86" s="300">
        <f>IF(AG$2&gt;Inputs!$G$52,0,IPMT(Inputs!$G$53,AG$2,Inputs!$G$52,$F$82))</f>
        <v>0</v>
      </c>
      <c r="AH86" s="300">
        <f>IF(AH$2&gt;Inputs!$G$52,0,IPMT(Inputs!$G$53,AH$2,Inputs!$G$52,$F$82))</f>
        <v>0</v>
      </c>
      <c r="AI86" s="300">
        <f>IF(AI$2&gt;Inputs!$G$52,0,IPMT(Inputs!$G$53,AI$2,Inputs!$G$52,$F$82))</f>
        <v>0</v>
      </c>
      <c r="AJ86" s="300">
        <f>IF(AJ$2&gt;Inputs!$G$52,0,IPMT(Inputs!$G$53,AJ$2,Inputs!$G$52,$F$82))</f>
        <v>0</v>
      </c>
    </row>
    <row r="87" spans="2:36" s="28" customFormat="1" ht="16">
      <c r="B87" s="298" t="s">
        <v>97</v>
      </c>
      <c r="C87" s="298"/>
      <c r="D87" s="298"/>
      <c r="E87" s="298"/>
      <c r="F87" s="302">
        <f>MIN(MAX(0,F85-F86),F$90)</f>
        <v>0</v>
      </c>
      <c r="G87" s="300">
        <f>IF(G$2&gt;Inputs!$G$52,0,PPMT(Inputs!$G$53,G$2,Inputs!$G$52,$F$82))</f>
        <v>-92649.695223840274</v>
      </c>
      <c r="H87" s="300">
        <f>IF(H$2&gt;Inputs!$G$52,0,PPMT(Inputs!$G$53,H$2,Inputs!$G$52,$F$82))</f>
        <v>-99135.173889509097</v>
      </c>
      <c r="I87" s="300">
        <f>IF(I$2&gt;Inputs!$G$52,0,PPMT(Inputs!$G$53,I$2,Inputs!$G$52,$F$82))</f>
        <v>-106074.63606177476</v>
      </c>
      <c r="J87" s="300">
        <f>IF(J$2&gt;Inputs!$G$52,0,PPMT(Inputs!$G$53,J$2,Inputs!$G$52,$F$82))</f>
        <v>-113499.86058609896</v>
      </c>
      <c r="K87" s="300">
        <f>IF(K$2&gt;Inputs!$G$52,0,PPMT(Inputs!$G$53,K$2,Inputs!$G$52,$F$82))</f>
        <v>-121444.85082712591</v>
      </c>
      <c r="L87" s="300">
        <f>IF(L$2&gt;Inputs!$G$52,0,PPMT(Inputs!$G$53,L$2,Inputs!$G$52,$F$82))</f>
        <v>-129945.99038502472</v>
      </c>
      <c r="M87" s="300">
        <f>IF(M$2&gt;Inputs!$G$52,0,PPMT(Inputs!$G$53,M$2,Inputs!$G$52,$F$82))</f>
        <v>-139042.20971197647</v>
      </c>
      <c r="N87" s="300">
        <f>IF(N$2&gt;Inputs!$G$52,0,PPMT(Inputs!$G$53,N$2,Inputs!$G$52,$F$82))</f>
        <v>-148775.16439181482</v>
      </c>
      <c r="O87" s="300">
        <f>IF(O$2&gt;Inputs!$G$52,0,PPMT(Inputs!$G$53,O$2,Inputs!$G$52,$F$82))</f>
        <v>-159189.42589924182</v>
      </c>
      <c r="P87" s="300">
        <f>IF(P$2&gt;Inputs!$G$52,0,PPMT(Inputs!$G$53,P$2,Inputs!$G$52,$F$82))</f>
        <v>-170332.68571218877</v>
      </c>
      <c r="Q87" s="300">
        <f>IF(Q$2&gt;Inputs!$G$52,0,PPMT(Inputs!$G$53,Q$2,Inputs!$G$52,$F$82))</f>
        <v>-182255.97371204197</v>
      </c>
      <c r="R87" s="300">
        <f>IF(R$2&gt;Inputs!$G$52,0,PPMT(Inputs!$G$53,R$2,Inputs!$G$52,$F$82))</f>
        <v>-195013.89187188493</v>
      </c>
      <c r="S87" s="300">
        <f>IF(S$2&gt;Inputs!$G$52,0,PPMT(Inputs!$G$53,S$2,Inputs!$G$52,$F$82))</f>
        <v>-208664.86430291686</v>
      </c>
      <c r="T87" s="300">
        <f>IF(T$2&gt;Inputs!$G$52,0,PPMT(Inputs!$G$53,T$2,Inputs!$G$52,$F$82))</f>
        <v>-223271.40480412103</v>
      </c>
      <c r="U87" s="300">
        <f>IF(U$2&gt;Inputs!$G$52,0,PPMT(Inputs!$G$53,U$2,Inputs!$G$52,$F$82))</f>
        <v>-238900.4031404095</v>
      </c>
      <c r="V87" s="300">
        <f>IF(V$2&gt;Inputs!$G$52,0,PPMT(Inputs!$G$53,V$2,Inputs!$G$52,$F$82))</f>
        <v>-255623.4313602382</v>
      </c>
      <c r="W87" s="300">
        <f>IF(W$2&gt;Inputs!$G$52,0,PPMT(Inputs!$G$53,W$2,Inputs!$G$52,$F$82))</f>
        <v>-273517.07155545487</v>
      </c>
      <c r="X87" s="300">
        <f>IF(X$2&gt;Inputs!$G$52,0,PPMT(Inputs!$G$53,X$2,Inputs!$G$52,$F$82))</f>
        <v>-292663.26656433672</v>
      </c>
      <c r="Y87" s="300">
        <f>IF(Y$2&gt;Inputs!$G$52,0,PPMT(Inputs!$G$53,Y$2,Inputs!$G$52,$F$82))</f>
        <v>0</v>
      </c>
      <c r="Z87" s="300">
        <f>IF(Z$2&gt;Inputs!$G$52,0,PPMT(Inputs!$G$53,Z$2,Inputs!$G$52,$F$82))</f>
        <v>0</v>
      </c>
      <c r="AA87" s="300">
        <f>IF(AA$2&gt;Inputs!$G$52,0,PPMT(Inputs!$G$53,AA$2,Inputs!$G$52,$F$82))</f>
        <v>0</v>
      </c>
      <c r="AB87" s="300">
        <f>IF(AB$2&gt;Inputs!$G$52,0,PPMT(Inputs!$G$53,AB$2,Inputs!$G$52,$F$82))</f>
        <v>0</v>
      </c>
      <c r="AC87" s="300">
        <f>IF(AC$2&gt;Inputs!$G$52,0,PPMT(Inputs!$G$53,AC$2,Inputs!$G$52,$F$82))</f>
        <v>0</v>
      </c>
      <c r="AD87" s="300">
        <f>IF(AD$2&gt;Inputs!$G$52,0,PPMT(Inputs!$G$53,AD$2,Inputs!$G$52,$F$82))</f>
        <v>0</v>
      </c>
      <c r="AE87" s="300">
        <f>IF(AE$2&gt;Inputs!$G$52,0,PPMT(Inputs!$G$53,AE$2,Inputs!$G$52,$F$82))</f>
        <v>0</v>
      </c>
      <c r="AF87" s="300">
        <f>IF(AF$2&gt;Inputs!$G$52,0,PPMT(Inputs!$G$53,AF$2,Inputs!$G$52,$F$82))</f>
        <v>0</v>
      </c>
      <c r="AG87" s="300">
        <f>IF(AG$2&gt;Inputs!$G$52,0,PPMT(Inputs!$G$53,AG$2,Inputs!$G$52,$F$82))</f>
        <v>0</v>
      </c>
      <c r="AH87" s="300">
        <f>IF(AH$2&gt;Inputs!$G$52,0,PPMT(Inputs!$G$53,AH$2,Inputs!$G$52,$F$82))</f>
        <v>0</v>
      </c>
      <c r="AI87" s="300">
        <f>IF(AI$2&gt;Inputs!$G$52,0,PPMT(Inputs!$G$53,AI$2,Inputs!$G$52,$F$82))</f>
        <v>0</v>
      </c>
      <c r="AJ87" s="300">
        <f>IF(AJ$2&gt;Inputs!$G$52,0,PPMT(Inputs!$G$53,AJ$2,Inputs!$G$52,$F$82))</f>
        <v>0</v>
      </c>
    </row>
    <row r="88" spans="2:36" s="28" customFormat="1" ht="16">
      <c r="B88" s="290"/>
      <c r="C88" s="290"/>
      <c r="D88" s="290"/>
      <c r="E88" s="290"/>
      <c r="F88" s="297"/>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93"/>
      <c r="AF88" s="293"/>
      <c r="AG88" s="293"/>
      <c r="AH88" s="293"/>
      <c r="AI88" s="293"/>
      <c r="AJ88" s="293"/>
    </row>
    <row r="89" spans="2:36" s="28" customFormat="1" ht="16">
      <c r="B89" s="290" t="s">
        <v>126</v>
      </c>
      <c r="C89" s="290"/>
      <c r="D89" s="290"/>
      <c r="E89" s="291"/>
      <c r="F89" s="303"/>
      <c r="G89" s="303"/>
      <c r="H89" s="303"/>
      <c r="I89" s="303"/>
      <c r="J89" s="303"/>
      <c r="K89" s="303"/>
      <c r="L89" s="303"/>
      <c r="M89" s="303"/>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row>
    <row r="90" spans="2:36" s="28" customFormat="1" ht="16">
      <c r="B90" s="298" t="s">
        <v>93</v>
      </c>
      <c r="C90" s="298"/>
      <c r="D90" s="298"/>
      <c r="E90" s="298"/>
      <c r="F90" s="304">
        <v>0</v>
      </c>
      <c r="G90" s="302">
        <f t="shared" ref="G90:AJ90" si="22">F93</f>
        <v>3150000</v>
      </c>
      <c r="H90" s="302">
        <f t="shared" si="22"/>
        <v>3057350.3047761596</v>
      </c>
      <c r="I90" s="302">
        <f t="shared" si="22"/>
        <v>2958215.1308866506</v>
      </c>
      <c r="J90" s="302">
        <f t="shared" si="22"/>
        <v>2852140.4948248761</v>
      </c>
      <c r="K90" s="302">
        <f t="shared" si="22"/>
        <v>2738640.6342387772</v>
      </c>
      <c r="L90" s="302">
        <f t="shared" si="22"/>
        <v>2617195.7834116514</v>
      </c>
      <c r="M90" s="302">
        <f t="shared" si="22"/>
        <v>2487249.7930266266</v>
      </c>
      <c r="N90" s="302">
        <f t="shared" si="22"/>
        <v>2348207.5833146502</v>
      </c>
      <c r="O90" s="302">
        <f t="shared" si="22"/>
        <v>2199432.4189228355</v>
      </c>
      <c r="P90" s="302">
        <f t="shared" si="22"/>
        <v>2040242.9930235937</v>
      </c>
      <c r="Q90" s="302">
        <f t="shared" si="22"/>
        <v>1869910.307311405</v>
      </c>
      <c r="R90" s="302">
        <f t="shared" si="22"/>
        <v>1687654.333599363</v>
      </c>
      <c r="S90" s="302">
        <f t="shared" si="22"/>
        <v>1492640.4417274781</v>
      </c>
      <c r="T90" s="302">
        <f t="shared" si="22"/>
        <v>1283975.5774245611</v>
      </c>
      <c r="U90" s="302">
        <f t="shared" si="22"/>
        <v>1060704.1726204401</v>
      </c>
      <c r="V90" s="302">
        <f t="shared" si="22"/>
        <v>821803.76948003063</v>
      </c>
      <c r="W90" s="302">
        <f t="shared" si="22"/>
        <v>566180.3381197924</v>
      </c>
      <c r="X90" s="302">
        <f t="shared" si="22"/>
        <v>292663.26656433754</v>
      </c>
      <c r="Y90" s="302">
        <f t="shared" si="22"/>
        <v>8.149072527885437E-10</v>
      </c>
      <c r="Z90" s="302">
        <f t="shared" si="22"/>
        <v>8.149072527885437E-10</v>
      </c>
      <c r="AA90" s="302">
        <f t="shared" si="22"/>
        <v>8.149072527885437E-10</v>
      </c>
      <c r="AB90" s="302">
        <f t="shared" si="22"/>
        <v>8.149072527885437E-10</v>
      </c>
      <c r="AC90" s="302">
        <f t="shared" si="22"/>
        <v>8.149072527885437E-10</v>
      </c>
      <c r="AD90" s="302">
        <f t="shared" si="22"/>
        <v>8.149072527885437E-10</v>
      </c>
      <c r="AE90" s="302">
        <f t="shared" si="22"/>
        <v>8.149072527885437E-10</v>
      </c>
      <c r="AF90" s="302">
        <f t="shared" si="22"/>
        <v>8.149072527885437E-10</v>
      </c>
      <c r="AG90" s="302">
        <f t="shared" si="22"/>
        <v>8.149072527885437E-10</v>
      </c>
      <c r="AH90" s="302">
        <f t="shared" si="22"/>
        <v>8.149072527885437E-10</v>
      </c>
      <c r="AI90" s="302">
        <f t="shared" si="22"/>
        <v>8.149072527885437E-10</v>
      </c>
      <c r="AJ90" s="302">
        <f t="shared" si="22"/>
        <v>8.149072527885437E-10</v>
      </c>
    </row>
    <row r="91" spans="2:36" s="28" customFormat="1" ht="16">
      <c r="B91" s="298" t="s">
        <v>94</v>
      </c>
      <c r="C91" s="298"/>
      <c r="D91" s="298"/>
      <c r="E91" s="298"/>
      <c r="F91" s="302">
        <f>$F$82</f>
        <v>3150000</v>
      </c>
      <c r="G91" s="304">
        <v>0</v>
      </c>
      <c r="H91" s="304">
        <v>0</v>
      </c>
      <c r="I91" s="304">
        <v>0</v>
      </c>
      <c r="J91" s="304">
        <v>0</v>
      </c>
      <c r="K91" s="304">
        <v>0</v>
      </c>
      <c r="L91" s="304">
        <v>0</v>
      </c>
      <c r="M91" s="304">
        <v>0</v>
      </c>
      <c r="N91" s="304">
        <v>0</v>
      </c>
      <c r="O91" s="304">
        <v>0</v>
      </c>
      <c r="P91" s="304">
        <v>0</v>
      </c>
      <c r="Q91" s="304">
        <v>0</v>
      </c>
      <c r="R91" s="304">
        <v>0</v>
      </c>
      <c r="S91" s="304">
        <v>0</v>
      </c>
      <c r="T91" s="304">
        <v>0</v>
      </c>
      <c r="U91" s="304">
        <v>0</v>
      </c>
      <c r="V91" s="304">
        <v>0</v>
      </c>
      <c r="W91" s="304">
        <v>0</v>
      </c>
      <c r="X91" s="304">
        <v>0</v>
      </c>
      <c r="Y91" s="304">
        <v>0</v>
      </c>
      <c r="Z91" s="304">
        <v>0</v>
      </c>
      <c r="AA91" s="304">
        <v>0</v>
      </c>
      <c r="AB91" s="304">
        <v>0</v>
      </c>
      <c r="AC91" s="304">
        <v>0</v>
      </c>
      <c r="AD91" s="304">
        <v>0</v>
      </c>
      <c r="AE91" s="304">
        <v>0</v>
      </c>
      <c r="AF91" s="304">
        <v>0</v>
      </c>
      <c r="AG91" s="304">
        <v>0</v>
      </c>
      <c r="AH91" s="304">
        <v>0</v>
      </c>
      <c r="AI91" s="304">
        <v>0</v>
      </c>
      <c r="AJ91" s="304">
        <v>0</v>
      </c>
    </row>
    <row r="92" spans="2:36" s="28" customFormat="1" ht="16">
      <c r="B92" s="298" t="s">
        <v>125</v>
      </c>
      <c r="C92" s="298"/>
      <c r="D92" s="298"/>
      <c r="E92" s="298"/>
      <c r="F92" s="305">
        <v>0</v>
      </c>
      <c r="G92" s="306">
        <f t="shared" ref="G92:AJ92" si="23">G87</f>
        <v>-92649.695223840274</v>
      </c>
      <c r="H92" s="306">
        <f t="shared" si="23"/>
        <v>-99135.173889509097</v>
      </c>
      <c r="I92" s="306">
        <f t="shared" si="23"/>
        <v>-106074.63606177476</v>
      </c>
      <c r="J92" s="306">
        <f t="shared" si="23"/>
        <v>-113499.86058609896</v>
      </c>
      <c r="K92" s="306">
        <f t="shared" si="23"/>
        <v>-121444.85082712591</v>
      </c>
      <c r="L92" s="306">
        <f t="shared" si="23"/>
        <v>-129945.99038502472</v>
      </c>
      <c r="M92" s="306">
        <f t="shared" si="23"/>
        <v>-139042.20971197647</v>
      </c>
      <c r="N92" s="306">
        <f t="shared" si="23"/>
        <v>-148775.16439181482</v>
      </c>
      <c r="O92" s="306">
        <f t="shared" si="23"/>
        <v>-159189.42589924182</v>
      </c>
      <c r="P92" s="306">
        <f t="shared" si="23"/>
        <v>-170332.68571218877</v>
      </c>
      <c r="Q92" s="306">
        <f t="shared" si="23"/>
        <v>-182255.97371204197</v>
      </c>
      <c r="R92" s="306">
        <f t="shared" si="23"/>
        <v>-195013.89187188493</v>
      </c>
      <c r="S92" s="306">
        <f t="shared" si="23"/>
        <v>-208664.86430291686</v>
      </c>
      <c r="T92" s="306">
        <f t="shared" si="23"/>
        <v>-223271.40480412103</v>
      </c>
      <c r="U92" s="306">
        <f t="shared" si="23"/>
        <v>-238900.4031404095</v>
      </c>
      <c r="V92" s="306">
        <f t="shared" si="23"/>
        <v>-255623.4313602382</v>
      </c>
      <c r="W92" s="306">
        <f t="shared" si="23"/>
        <v>-273517.07155545487</v>
      </c>
      <c r="X92" s="306">
        <f t="shared" si="23"/>
        <v>-292663.26656433672</v>
      </c>
      <c r="Y92" s="306">
        <f t="shared" si="23"/>
        <v>0</v>
      </c>
      <c r="Z92" s="306">
        <f t="shared" si="23"/>
        <v>0</v>
      </c>
      <c r="AA92" s="306">
        <f t="shared" si="23"/>
        <v>0</v>
      </c>
      <c r="AB92" s="306">
        <f t="shared" si="23"/>
        <v>0</v>
      </c>
      <c r="AC92" s="306">
        <f t="shared" si="23"/>
        <v>0</v>
      </c>
      <c r="AD92" s="306">
        <f t="shared" si="23"/>
        <v>0</v>
      </c>
      <c r="AE92" s="306">
        <f t="shared" si="23"/>
        <v>0</v>
      </c>
      <c r="AF92" s="306">
        <f t="shared" si="23"/>
        <v>0</v>
      </c>
      <c r="AG92" s="306">
        <f t="shared" si="23"/>
        <v>0</v>
      </c>
      <c r="AH92" s="306">
        <f t="shared" si="23"/>
        <v>0</v>
      </c>
      <c r="AI92" s="306">
        <f t="shared" si="23"/>
        <v>0</v>
      </c>
      <c r="AJ92" s="306">
        <f t="shared" si="23"/>
        <v>0</v>
      </c>
    </row>
    <row r="93" spans="2:36" s="28" customFormat="1" ht="16">
      <c r="B93" s="298" t="s">
        <v>95</v>
      </c>
      <c r="C93" s="298"/>
      <c r="D93" s="298"/>
      <c r="E93" s="298"/>
      <c r="F93" s="302">
        <f t="shared" ref="F93:AJ93" si="24">SUM(F90:F92)</f>
        <v>3150000</v>
      </c>
      <c r="G93" s="302">
        <f t="shared" si="24"/>
        <v>3057350.3047761596</v>
      </c>
      <c r="H93" s="302">
        <f t="shared" si="24"/>
        <v>2958215.1308866506</v>
      </c>
      <c r="I93" s="302">
        <f t="shared" si="24"/>
        <v>2852140.4948248761</v>
      </c>
      <c r="J93" s="302">
        <f t="shared" si="24"/>
        <v>2738640.6342387772</v>
      </c>
      <c r="K93" s="302">
        <f t="shared" si="24"/>
        <v>2617195.7834116514</v>
      </c>
      <c r="L93" s="302">
        <f t="shared" si="24"/>
        <v>2487249.7930266266</v>
      </c>
      <c r="M93" s="302">
        <f t="shared" si="24"/>
        <v>2348207.5833146502</v>
      </c>
      <c r="N93" s="302">
        <f t="shared" si="24"/>
        <v>2199432.4189228355</v>
      </c>
      <c r="O93" s="302">
        <f t="shared" si="24"/>
        <v>2040242.9930235937</v>
      </c>
      <c r="P93" s="302">
        <f t="shared" si="24"/>
        <v>1869910.307311405</v>
      </c>
      <c r="Q93" s="302">
        <f t="shared" si="24"/>
        <v>1687654.333599363</v>
      </c>
      <c r="R93" s="302">
        <f t="shared" si="24"/>
        <v>1492640.4417274781</v>
      </c>
      <c r="S93" s="302">
        <f t="shared" si="24"/>
        <v>1283975.5774245611</v>
      </c>
      <c r="T93" s="302">
        <f t="shared" si="24"/>
        <v>1060704.1726204401</v>
      </c>
      <c r="U93" s="302">
        <f t="shared" si="24"/>
        <v>821803.76948003063</v>
      </c>
      <c r="V93" s="302">
        <f t="shared" si="24"/>
        <v>566180.3381197924</v>
      </c>
      <c r="W93" s="302">
        <f t="shared" si="24"/>
        <v>292663.26656433754</v>
      </c>
      <c r="X93" s="302">
        <f t="shared" si="24"/>
        <v>8.149072527885437E-10</v>
      </c>
      <c r="Y93" s="302">
        <f t="shared" si="24"/>
        <v>8.149072527885437E-10</v>
      </c>
      <c r="Z93" s="302">
        <f t="shared" si="24"/>
        <v>8.149072527885437E-10</v>
      </c>
      <c r="AA93" s="302">
        <f t="shared" si="24"/>
        <v>8.149072527885437E-10</v>
      </c>
      <c r="AB93" s="302">
        <f t="shared" si="24"/>
        <v>8.149072527885437E-10</v>
      </c>
      <c r="AC93" s="302">
        <f t="shared" si="24"/>
        <v>8.149072527885437E-10</v>
      </c>
      <c r="AD93" s="302">
        <f t="shared" si="24"/>
        <v>8.149072527885437E-10</v>
      </c>
      <c r="AE93" s="302">
        <f t="shared" si="24"/>
        <v>8.149072527885437E-10</v>
      </c>
      <c r="AF93" s="302">
        <f t="shared" si="24"/>
        <v>8.149072527885437E-10</v>
      </c>
      <c r="AG93" s="302">
        <f t="shared" si="24"/>
        <v>8.149072527885437E-10</v>
      </c>
      <c r="AH93" s="302">
        <f t="shared" si="24"/>
        <v>8.149072527885437E-10</v>
      </c>
      <c r="AI93" s="302">
        <f t="shared" si="24"/>
        <v>8.149072527885437E-10</v>
      </c>
      <c r="AJ93" s="302">
        <f t="shared" si="24"/>
        <v>8.149072527885437E-10</v>
      </c>
    </row>
    <row r="94" spans="2:36" s="28" customFormat="1" ht="17" thickBot="1">
      <c r="B94" s="285"/>
      <c r="C94" s="285"/>
      <c r="D94" s="285"/>
      <c r="E94" s="285"/>
      <c r="F94" s="285"/>
      <c r="G94" s="285"/>
      <c r="H94" s="285"/>
      <c r="I94" s="285"/>
      <c r="J94" s="285"/>
      <c r="K94" s="285"/>
      <c r="L94" s="285"/>
      <c r="M94" s="285"/>
      <c r="N94" s="285"/>
      <c r="O94" s="285"/>
      <c r="P94" s="285"/>
      <c r="Q94" s="285"/>
      <c r="R94" s="285"/>
      <c r="S94" s="285"/>
      <c r="T94" s="285"/>
      <c r="U94" s="285"/>
      <c r="V94" s="285"/>
      <c r="W94" s="285"/>
      <c r="X94" s="285"/>
      <c r="Y94" s="285"/>
      <c r="Z94" s="285"/>
      <c r="AA94" s="285"/>
      <c r="AB94" s="285"/>
      <c r="AC94" s="285"/>
      <c r="AD94" s="285"/>
      <c r="AE94" s="285"/>
      <c r="AF94" s="285"/>
      <c r="AG94" s="285"/>
      <c r="AH94" s="285"/>
      <c r="AI94" s="285"/>
      <c r="AJ94" s="285"/>
    </row>
    <row r="95" spans="2:36">
      <c r="B95" s="307"/>
      <c r="C95" s="307"/>
      <c r="D95" s="307"/>
      <c r="E95" s="307"/>
      <c r="F95" s="307"/>
      <c r="G95" s="307"/>
      <c r="H95" s="307"/>
      <c r="I95" s="307"/>
      <c r="J95" s="307"/>
      <c r="K95" s="307"/>
      <c r="L95" s="307"/>
      <c r="M95" s="307"/>
      <c r="N95" s="307"/>
      <c r="O95" s="307"/>
      <c r="P95" s="307"/>
      <c r="Q95" s="307"/>
      <c r="R95" s="307"/>
      <c r="S95" s="307"/>
      <c r="T95" s="307"/>
      <c r="U95" s="307"/>
      <c r="V95" s="307"/>
      <c r="W95" s="307"/>
      <c r="X95" s="307"/>
      <c r="Y95" s="307"/>
      <c r="Z95" s="307"/>
      <c r="AA95" s="307"/>
      <c r="AB95" s="307"/>
      <c r="AC95" s="307"/>
      <c r="AD95" s="307"/>
      <c r="AE95" s="307"/>
      <c r="AF95" s="307"/>
      <c r="AG95" s="307"/>
      <c r="AH95" s="307"/>
      <c r="AI95" s="307"/>
      <c r="AJ95" s="307"/>
    </row>
    <row r="96" spans="2:36" s="28" customFormat="1" ht="16">
      <c r="B96" s="262" t="s">
        <v>155</v>
      </c>
      <c r="C96" s="794" t="s">
        <v>360</v>
      </c>
      <c r="D96" s="794"/>
      <c r="E96" s="794"/>
      <c r="F96" s="263"/>
      <c r="G96" s="263"/>
      <c r="H96" s="263"/>
      <c r="I96" s="263"/>
      <c r="J96" s="263"/>
      <c r="K96" s="263"/>
      <c r="L96" s="263"/>
      <c r="M96" s="263"/>
      <c r="N96" s="263"/>
      <c r="O96" s="263"/>
      <c r="P96" s="263"/>
      <c r="Q96" s="263"/>
      <c r="R96" s="263"/>
      <c r="S96" s="263"/>
      <c r="T96" s="263"/>
      <c r="U96" s="263"/>
      <c r="V96" s="263"/>
      <c r="W96" s="263"/>
      <c r="X96" s="263"/>
      <c r="Y96" s="263"/>
      <c r="Z96" s="263"/>
      <c r="AA96" s="263"/>
      <c r="AB96" s="263"/>
      <c r="AC96" s="263"/>
      <c r="AD96" s="263"/>
      <c r="AE96" s="263"/>
      <c r="AF96" s="263"/>
      <c r="AG96" s="263"/>
      <c r="AH96" s="263"/>
      <c r="AI96" s="263"/>
      <c r="AJ96" s="263"/>
    </row>
    <row r="97" spans="2:36" s="28" customFormat="1" ht="16">
      <c r="B97" s="263" t="s">
        <v>131</v>
      </c>
      <c r="C97" s="264" t="s">
        <v>361</v>
      </c>
      <c r="D97" s="264" t="s">
        <v>367</v>
      </c>
      <c r="E97" s="264" t="s">
        <v>362</v>
      </c>
      <c r="F97" s="264">
        <v>0</v>
      </c>
      <c r="G97" s="264">
        <v>1</v>
      </c>
      <c r="H97" s="264">
        <v>2</v>
      </c>
      <c r="I97" s="264">
        <v>3</v>
      </c>
      <c r="J97" s="264">
        <v>4</v>
      </c>
      <c r="K97" s="264">
        <v>5</v>
      </c>
      <c r="L97" s="264">
        <v>6</v>
      </c>
      <c r="M97" s="264">
        <v>7</v>
      </c>
      <c r="N97" s="264">
        <v>8</v>
      </c>
      <c r="O97" s="264">
        <v>9</v>
      </c>
      <c r="P97" s="264">
        <v>10</v>
      </c>
      <c r="Q97" s="264">
        <v>11</v>
      </c>
      <c r="R97" s="264">
        <v>12</v>
      </c>
      <c r="S97" s="264">
        <v>13</v>
      </c>
      <c r="T97" s="264">
        <v>14</v>
      </c>
      <c r="U97" s="264">
        <v>15</v>
      </c>
      <c r="V97" s="264">
        <v>16</v>
      </c>
      <c r="W97" s="264">
        <v>17</v>
      </c>
      <c r="X97" s="264">
        <v>18</v>
      </c>
      <c r="Y97" s="264">
        <v>19</v>
      </c>
      <c r="Z97" s="264">
        <v>20</v>
      </c>
      <c r="AA97" s="264">
        <v>21</v>
      </c>
      <c r="AB97" s="264">
        <v>22</v>
      </c>
      <c r="AC97" s="264">
        <v>23</v>
      </c>
      <c r="AD97" s="264">
        <v>24</v>
      </c>
      <c r="AE97" s="264">
        <v>25</v>
      </c>
      <c r="AF97" s="264">
        <v>26</v>
      </c>
      <c r="AG97" s="264">
        <v>27</v>
      </c>
      <c r="AH97" s="264">
        <v>28</v>
      </c>
      <c r="AI97" s="264">
        <v>29</v>
      </c>
      <c r="AJ97" s="264">
        <v>30</v>
      </c>
    </row>
    <row r="98" spans="2:36" s="28" customFormat="1" ht="16">
      <c r="B98" s="265" t="s">
        <v>132</v>
      </c>
      <c r="C98" s="266" t="s">
        <v>363</v>
      </c>
      <c r="D98" s="266" t="s">
        <v>140</v>
      </c>
      <c r="E98" s="266" t="s">
        <v>363</v>
      </c>
      <c r="F98" s="263"/>
      <c r="G98" s="263"/>
      <c r="H98" s="263"/>
      <c r="I98" s="263"/>
      <c r="J98" s="263"/>
      <c r="K98" s="263"/>
      <c r="L98" s="263"/>
      <c r="M98" s="263"/>
      <c r="N98" s="263"/>
      <c r="O98" s="263"/>
      <c r="P98" s="263"/>
      <c r="Q98" s="263"/>
      <c r="R98" s="263"/>
      <c r="S98" s="263"/>
      <c r="T98" s="263"/>
      <c r="U98" s="263"/>
      <c r="V98" s="263"/>
      <c r="W98" s="263"/>
      <c r="X98" s="263"/>
      <c r="Y98" s="263"/>
      <c r="Z98" s="263"/>
      <c r="AA98" s="263"/>
      <c r="AB98" s="263"/>
      <c r="AC98" s="263"/>
      <c r="AD98" s="263"/>
      <c r="AE98" s="263"/>
      <c r="AF98" s="263"/>
      <c r="AG98" s="263"/>
      <c r="AH98" s="263"/>
      <c r="AI98" s="263"/>
      <c r="AJ98" s="263"/>
    </row>
    <row r="99" spans="2:36" s="28" customFormat="1" ht="16">
      <c r="B99" s="263" t="s">
        <v>81</v>
      </c>
      <c r="C99" s="267">
        <f>IF(Inputs!$G$18="Simple",Inputs!$G$26*Inputs!$P$73,IF(Inputs!$G$18="Intermediate",SUMPRODUCT(Inputs!$G$20:$G$24,Inputs!$P$74:$P$78),'Complex Inputs'!$F$121))</f>
        <v>5160000</v>
      </c>
      <c r="D99" s="510">
        <f t="shared" ref="D99:D106" si="25">C99/$C$110</f>
        <v>0.69824896919320689</v>
      </c>
      <c r="E99" s="267">
        <f>($C$110-$C$112)*IF(Inputs!$P$70="No",1,(1-Inputs!$P$71))*D99</f>
        <v>2580000</v>
      </c>
      <c r="F99" s="268"/>
      <c r="G99" s="269">
        <v>0.2</v>
      </c>
      <c r="H99" s="269">
        <v>0.32</v>
      </c>
      <c r="I99" s="269">
        <v>0.192</v>
      </c>
      <c r="J99" s="269">
        <v>0.1152</v>
      </c>
      <c r="K99" s="269">
        <v>0.1152</v>
      </c>
      <c r="L99" s="269">
        <v>5.7599999999999998E-2</v>
      </c>
      <c r="M99" s="269">
        <v>0</v>
      </c>
      <c r="N99" s="269">
        <v>0</v>
      </c>
      <c r="O99" s="269">
        <v>0</v>
      </c>
      <c r="P99" s="269">
        <v>0</v>
      </c>
      <c r="Q99" s="269">
        <v>0</v>
      </c>
      <c r="R99" s="269">
        <v>0</v>
      </c>
      <c r="S99" s="269">
        <v>0</v>
      </c>
      <c r="T99" s="269">
        <v>0</v>
      </c>
      <c r="U99" s="269">
        <v>0</v>
      </c>
      <c r="V99" s="269">
        <v>0</v>
      </c>
      <c r="W99" s="269">
        <v>0</v>
      </c>
      <c r="X99" s="269">
        <v>0</v>
      </c>
      <c r="Y99" s="269">
        <v>0</v>
      </c>
      <c r="Z99" s="269">
        <v>0</v>
      </c>
      <c r="AA99" s="269">
        <v>0</v>
      </c>
      <c r="AB99" s="269">
        <v>0</v>
      </c>
      <c r="AC99" s="269">
        <v>0</v>
      </c>
      <c r="AD99" s="269">
        <v>0</v>
      </c>
      <c r="AE99" s="269">
        <v>0</v>
      </c>
      <c r="AF99" s="269">
        <v>0</v>
      </c>
      <c r="AG99" s="269">
        <v>0</v>
      </c>
      <c r="AH99" s="269">
        <v>0</v>
      </c>
      <c r="AI99" s="269">
        <v>0</v>
      </c>
      <c r="AJ99" s="269">
        <v>0</v>
      </c>
    </row>
    <row r="100" spans="2:36" s="28" customFormat="1" ht="16">
      <c r="B100" s="263" t="s">
        <v>133</v>
      </c>
      <c r="C100" s="267">
        <f>IF(Inputs!$G$18="Simple",Inputs!$G$26*Inputs!$Q$73,IF(Inputs!$G$18="Intermediate",SUMPRODUCT(Inputs!$G$20:$G$24,Inputs!$Q$74:$Q$78),'Complex Inputs'!$G$121))</f>
        <v>0</v>
      </c>
      <c r="D100" s="510">
        <f t="shared" si="25"/>
        <v>0</v>
      </c>
      <c r="E100" s="267">
        <f>($C$110-$C$112)*IF(Inputs!$P$70="No",1,(1-Inputs!$P$71))*D100</f>
        <v>0</v>
      </c>
      <c r="F100" s="263"/>
      <c r="G100" s="269">
        <v>0.1429</v>
      </c>
      <c r="H100" s="269">
        <v>0.24490000000000001</v>
      </c>
      <c r="I100" s="269">
        <v>0.1749</v>
      </c>
      <c r="J100" s="269">
        <v>0.1249</v>
      </c>
      <c r="K100" s="269">
        <v>8.9300000000000004E-2</v>
      </c>
      <c r="L100" s="269">
        <v>8.9200000000000002E-2</v>
      </c>
      <c r="M100" s="269">
        <v>8.9300000000000004E-2</v>
      </c>
      <c r="N100" s="269">
        <v>4.4600000000000001E-2</v>
      </c>
      <c r="O100" s="269">
        <v>0</v>
      </c>
      <c r="P100" s="269">
        <v>0</v>
      </c>
      <c r="Q100" s="269">
        <v>0</v>
      </c>
      <c r="R100" s="269">
        <v>0</v>
      </c>
      <c r="S100" s="269">
        <v>0</v>
      </c>
      <c r="T100" s="269">
        <v>0</v>
      </c>
      <c r="U100" s="269">
        <v>0</v>
      </c>
      <c r="V100" s="269">
        <v>0</v>
      </c>
      <c r="W100" s="269">
        <v>0</v>
      </c>
      <c r="X100" s="269">
        <v>0</v>
      </c>
      <c r="Y100" s="269">
        <v>0</v>
      </c>
      <c r="Z100" s="269">
        <v>0</v>
      </c>
      <c r="AA100" s="269">
        <v>0</v>
      </c>
      <c r="AB100" s="269">
        <v>0</v>
      </c>
      <c r="AC100" s="269">
        <v>0</v>
      </c>
      <c r="AD100" s="269">
        <v>0</v>
      </c>
      <c r="AE100" s="269">
        <v>0</v>
      </c>
      <c r="AF100" s="269">
        <v>0</v>
      </c>
      <c r="AG100" s="269">
        <v>0</v>
      </c>
      <c r="AH100" s="269">
        <v>0</v>
      </c>
      <c r="AI100" s="269">
        <v>0</v>
      </c>
      <c r="AJ100" s="269">
        <v>0</v>
      </c>
    </row>
    <row r="101" spans="2:36" s="28" customFormat="1" ht="16">
      <c r="B101" s="263" t="s">
        <v>82</v>
      </c>
      <c r="C101" s="267">
        <f>IF(Inputs!$G$18="Simple",Inputs!$G$26*Inputs!$R$73,IF(Inputs!$G$18="Intermediate",SUMPRODUCT(Inputs!$G$20:$G$24,Inputs!$R$74:$R$78),'Complex Inputs'!$H$121))</f>
        <v>570000</v>
      </c>
      <c r="D101" s="510">
        <f t="shared" si="25"/>
        <v>7.7132153573668205E-2</v>
      </c>
      <c r="E101" s="267">
        <f>($C$110-$C$112)*IF(Inputs!$P$70="No",1,(1-Inputs!$P$71))*D101</f>
        <v>285000</v>
      </c>
      <c r="F101" s="263"/>
      <c r="G101" s="269">
        <v>0.05</v>
      </c>
      <c r="H101" s="269">
        <v>9.5000000000000001E-2</v>
      </c>
      <c r="I101" s="269">
        <v>8.5500000000000007E-2</v>
      </c>
      <c r="J101" s="269">
        <v>7.6999999999999999E-2</v>
      </c>
      <c r="K101" s="269">
        <v>6.93E-2</v>
      </c>
      <c r="L101" s="269">
        <v>6.2300000000000001E-2</v>
      </c>
      <c r="M101" s="269">
        <v>5.8999999999999997E-2</v>
      </c>
      <c r="N101" s="269">
        <v>5.8999999999999997E-2</v>
      </c>
      <c r="O101" s="269">
        <v>5.91E-2</v>
      </c>
      <c r="P101" s="269">
        <v>5.8999999999999997E-2</v>
      </c>
      <c r="Q101" s="269">
        <v>5.91E-2</v>
      </c>
      <c r="R101" s="269">
        <v>5.8999999999999997E-2</v>
      </c>
      <c r="S101" s="269">
        <v>5.91E-2</v>
      </c>
      <c r="T101" s="269">
        <v>5.8999999999999997E-2</v>
      </c>
      <c r="U101" s="269">
        <v>5.91E-2</v>
      </c>
      <c r="V101" s="269">
        <v>2.9499999999999998E-2</v>
      </c>
      <c r="W101" s="269">
        <v>0</v>
      </c>
      <c r="X101" s="269">
        <v>0</v>
      </c>
      <c r="Y101" s="269">
        <v>0</v>
      </c>
      <c r="Z101" s="269">
        <v>0</v>
      </c>
      <c r="AA101" s="269">
        <v>0</v>
      </c>
      <c r="AB101" s="269">
        <v>0</v>
      </c>
      <c r="AC101" s="269">
        <v>0</v>
      </c>
      <c r="AD101" s="269">
        <v>0</v>
      </c>
      <c r="AE101" s="269">
        <v>0</v>
      </c>
      <c r="AF101" s="269">
        <v>0</v>
      </c>
      <c r="AG101" s="269">
        <v>0</v>
      </c>
      <c r="AH101" s="269">
        <v>0</v>
      </c>
      <c r="AI101" s="269">
        <v>0</v>
      </c>
      <c r="AJ101" s="269">
        <v>0</v>
      </c>
    </row>
    <row r="102" spans="2:36" s="28" customFormat="1" ht="16">
      <c r="B102" s="263" t="s">
        <v>83</v>
      </c>
      <c r="C102" s="267">
        <f>IF(Inputs!$G$18="Simple",Inputs!$G$26*Inputs!$U$73,IF(Inputs!$G$18="Intermediate",SUMPRODUCT(Inputs!$G$20:$G$24,Inputs!$U$74:$U$78),'Complex Inputs'!$I$121))</f>
        <v>0</v>
      </c>
      <c r="D102" s="510">
        <f t="shared" si="25"/>
        <v>0</v>
      </c>
      <c r="E102" s="267">
        <f>($C$110-$C$112)*IF(Inputs!$P$70="No",1,(1-Inputs!$P$71))*D102</f>
        <v>0</v>
      </c>
      <c r="F102" s="263"/>
      <c r="G102" s="269">
        <v>3.7499999999999999E-2</v>
      </c>
      <c r="H102" s="269">
        <v>7.2190000000000004E-2</v>
      </c>
      <c r="I102" s="269">
        <v>6.6769999999999996E-2</v>
      </c>
      <c r="J102" s="269">
        <v>6.1769999999999999E-2</v>
      </c>
      <c r="K102" s="269">
        <v>5.713E-2</v>
      </c>
      <c r="L102" s="269">
        <v>5.2850000000000001E-2</v>
      </c>
      <c r="M102" s="269">
        <v>4.888E-2</v>
      </c>
      <c r="N102" s="269">
        <v>4.5220000000000003E-2</v>
      </c>
      <c r="O102" s="269">
        <v>4.462E-2</v>
      </c>
      <c r="P102" s="269">
        <v>4.4609999999999997E-2</v>
      </c>
      <c r="Q102" s="269">
        <v>4.462E-2</v>
      </c>
      <c r="R102" s="269">
        <v>4.4609999999999997E-2</v>
      </c>
      <c r="S102" s="269">
        <v>4.462E-2</v>
      </c>
      <c r="T102" s="269">
        <v>4.4609999999999997E-2</v>
      </c>
      <c r="U102" s="269">
        <v>4.462E-2</v>
      </c>
      <c r="V102" s="269">
        <v>4.4609999999999997E-2</v>
      </c>
      <c r="W102" s="269">
        <v>4.462E-2</v>
      </c>
      <c r="X102" s="269">
        <v>4.4609999999999997E-2</v>
      </c>
      <c r="Y102" s="269">
        <v>4.462E-2</v>
      </c>
      <c r="Z102" s="269">
        <v>4.4609999999999997E-2</v>
      </c>
      <c r="AA102" s="269">
        <v>2.231E-2</v>
      </c>
      <c r="AB102" s="269">
        <v>0</v>
      </c>
      <c r="AC102" s="269">
        <v>0</v>
      </c>
      <c r="AD102" s="269">
        <v>0</v>
      </c>
      <c r="AE102" s="269">
        <v>0</v>
      </c>
      <c r="AF102" s="269">
        <v>0</v>
      </c>
      <c r="AG102" s="269">
        <v>0</v>
      </c>
      <c r="AH102" s="269">
        <v>0</v>
      </c>
      <c r="AI102" s="269">
        <v>0</v>
      </c>
      <c r="AJ102" s="269">
        <v>0</v>
      </c>
    </row>
    <row r="103" spans="2:36" s="28" customFormat="1" ht="16">
      <c r="B103" s="263" t="s">
        <v>134</v>
      </c>
      <c r="C103" s="267">
        <f>IF(Inputs!$G$18="Simple",Inputs!$G$26*Inputs!$V$73,IF(Inputs!$G$18="Intermediate",SUMPRODUCT(Inputs!$G$20:$G$24,Inputs!$V$74:$V$78),'Complex Inputs'!$J$121))</f>
        <v>0</v>
      </c>
      <c r="D103" s="510">
        <f t="shared" si="25"/>
        <v>0</v>
      </c>
      <c r="E103" s="267">
        <f>($C$110-$C$112)*IF(Inputs!$P$70="No",1,(1-Inputs!$P$71))*D103</f>
        <v>0</v>
      </c>
      <c r="F103" s="263"/>
      <c r="G103" s="269">
        <v>0.1</v>
      </c>
      <c r="H103" s="269">
        <v>0.2</v>
      </c>
      <c r="I103" s="269">
        <v>0.2</v>
      </c>
      <c r="J103" s="269">
        <v>0.2</v>
      </c>
      <c r="K103" s="269">
        <v>0.2</v>
      </c>
      <c r="L103" s="269">
        <v>0.1</v>
      </c>
      <c r="M103" s="269">
        <f t="shared" ref="M103:AJ103" si="26">IF(M$97&lt;=5, 1/5,0)</f>
        <v>0</v>
      </c>
      <c r="N103" s="269">
        <f t="shared" si="26"/>
        <v>0</v>
      </c>
      <c r="O103" s="269">
        <f t="shared" si="26"/>
        <v>0</v>
      </c>
      <c r="P103" s="269">
        <f t="shared" si="26"/>
        <v>0</v>
      </c>
      <c r="Q103" s="269">
        <f t="shared" si="26"/>
        <v>0</v>
      </c>
      <c r="R103" s="269">
        <f t="shared" si="26"/>
        <v>0</v>
      </c>
      <c r="S103" s="269">
        <f t="shared" si="26"/>
        <v>0</v>
      </c>
      <c r="T103" s="269">
        <f t="shared" si="26"/>
        <v>0</v>
      </c>
      <c r="U103" s="269">
        <f t="shared" si="26"/>
        <v>0</v>
      </c>
      <c r="V103" s="269">
        <f t="shared" si="26"/>
        <v>0</v>
      </c>
      <c r="W103" s="269">
        <f t="shared" si="26"/>
        <v>0</v>
      </c>
      <c r="X103" s="269">
        <f t="shared" si="26"/>
        <v>0</v>
      </c>
      <c r="Y103" s="269">
        <f t="shared" si="26"/>
        <v>0</v>
      </c>
      <c r="Z103" s="269">
        <f t="shared" si="26"/>
        <v>0</v>
      </c>
      <c r="AA103" s="269">
        <f t="shared" si="26"/>
        <v>0</v>
      </c>
      <c r="AB103" s="269">
        <f t="shared" si="26"/>
        <v>0</v>
      </c>
      <c r="AC103" s="269">
        <f t="shared" si="26"/>
        <v>0</v>
      </c>
      <c r="AD103" s="269">
        <f t="shared" si="26"/>
        <v>0</v>
      </c>
      <c r="AE103" s="269">
        <f t="shared" si="26"/>
        <v>0</v>
      </c>
      <c r="AF103" s="269">
        <f t="shared" si="26"/>
        <v>0</v>
      </c>
      <c r="AG103" s="269">
        <f t="shared" si="26"/>
        <v>0</v>
      </c>
      <c r="AH103" s="269">
        <f t="shared" si="26"/>
        <v>0</v>
      </c>
      <c r="AI103" s="269">
        <f t="shared" si="26"/>
        <v>0</v>
      </c>
      <c r="AJ103" s="269">
        <f t="shared" si="26"/>
        <v>0</v>
      </c>
    </row>
    <row r="104" spans="2:36" s="28" customFormat="1" ht="16">
      <c r="B104" s="263" t="s">
        <v>135</v>
      </c>
      <c r="C104" s="267">
        <f>IF(Inputs!$G$18="Simple",Inputs!$G$26*Inputs!$W$73,IF(Inputs!$G$18="Intermediate",SUMPRODUCT(Inputs!$G$20:$G$24,Inputs!$W$74:$W$78),'Complex Inputs'!$K$121))</f>
        <v>1050000</v>
      </c>
      <c r="D104" s="510">
        <f t="shared" si="25"/>
        <v>0.14208554605675722</v>
      </c>
      <c r="E104" s="267">
        <f>($C$110-$C$112)*IF(Inputs!$P$70="No",1,(1-Inputs!$P$71))*D104</f>
        <v>525000</v>
      </c>
      <c r="F104" s="263"/>
      <c r="G104" s="269">
        <v>3.3300000000000003E-2</v>
      </c>
      <c r="H104" s="269">
        <v>6.6699999999999995E-2</v>
      </c>
      <c r="I104" s="269">
        <v>6.6699999999999995E-2</v>
      </c>
      <c r="J104" s="269">
        <v>6.6699999999999995E-2</v>
      </c>
      <c r="K104" s="269">
        <v>6.6699999999999995E-2</v>
      </c>
      <c r="L104" s="269">
        <v>6.6699999999999995E-2</v>
      </c>
      <c r="M104" s="269">
        <v>6.6699999999999995E-2</v>
      </c>
      <c r="N104" s="269">
        <v>6.6699999999999995E-2</v>
      </c>
      <c r="O104" s="269">
        <v>6.6699999999999995E-2</v>
      </c>
      <c r="P104" s="269">
        <v>6.6699999999999995E-2</v>
      </c>
      <c r="Q104" s="269">
        <v>6.6699999999999995E-2</v>
      </c>
      <c r="R104" s="269">
        <v>6.6600000000000006E-2</v>
      </c>
      <c r="S104" s="269">
        <v>6.6600000000000006E-2</v>
      </c>
      <c r="T104" s="269">
        <v>6.6600000000000006E-2</v>
      </c>
      <c r="U104" s="269">
        <v>6.6600000000000006E-2</v>
      </c>
      <c r="V104" s="269">
        <v>3.3300000000000003E-2</v>
      </c>
      <c r="W104" s="269">
        <f t="shared" ref="W104:AJ104" si="27">IF(W$97&lt;=15, 1/15,0)</f>
        <v>0</v>
      </c>
      <c r="X104" s="269">
        <f t="shared" si="27"/>
        <v>0</v>
      </c>
      <c r="Y104" s="269">
        <f t="shared" si="27"/>
        <v>0</v>
      </c>
      <c r="Z104" s="269">
        <f t="shared" si="27"/>
        <v>0</v>
      </c>
      <c r="AA104" s="269">
        <f t="shared" si="27"/>
        <v>0</v>
      </c>
      <c r="AB104" s="269">
        <f t="shared" si="27"/>
        <v>0</v>
      </c>
      <c r="AC104" s="269">
        <f t="shared" si="27"/>
        <v>0</v>
      </c>
      <c r="AD104" s="269">
        <f t="shared" si="27"/>
        <v>0</v>
      </c>
      <c r="AE104" s="269">
        <f t="shared" si="27"/>
        <v>0</v>
      </c>
      <c r="AF104" s="269">
        <f t="shared" si="27"/>
        <v>0</v>
      </c>
      <c r="AG104" s="269">
        <f t="shared" si="27"/>
        <v>0</v>
      </c>
      <c r="AH104" s="269">
        <f t="shared" si="27"/>
        <v>0</v>
      </c>
      <c r="AI104" s="269">
        <f t="shared" si="27"/>
        <v>0</v>
      </c>
      <c r="AJ104" s="269">
        <f t="shared" si="27"/>
        <v>0</v>
      </c>
    </row>
    <row r="105" spans="2:36" s="28" customFormat="1" ht="16">
      <c r="B105" s="263" t="s">
        <v>84</v>
      </c>
      <c r="C105" s="267">
        <f>IF(Inputs!$G$18="Simple",Inputs!$G$26*Inputs!$X$73,IF(Inputs!$G$18="Intermediate",SUMPRODUCT(Inputs!$G$20:$G$24,Inputs!$X$74:$X$78),'Complex Inputs'!$L$121))</f>
        <v>314957.11963752093</v>
      </c>
      <c r="D105" s="510">
        <f t="shared" si="25"/>
        <v>4.2619861264914835E-2</v>
      </c>
      <c r="E105" s="267">
        <f>($C$110-$C$112)*IF(Inputs!$P$70="No",1,(1-Inputs!$P$71))*D105</f>
        <v>157478.55981876046</v>
      </c>
      <c r="F105" s="263"/>
      <c r="G105" s="269">
        <v>2.5000000000000001E-2</v>
      </c>
      <c r="H105" s="269">
        <v>0.05</v>
      </c>
      <c r="I105" s="269">
        <v>0.05</v>
      </c>
      <c r="J105" s="269">
        <v>0.05</v>
      </c>
      <c r="K105" s="269">
        <v>0.05</v>
      </c>
      <c r="L105" s="269">
        <v>0.05</v>
      </c>
      <c r="M105" s="269">
        <v>0.05</v>
      </c>
      <c r="N105" s="269">
        <v>0.05</v>
      </c>
      <c r="O105" s="269">
        <v>0.05</v>
      </c>
      <c r="P105" s="269">
        <v>0.05</v>
      </c>
      <c r="Q105" s="269">
        <v>0.05</v>
      </c>
      <c r="R105" s="269">
        <v>0.05</v>
      </c>
      <c r="S105" s="269">
        <v>0.05</v>
      </c>
      <c r="T105" s="269">
        <v>0.05</v>
      </c>
      <c r="U105" s="269">
        <v>0.05</v>
      </c>
      <c r="V105" s="269">
        <v>0.05</v>
      </c>
      <c r="W105" s="269">
        <v>0.05</v>
      </c>
      <c r="X105" s="269">
        <v>0.05</v>
      </c>
      <c r="Y105" s="269">
        <v>0.05</v>
      </c>
      <c r="Z105" s="269">
        <v>0.05</v>
      </c>
      <c r="AA105" s="269">
        <v>2.5000000000000001E-2</v>
      </c>
      <c r="AB105" s="269">
        <f t="shared" ref="AB105:AJ105" si="28">IF(AB$97&lt;=20, 1/20,0)</f>
        <v>0</v>
      </c>
      <c r="AC105" s="269">
        <f t="shared" si="28"/>
        <v>0</v>
      </c>
      <c r="AD105" s="269">
        <f t="shared" si="28"/>
        <v>0</v>
      </c>
      <c r="AE105" s="269">
        <f t="shared" si="28"/>
        <v>0</v>
      </c>
      <c r="AF105" s="269">
        <f t="shared" si="28"/>
        <v>0</v>
      </c>
      <c r="AG105" s="269">
        <f t="shared" si="28"/>
        <v>0</v>
      </c>
      <c r="AH105" s="269">
        <f t="shared" si="28"/>
        <v>0</v>
      </c>
      <c r="AI105" s="269">
        <f t="shared" si="28"/>
        <v>0</v>
      </c>
      <c r="AJ105" s="269">
        <f t="shared" si="28"/>
        <v>0</v>
      </c>
    </row>
    <row r="106" spans="2:36" s="28" customFormat="1" ht="16">
      <c r="B106" s="263" t="s">
        <v>85</v>
      </c>
      <c r="C106" s="267">
        <f>IF(Inputs!$G$18="Simple",Inputs!$G$26*Inputs!$Y$73,IF(Inputs!$G$18="Intermediate",SUMPRODUCT(Inputs!$G$20:$G$24,Inputs!$Y$74:$Y$78),'Complex Inputs'!$M$121))</f>
        <v>0</v>
      </c>
      <c r="D106" s="510">
        <f t="shared" si="25"/>
        <v>0</v>
      </c>
      <c r="E106" s="267">
        <f>($C$110-$C$112)*IF(Inputs!$P$70="No",1,(1-Inputs!$P$71))*D106</f>
        <v>0</v>
      </c>
      <c r="F106" s="263"/>
      <c r="G106" s="269">
        <v>1.2800000000000001E-2</v>
      </c>
      <c r="H106" s="269">
        <v>2.5600000000000001E-2</v>
      </c>
      <c r="I106" s="269">
        <v>2.5600000000000001E-2</v>
      </c>
      <c r="J106" s="269">
        <v>2.5600000000000001E-2</v>
      </c>
      <c r="K106" s="269">
        <v>2.5600000000000001E-2</v>
      </c>
      <c r="L106" s="269">
        <v>2.5600000000000001E-2</v>
      </c>
      <c r="M106" s="269">
        <v>2.5600000000000001E-2</v>
      </c>
      <c r="N106" s="269">
        <v>2.5600000000000001E-2</v>
      </c>
      <c r="O106" s="269">
        <v>2.5600000000000001E-2</v>
      </c>
      <c r="P106" s="269">
        <v>2.5600000000000001E-2</v>
      </c>
      <c r="Q106" s="269">
        <v>2.5600000000000001E-2</v>
      </c>
      <c r="R106" s="269">
        <v>2.5600000000000001E-2</v>
      </c>
      <c r="S106" s="269">
        <v>2.5600000000000001E-2</v>
      </c>
      <c r="T106" s="269">
        <v>2.5600000000000001E-2</v>
      </c>
      <c r="U106" s="269">
        <v>2.5600000000000001E-2</v>
      </c>
      <c r="V106" s="269">
        <v>2.5600000000000001E-2</v>
      </c>
      <c r="W106" s="269">
        <v>2.5600000000000001E-2</v>
      </c>
      <c r="X106" s="269">
        <v>2.5600000000000001E-2</v>
      </c>
      <c r="Y106" s="269">
        <v>2.5600000000000001E-2</v>
      </c>
      <c r="Z106" s="269">
        <v>2.5600000000000001E-2</v>
      </c>
      <c r="AA106" s="269">
        <v>2.5600000000000001E-2</v>
      </c>
      <c r="AB106" s="269">
        <v>2.5600000000000001E-2</v>
      </c>
      <c r="AC106" s="269">
        <v>2.5600000000000001E-2</v>
      </c>
      <c r="AD106" s="269">
        <v>2.5600000000000001E-2</v>
      </c>
      <c r="AE106" s="269">
        <v>2.5600000000000001E-2</v>
      </c>
      <c r="AF106" s="269">
        <v>2.5600000000000001E-2</v>
      </c>
      <c r="AG106" s="269">
        <v>2.5600000000000001E-2</v>
      </c>
      <c r="AH106" s="269">
        <v>2.5600000000000001E-2</v>
      </c>
      <c r="AI106" s="269">
        <v>2.5600000000000001E-2</v>
      </c>
      <c r="AJ106" s="269">
        <v>2.5600000000000001E-2</v>
      </c>
    </row>
    <row r="107" spans="2:36" s="28" customFormat="1" ht="16">
      <c r="B107" s="263" t="s">
        <v>358</v>
      </c>
      <c r="C107" s="263"/>
      <c r="D107" s="510"/>
      <c r="E107" s="267">
        <f>($C$110-$C$112)*IF(Inputs!$P$70="No",0,Inputs!$P$71)</f>
        <v>3694957.119637521</v>
      </c>
      <c r="F107" s="263"/>
      <c r="G107" s="269">
        <v>1</v>
      </c>
      <c r="H107" s="269">
        <v>0</v>
      </c>
      <c r="I107" s="269">
        <v>0</v>
      </c>
      <c r="J107" s="269">
        <v>0</v>
      </c>
      <c r="K107" s="269">
        <v>0</v>
      </c>
      <c r="L107" s="269">
        <v>0</v>
      </c>
      <c r="M107" s="269">
        <v>0</v>
      </c>
      <c r="N107" s="269">
        <v>0</v>
      </c>
      <c r="O107" s="269">
        <v>0</v>
      </c>
      <c r="P107" s="269">
        <v>0</v>
      </c>
      <c r="Q107" s="269">
        <v>0</v>
      </c>
      <c r="R107" s="269">
        <v>0</v>
      </c>
      <c r="S107" s="269">
        <v>0</v>
      </c>
      <c r="T107" s="269">
        <v>0</v>
      </c>
      <c r="U107" s="269">
        <v>0</v>
      </c>
      <c r="V107" s="269">
        <v>0</v>
      </c>
      <c r="W107" s="269">
        <v>0</v>
      </c>
      <c r="X107" s="269">
        <v>0</v>
      </c>
      <c r="Y107" s="269">
        <v>0</v>
      </c>
      <c r="Z107" s="269">
        <v>0</v>
      </c>
      <c r="AA107" s="269">
        <v>0</v>
      </c>
      <c r="AB107" s="269">
        <v>0</v>
      </c>
      <c r="AC107" s="269">
        <v>0</v>
      </c>
      <c r="AD107" s="269">
        <v>0</v>
      </c>
      <c r="AE107" s="269">
        <v>0</v>
      </c>
      <c r="AF107" s="269">
        <v>0</v>
      </c>
      <c r="AG107" s="269">
        <v>0</v>
      </c>
      <c r="AH107" s="269">
        <v>0</v>
      </c>
      <c r="AI107" s="269">
        <v>0</v>
      </c>
      <c r="AJ107" s="269">
        <v>0</v>
      </c>
    </row>
    <row r="108" spans="2:36" s="28" customFormat="1" ht="16">
      <c r="B108" s="276" t="s">
        <v>26</v>
      </c>
      <c r="C108" s="522">
        <f>IF(Inputs!$G$18="Simple",Inputs!$G$26*Inputs!$Z$73,IF(Inputs!$G$18="Intermediate",SUMPRODUCT(Inputs!$G$20:$G$24,Inputs!$Z$74:$Z$78),'Complex Inputs'!$N$121))</f>
        <v>294957.11963752093</v>
      </c>
      <c r="D108" s="523">
        <f>C108/$C$110</f>
        <v>3.9913469911452788E-2</v>
      </c>
      <c r="E108" s="522">
        <f>($C$110-$C$112)*IF(Inputs!$P$70="No",1,(1-Inputs!$P$71))*D108</f>
        <v>147478.55981876046</v>
      </c>
      <c r="F108" s="263"/>
      <c r="G108" s="270"/>
      <c r="H108" s="270"/>
      <c r="I108" s="270"/>
      <c r="J108" s="270"/>
      <c r="K108" s="270"/>
      <c r="L108" s="270"/>
      <c r="M108" s="270"/>
      <c r="N108" s="270"/>
      <c r="O108" s="270"/>
      <c r="P108" s="270"/>
      <c r="Q108" s="270"/>
      <c r="R108" s="270"/>
      <c r="S108" s="270"/>
      <c r="T108" s="270"/>
      <c r="U108" s="270"/>
      <c r="V108" s="270"/>
      <c r="W108" s="270"/>
      <c r="X108" s="270"/>
      <c r="Y108" s="270"/>
      <c r="Z108" s="270"/>
      <c r="AA108" s="270"/>
      <c r="AB108" s="270"/>
      <c r="AC108" s="270"/>
      <c r="AD108" s="270"/>
      <c r="AE108" s="270"/>
      <c r="AF108" s="270"/>
      <c r="AG108" s="270"/>
      <c r="AH108" s="270"/>
      <c r="AI108" s="270"/>
      <c r="AJ108" s="270"/>
    </row>
    <row r="109" spans="2:36" s="28" customFormat="1" ht="16">
      <c r="B109" s="263"/>
      <c r="C109" s="511" t="s">
        <v>365</v>
      </c>
      <c r="D109" s="511"/>
      <c r="E109" s="511" t="s">
        <v>364</v>
      </c>
      <c r="F109" s="263"/>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c r="AE109" s="270"/>
      <c r="AF109" s="270"/>
      <c r="AG109" s="270"/>
      <c r="AH109" s="270"/>
      <c r="AI109" s="270"/>
      <c r="AJ109" s="270"/>
    </row>
    <row r="110" spans="2:36" s="28" customFormat="1" ht="16">
      <c r="B110" s="262" t="s">
        <v>366</v>
      </c>
      <c r="C110" s="272">
        <f>SUM(C99:C108)</f>
        <v>7389914.239275042</v>
      </c>
      <c r="D110" s="510">
        <f>SUM(D99:D108)</f>
        <v>1</v>
      </c>
      <c r="E110" s="272">
        <f>SUM(E99:E108)</f>
        <v>7389914.239275042</v>
      </c>
      <c r="F110" s="263"/>
      <c r="G110" s="270"/>
      <c r="H110" s="270"/>
      <c r="I110" s="270"/>
      <c r="J110" s="270"/>
      <c r="K110" s="270"/>
      <c r="L110" s="270"/>
      <c r="M110" s="270"/>
      <c r="N110" s="270"/>
      <c r="O110" s="270"/>
      <c r="P110" s="270"/>
      <c r="Q110" s="270"/>
      <c r="R110" s="270"/>
      <c r="S110" s="270"/>
      <c r="T110" s="270"/>
      <c r="U110" s="270"/>
      <c r="V110" s="270"/>
      <c r="W110" s="270"/>
      <c r="X110" s="270"/>
      <c r="Y110" s="270"/>
      <c r="Z110" s="270"/>
      <c r="AA110" s="270"/>
      <c r="AB110" s="270"/>
      <c r="AC110" s="270"/>
      <c r="AD110" s="270"/>
      <c r="AE110" s="270"/>
      <c r="AF110" s="270"/>
      <c r="AG110" s="270"/>
      <c r="AH110" s="270"/>
      <c r="AI110" s="270"/>
      <c r="AJ110" s="270"/>
    </row>
    <row r="111" spans="2:36" s="28" customFormat="1" ht="16">
      <c r="B111" s="263"/>
      <c r="C111" s="509" t="str">
        <f>IF(C110=Inputs!$G$26,"OK","error")</f>
        <v>OK</v>
      </c>
      <c r="D111" s="509" t="str">
        <f>IF(D110=100%,"OK","error")</f>
        <v>OK</v>
      </c>
      <c r="E111" s="509" t="str">
        <f>IF(E110=(C110-C112),"OK","error")</f>
        <v>OK</v>
      </c>
      <c r="F111" s="263"/>
      <c r="G111" s="270"/>
      <c r="H111" s="270"/>
      <c r="I111" s="270"/>
      <c r="J111" s="270"/>
      <c r="K111" s="270"/>
      <c r="L111" s="270"/>
      <c r="M111" s="270"/>
      <c r="N111" s="270"/>
      <c r="O111" s="270"/>
      <c r="P111" s="270"/>
      <c r="Q111" s="270"/>
      <c r="R111" s="270"/>
      <c r="S111" s="270"/>
      <c r="T111" s="270"/>
      <c r="U111" s="270"/>
      <c r="V111" s="270"/>
      <c r="W111" s="270"/>
      <c r="X111" s="270"/>
      <c r="Y111" s="270"/>
      <c r="Z111" s="270"/>
      <c r="AA111" s="270"/>
      <c r="AB111" s="270"/>
      <c r="AC111" s="270"/>
      <c r="AD111" s="270"/>
      <c r="AE111" s="270"/>
      <c r="AF111" s="270"/>
      <c r="AG111" s="270"/>
      <c r="AH111" s="270"/>
      <c r="AI111" s="270"/>
      <c r="AJ111" s="270"/>
    </row>
    <row r="112" spans="2:36" s="28" customFormat="1" ht="16">
      <c r="B112" s="263" t="s">
        <v>368</v>
      </c>
      <c r="C112" s="267">
        <f>IF(OR(Inputs!$Q$19="Performance-Based",Inputs!$Q$19="Neither"),0,50%*Inputs!$Q$23)+IF(Inputs!$Q$30="Yes",0,Inputs!$Q$29)+IF(Inputs!$Q$47="Yes",0,IF(Inputs!$Q$46=0,Inputs!$Q$45*1000*Inputs!$G$8,MIN(Inputs!$Q$46,Inputs!$Q$45*1000*Inputs!$G$8)))</f>
        <v>0</v>
      </c>
      <c r="D112" s="267"/>
      <c r="E112" s="267"/>
      <c r="F112" s="263"/>
      <c r="G112" s="270"/>
      <c r="H112" s="270"/>
      <c r="I112" s="270"/>
      <c r="J112" s="270"/>
      <c r="K112" s="270"/>
      <c r="L112" s="270"/>
      <c r="M112" s="270"/>
      <c r="N112" s="270"/>
      <c r="O112" s="270"/>
      <c r="P112" s="270"/>
      <c r="Q112" s="270"/>
      <c r="R112" s="270"/>
      <c r="S112" s="270"/>
      <c r="T112" s="270"/>
      <c r="U112" s="270"/>
      <c r="V112" s="270"/>
      <c r="W112" s="270"/>
      <c r="X112" s="270"/>
      <c r="Y112" s="270"/>
      <c r="Z112" s="270"/>
      <c r="AA112" s="270"/>
      <c r="AB112" s="270"/>
      <c r="AC112" s="270"/>
      <c r="AD112" s="270"/>
      <c r="AE112" s="270"/>
      <c r="AF112" s="270"/>
      <c r="AG112" s="270"/>
      <c r="AH112" s="270"/>
      <c r="AI112" s="270"/>
      <c r="AJ112" s="270"/>
    </row>
    <row r="113" spans="2:36" s="28" customFormat="1" ht="16">
      <c r="B113" s="263"/>
      <c r="C113" s="509"/>
      <c r="D113" s="509"/>
      <c r="E113" s="267"/>
      <c r="F113" s="263"/>
      <c r="G113" s="270"/>
      <c r="H113" s="270"/>
      <c r="I113" s="270"/>
      <c r="J113" s="270"/>
      <c r="K113" s="270"/>
      <c r="L113" s="270"/>
      <c r="M113" s="270"/>
      <c r="N113" s="270"/>
      <c r="O113" s="270"/>
      <c r="P113" s="270"/>
      <c r="Q113" s="270"/>
      <c r="R113" s="270"/>
      <c r="S113" s="270"/>
      <c r="T113" s="270"/>
      <c r="U113" s="270"/>
      <c r="V113" s="270"/>
      <c r="W113" s="270"/>
      <c r="X113" s="270"/>
      <c r="Y113" s="270"/>
      <c r="Z113" s="270"/>
      <c r="AA113" s="270"/>
      <c r="AB113" s="270"/>
      <c r="AC113" s="270"/>
      <c r="AD113" s="270"/>
      <c r="AE113" s="270"/>
      <c r="AF113" s="270"/>
      <c r="AG113" s="270"/>
      <c r="AH113" s="270"/>
      <c r="AI113" s="270"/>
      <c r="AJ113" s="270"/>
    </row>
    <row r="114" spans="2:36" s="28" customFormat="1" ht="16">
      <c r="B114" s="265" t="s">
        <v>156</v>
      </c>
      <c r="C114" s="265"/>
      <c r="D114" s="265"/>
      <c r="E114" s="263"/>
      <c r="F114" s="263"/>
      <c r="G114" s="270"/>
      <c r="H114" s="270"/>
      <c r="I114" s="270"/>
      <c r="J114" s="270"/>
      <c r="K114" s="270"/>
      <c r="L114" s="270"/>
      <c r="M114" s="270"/>
      <c r="N114" s="270"/>
      <c r="O114" s="270"/>
      <c r="P114" s="270"/>
      <c r="Q114" s="270"/>
      <c r="R114" s="270"/>
      <c r="S114" s="270"/>
      <c r="T114" s="270"/>
      <c r="U114" s="270"/>
      <c r="V114" s="270"/>
      <c r="W114" s="270"/>
      <c r="X114" s="270"/>
      <c r="Y114" s="270"/>
      <c r="Z114" s="270"/>
      <c r="AA114" s="270"/>
      <c r="AB114" s="270"/>
      <c r="AC114" s="270"/>
      <c r="AD114" s="270"/>
      <c r="AE114" s="270"/>
      <c r="AF114" s="270"/>
      <c r="AG114" s="270"/>
      <c r="AH114" s="270"/>
      <c r="AI114" s="270"/>
      <c r="AJ114" s="270"/>
    </row>
    <row r="115" spans="2:36" s="28" customFormat="1" ht="16">
      <c r="B115" s="263" t="s">
        <v>86</v>
      </c>
      <c r="C115" s="263"/>
      <c r="D115" s="263"/>
      <c r="E115" s="271" t="s">
        <v>142</v>
      </c>
      <c r="F115" s="272"/>
      <c r="G115" s="263"/>
      <c r="H115" s="263"/>
      <c r="I115" s="263"/>
      <c r="J115" s="263"/>
      <c r="K115" s="263"/>
      <c r="L115" s="263"/>
      <c r="M115" s="263"/>
      <c r="N115" s="263"/>
      <c r="O115" s="263"/>
      <c r="P115" s="263"/>
      <c r="Q115" s="263"/>
      <c r="R115" s="263"/>
      <c r="S115" s="263"/>
      <c r="T115" s="263"/>
      <c r="U115" s="263"/>
      <c r="V115" s="263"/>
      <c r="W115" s="263"/>
      <c r="X115" s="263"/>
      <c r="Y115" s="263"/>
      <c r="Z115" s="263"/>
      <c r="AA115" s="263"/>
      <c r="AB115" s="263"/>
      <c r="AC115" s="263"/>
      <c r="AD115" s="263"/>
      <c r="AE115" s="263"/>
      <c r="AF115" s="263"/>
      <c r="AG115" s="263"/>
      <c r="AH115" s="263"/>
      <c r="AI115" s="263"/>
      <c r="AJ115" s="263"/>
    </row>
    <row r="116" spans="2:36" s="28" customFormat="1" ht="16">
      <c r="B116" s="263" t="s">
        <v>81</v>
      </c>
      <c r="C116" s="263"/>
      <c r="D116" s="263"/>
      <c r="E116" s="273">
        <f>SUM(G116:AJ116)</f>
        <v>2580000</v>
      </c>
      <c r="F116" s="272"/>
      <c r="G116" s="274">
        <f>$E99*G99</f>
        <v>516000</v>
      </c>
      <c r="H116" s="274">
        <f t="shared" ref="H116:AJ116" si="29">$E99*H99</f>
        <v>825600</v>
      </c>
      <c r="I116" s="274">
        <f t="shared" si="29"/>
        <v>495360</v>
      </c>
      <c r="J116" s="274">
        <f t="shared" si="29"/>
        <v>297216</v>
      </c>
      <c r="K116" s="274">
        <f t="shared" si="29"/>
        <v>297216</v>
      </c>
      <c r="L116" s="274">
        <f t="shared" si="29"/>
        <v>148608</v>
      </c>
      <c r="M116" s="274">
        <f t="shared" si="29"/>
        <v>0</v>
      </c>
      <c r="N116" s="274">
        <f t="shared" si="29"/>
        <v>0</v>
      </c>
      <c r="O116" s="274">
        <f t="shared" si="29"/>
        <v>0</v>
      </c>
      <c r="P116" s="274">
        <f t="shared" si="29"/>
        <v>0</v>
      </c>
      <c r="Q116" s="274">
        <f t="shared" si="29"/>
        <v>0</v>
      </c>
      <c r="R116" s="274">
        <f t="shared" si="29"/>
        <v>0</v>
      </c>
      <c r="S116" s="274">
        <f t="shared" si="29"/>
        <v>0</v>
      </c>
      <c r="T116" s="274">
        <f t="shared" si="29"/>
        <v>0</v>
      </c>
      <c r="U116" s="274">
        <f t="shared" si="29"/>
        <v>0</v>
      </c>
      <c r="V116" s="274">
        <f t="shared" si="29"/>
        <v>0</v>
      </c>
      <c r="W116" s="274">
        <f t="shared" si="29"/>
        <v>0</v>
      </c>
      <c r="X116" s="274">
        <f t="shared" si="29"/>
        <v>0</v>
      </c>
      <c r="Y116" s="274">
        <f t="shared" si="29"/>
        <v>0</v>
      </c>
      <c r="Z116" s="274">
        <f t="shared" si="29"/>
        <v>0</v>
      </c>
      <c r="AA116" s="274">
        <f t="shared" si="29"/>
        <v>0</v>
      </c>
      <c r="AB116" s="274">
        <f t="shared" si="29"/>
        <v>0</v>
      </c>
      <c r="AC116" s="274">
        <f t="shared" si="29"/>
        <v>0</v>
      </c>
      <c r="AD116" s="274">
        <f t="shared" si="29"/>
        <v>0</v>
      </c>
      <c r="AE116" s="274">
        <f t="shared" si="29"/>
        <v>0</v>
      </c>
      <c r="AF116" s="274">
        <f t="shared" si="29"/>
        <v>0</v>
      </c>
      <c r="AG116" s="274">
        <f t="shared" si="29"/>
        <v>0</v>
      </c>
      <c r="AH116" s="274">
        <f t="shared" si="29"/>
        <v>0</v>
      </c>
      <c r="AI116" s="274">
        <f t="shared" si="29"/>
        <v>0</v>
      </c>
      <c r="AJ116" s="274">
        <f t="shared" si="29"/>
        <v>0</v>
      </c>
    </row>
    <row r="117" spans="2:36" s="28" customFormat="1" ht="16">
      <c r="B117" s="263" t="s">
        <v>133</v>
      </c>
      <c r="C117" s="263"/>
      <c r="D117" s="263"/>
      <c r="E117" s="273">
        <f t="shared" ref="E117:E124" si="30">SUM(G117:AJ117)</f>
        <v>0</v>
      </c>
      <c r="F117" s="272"/>
      <c r="G117" s="274">
        <f t="shared" ref="G117:AJ117" si="31">$E100*G100</f>
        <v>0</v>
      </c>
      <c r="H117" s="274">
        <f t="shared" si="31"/>
        <v>0</v>
      </c>
      <c r="I117" s="274">
        <f t="shared" si="31"/>
        <v>0</v>
      </c>
      <c r="J117" s="274">
        <f t="shared" si="31"/>
        <v>0</v>
      </c>
      <c r="K117" s="274">
        <f t="shared" si="31"/>
        <v>0</v>
      </c>
      <c r="L117" s="274">
        <f t="shared" si="31"/>
        <v>0</v>
      </c>
      <c r="M117" s="274">
        <f t="shared" si="31"/>
        <v>0</v>
      </c>
      <c r="N117" s="274">
        <f t="shared" si="31"/>
        <v>0</v>
      </c>
      <c r="O117" s="274">
        <f t="shared" si="31"/>
        <v>0</v>
      </c>
      <c r="P117" s="274">
        <f t="shared" si="31"/>
        <v>0</v>
      </c>
      <c r="Q117" s="274">
        <f t="shared" si="31"/>
        <v>0</v>
      </c>
      <c r="R117" s="274">
        <f t="shared" si="31"/>
        <v>0</v>
      </c>
      <c r="S117" s="274">
        <f t="shared" si="31"/>
        <v>0</v>
      </c>
      <c r="T117" s="274">
        <f t="shared" si="31"/>
        <v>0</v>
      </c>
      <c r="U117" s="274">
        <f t="shared" si="31"/>
        <v>0</v>
      </c>
      <c r="V117" s="274">
        <f t="shared" si="31"/>
        <v>0</v>
      </c>
      <c r="W117" s="274">
        <f t="shared" si="31"/>
        <v>0</v>
      </c>
      <c r="X117" s="274">
        <f t="shared" si="31"/>
        <v>0</v>
      </c>
      <c r="Y117" s="274">
        <f t="shared" si="31"/>
        <v>0</v>
      </c>
      <c r="Z117" s="274">
        <f t="shared" si="31"/>
        <v>0</v>
      </c>
      <c r="AA117" s="274">
        <f t="shared" si="31"/>
        <v>0</v>
      </c>
      <c r="AB117" s="274">
        <f t="shared" si="31"/>
        <v>0</v>
      </c>
      <c r="AC117" s="274">
        <f t="shared" si="31"/>
        <v>0</v>
      </c>
      <c r="AD117" s="274">
        <f t="shared" si="31"/>
        <v>0</v>
      </c>
      <c r="AE117" s="274">
        <f t="shared" si="31"/>
        <v>0</v>
      </c>
      <c r="AF117" s="274">
        <f t="shared" si="31"/>
        <v>0</v>
      </c>
      <c r="AG117" s="274">
        <f t="shared" si="31"/>
        <v>0</v>
      </c>
      <c r="AH117" s="274">
        <f t="shared" si="31"/>
        <v>0</v>
      </c>
      <c r="AI117" s="274">
        <f t="shared" si="31"/>
        <v>0</v>
      </c>
      <c r="AJ117" s="274">
        <f t="shared" si="31"/>
        <v>0</v>
      </c>
    </row>
    <row r="118" spans="2:36" s="28" customFormat="1" ht="16">
      <c r="B118" s="263" t="s">
        <v>82</v>
      </c>
      <c r="C118" s="263"/>
      <c r="D118" s="263"/>
      <c r="E118" s="273">
        <f t="shared" si="30"/>
        <v>285000</v>
      </c>
      <c r="F118" s="272"/>
      <c r="G118" s="274">
        <f t="shared" ref="G118:AJ118" si="32">$E101*G101</f>
        <v>14250</v>
      </c>
      <c r="H118" s="274">
        <f t="shared" si="32"/>
        <v>27075</v>
      </c>
      <c r="I118" s="274">
        <f t="shared" si="32"/>
        <v>24367.500000000004</v>
      </c>
      <c r="J118" s="274">
        <f t="shared" si="32"/>
        <v>21945</v>
      </c>
      <c r="K118" s="274">
        <f t="shared" si="32"/>
        <v>19750.5</v>
      </c>
      <c r="L118" s="274">
        <f t="shared" si="32"/>
        <v>17755.5</v>
      </c>
      <c r="M118" s="274">
        <f t="shared" si="32"/>
        <v>16815</v>
      </c>
      <c r="N118" s="274">
        <f t="shared" si="32"/>
        <v>16815</v>
      </c>
      <c r="O118" s="274">
        <f t="shared" si="32"/>
        <v>16843.5</v>
      </c>
      <c r="P118" s="274">
        <f t="shared" si="32"/>
        <v>16815</v>
      </c>
      <c r="Q118" s="274">
        <f t="shared" si="32"/>
        <v>16843.5</v>
      </c>
      <c r="R118" s="274">
        <f t="shared" si="32"/>
        <v>16815</v>
      </c>
      <c r="S118" s="274">
        <f t="shared" si="32"/>
        <v>16843.5</v>
      </c>
      <c r="T118" s="274">
        <f t="shared" si="32"/>
        <v>16815</v>
      </c>
      <c r="U118" s="274">
        <f t="shared" si="32"/>
        <v>16843.5</v>
      </c>
      <c r="V118" s="274">
        <f t="shared" si="32"/>
        <v>8407.5</v>
      </c>
      <c r="W118" s="274">
        <f t="shared" si="32"/>
        <v>0</v>
      </c>
      <c r="X118" s="274">
        <f t="shared" si="32"/>
        <v>0</v>
      </c>
      <c r="Y118" s="274">
        <f t="shared" si="32"/>
        <v>0</v>
      </c>
      <c r="Z118" s="274">
        <f t="shared" si="32"/>
        <v>0</v>
      </c>
      <c r="AA118" s="274">
        <f t="shared" si="32"/>
        <v>0</v>
      </c>
      <c r="AB118" s="274">
        <f t="shared" si="32"/>
        <v>0</v>
      </c>
      <c r="AC118" s="274">
        <f t="shared" si="32"/>
        <v>0</v>
      </c>
      <c r="AD118" s="274">
        <f t="shared" si="32"/>
        <v>0</v>
      </c>
      <c r="AE118" s="274">
        <f t="shared" si="32"/>
        <v>0</v>
      </c>
      <c r="AF118" s="274">
        <f t="shared" si="32"/>
        <v>0</v>
      </c>
      <c r="AG118" s="274">
        <f t="shared" si="32"/>
        <v>0</v>
      </c>
      <c r="AH118" s="274">
        <f t="shared" si="32"/>
        <v>0</v>
      </c>
      <c r="AI118" s="274">
        <f t="shared" si="32"/>
        <v>0</v>
      </c>
      <c r="AJ118" s="274">
        <f t="shared" si="32"/>
        <v>0</v>
      </c>
    </row>
    <row r="119" spans="2:36" s="28" customFormat="1" ht="16">
      <c r="B119" s="263" t="s">
        <v>83</v>
      </c>
      <c r="C119" s="263"/>
      <c r="D119" s="263"/>
      <c r="E119" s="273">
        <f t="shared" si="30"/>
        <v>0</v>
      </c>
      <c r="F119" s="272"/>
      <c r="G119" s="274">
        <f t="shared" ref="G119:AJ119" si="33">$E102*G102</f>
        <v>0</v>
      </c>
      <c r="H119" s="274">
        <f t="shared" si="33"/>
        <v>0</v>
      </c>
      <c r="I119" s="274">
        <f t="shared" si="33"/>
        <v>0</v>
      </c>
      <c r="J119" s="274">
        <f t="shared" si="33"/>
        <v>0</v>
      </c>
      <c r="K119" s="274">
        <f t="shared" si="33"/>
        <v>0</v>
      </c>
      <c r="L119" s="274">
        <f t="shared" si="33"/>
        <v>0</v>
      </c>
      <c r="M119" s="274">
        <f t="shared" si="33"/>
        <v>0</v>
      </c>
      <c r="N119" s="274">
        <f t="shared" si="33"/>
        <v>0</v>
      </c>
      <c r="O119" s="274">
        <f t="shared" si="33"/>
        <v>0</v>
      </c>
      <c r="P119" s="274">
        <f t="shared" si="33"/>
        <v>0</v>
      </c>
      <c r="Q119" s="274">
        <f t="shared" si="33"/>
        <v>0</v>
      </c>
      <c r="R119" s="274">
        <f t="shared" si="33"/>
        <v>0</v>
      </c>
      <c r="S119" s="274">
        <f t="shared" si="33"/>
        <v>0</v>
      </c>
      <c r="T119" s="274">
        <f t="shared" si="33"/>
        <v>0</v>
      </c>
      <c r="U119" s="274">
        <f t="shared" si="33"/>
        <v>0</v>
      </c>
      <c r="V119" s="274">
        <f t="shared" si="33"/>
        <v>0</v>
      </c>
      <c r="W119" s="274">
        <f t="shared" si="33"/>
        <v>0</v>
      </c>
      <c r="X119" s="274">
        <f t="shared" si="33"/>
        <v>0</v>
      </c>
      <c r="Y119" s="274">
        <f t="shared" si="33"/>
        <v>0</v>
      </c>
      <c r="Z119" s="274">
        <f t="shared" si="33"/>
        <v>0</v>
      </c>
      <c r="AA119" s="274">
        <f t="shared" si="33"/>
        <v>0</v>
      </c>
      <c r="AB119" s="274">
        <f t="shared" si="33"/>
        <v>0</v>
      </c>
      <c r="AC119" s="274">
        <f t="shared" si="33"/>
        <v>0</v>
      </c>
      <c r="AD119" s="274">
        <f t="shared" si="33"/>
        <v>0</v>
      </c>
      <c r="AE119" s="274">
        <f t="shared" si="33"/>
        <v>0</v>
      </c>
      <c r="AF119" s="274">
        <f t="shared" si="33"/>
        <v>0</v>
      </c>
      <c r="AG119" s="274">
        <f t="shared" si="33"/>
        <v>0</v>
      </c>
      <c r="AH119" s="274">
        <f t="shared" si="33"/>
        <v>0</v>
      </c>
      <c r="AI119" s="274">
        <f t="shared" si="33"/>
        <v>0</v>
      </c>
      <c r="AJ119" s="274">
        <f t="shared" si="33"/>
        <v>0</v>
      </c>
    </row>
    <row r="120" spans="2:36" s="28" customFormat="1" ht="16">
      <c r="B120" s="263" t="s">
        <v>134</v>
      </c>
      <c r="C120" s="263"/>
      <c r="D120" s="263"/>
      <c r="E120" s="273">
        <f t="shared" si="30"/>
        <v>0</v>
      </c>
      <c r="F120" s="272"/>
      <c r="G120" s="274">
        <f t="shared" ref="G120:AJ120" si="34">$E103*G103</f>
        <v>0</v>
      </c>
      <c r="H120" s="274">
        <f t="shared" si="34"/>
        <v>0</v>
      </c>
      <c r="I120" s="274">
        <f t="shared" si="34"/>
        <v>0</v>
      </c>
      <c r="J120" s="274">
        <f t="shared" si="34"/>
        <v>0</v>
      </c>
      <c r="K120" s="274">
        <f t="shared" si="34"/>
        <v>0</v>
      </c>
      <c r="L120" s="274">
        <f t="shared" si="34"/>
        <v>0</v>
      </c>
      <c r="M120" s="274">
        <f t="shared" si="34"/>
        <v>0</v>
      </c>
      <c r="N120" s="274">
        <f t="shared" si="34"/>
        <v>0</v>
      </c>
      <c r="O120" s="274">
        <f t="shared" si="34"/>
        <v>0</v>
      </c>
      <c r="P120" s="274">
        <f t="shared" si="34"/>
        <v>0</v>
      </c>
      <c r="Q120" s="274">
        <f t="shared" si="34"/>
        <v>0</v>
      </c>
      <c r="R120" s="274">
        <f t="shared" si="34"/>
        <v>0</v>
      </c>
      <c r="S120" s="274">
        <f t="shared" si="34"/>
        <v>0</v>
      </c>
      <c r="T120" s="274">
        <f t="shared" si="34"/>
        <v>0</v>
      </c>
      <c r="U120" s="274">
        <f t="shared" si="34"/>
        <v>0</v>
      </c>
      <c r="V120" s="274">
        <f t="shared" si="34"/>
        <v>0</v>
      </c>
      <c r="W120" s="274">
        <f t="shared" si="34"/>
        <v>0</v>
      </c>
      <c r="X120" s="274">
        <f t="shared" si="34"/>
        <v>0</v>
      </c>
      <c r="Y120" s="274">
        <f t="shared" si="34"/>
        <v>0</v>
      </c>
      <c r="Z120" s="274">
        <f t="shared" si="34"/>
        <v>0</v>
      </c>
      <c r="AA120" s="274">
        <f t="shared" si="34"/>
        <v>0</v>
      </c>
      <c r="AB120" s="274">
        <f t="shared" si="34"/>
        <v>0</v>
      </c>
      <c r="AC120" s="274">
        <f t="shared" si="34"/>
        <v>0</v>
      </c>
      <c r="AD120" s="274">
        <f t="shared" si="34"/>
        <v>0</v>
      </c>
      <c r="AE120" s="274">
        <f t="shared" si="34"/>
        <v>0</v>
      </c>
      <c r="AF120" s="274">
        <f t="shared" si="34"/>
        <v>0</v>
      </c>
      <c r="AG120" s="274">
        <f t="shared" si="34"/>
        <v>0</v>
      </c>
      <c r="AH120" s="274">
        <f t="shared" si="34"/>
        <v>0</v>
      </c>
      <c r="AI120" s="274">
        <f t="shared" si="34"/>
        <v>0</v>
      </c>
      <c r="AJ120" s="274">
        <f t="shared" si="34"/>
        <v>0</v>
      </c>
    </row>
    <row r="121" spans="2:36" s="28" customFormat="1" ht="16">
      <c r="B121" s="263" t="s">
        <v>135</v>
      </c>
      <c r="C121" s="263"/>
      <c r="D121" s="263"/>
      <c r="E121" s="273">
        <f t="shared" si="30"/>
        <v>525000</v>
      </c>
      <c r="F121" s="272"/>
      <c r="G121" s="274">
        <f t="shared" ref="G121:AJ121" si="35">$E104*G104</f>
        <v>17482.5</v>
      </c>
      <c r="H121" s="274">
        <f t="shared" si="35"/>
        <v>35017.5</v>
      </c>
      <c r="I121" s="274">
        <f t="shared" si="35"/>
        <v>35017.5</v>
      </c>
      <c r="J121" s="274">
        <f t="shared" si="35"/>
        <v>35017.5</v>
      </c>
      <c r="K121" s="274">
        <f t="shared" si="35"/>
        <v>35017.5</v>
      </c>
      <c r="L121" s="274">
        <f t="shared" si="35"/>
        <v>35017.5</v>
      </c>
      <c r="M121" s="274">
        <f t="shared" si="35"/>
        <v>35017.5</v>
      </c>
      <c r="N121" s="274">
        <f t="shared" si="35"/>
        <v>35017.5</v>
      </c>
      <c r="O121" s="274">
        <f t="shared" si="35"/>
        <v>35017.5</v>
      </c>
      <c r="P121" s="274">
        <f t="shared" si="35"/>
        <v>35017.5</v>
      </c>
      <c r="Q121" s="274">
        <f t="shared" si="35"/>
        <v>35017.5</v>
      </c>
      <c r="R121" s="274">
        <f t="shared" si="35"/>
        <v>34965</v>
      </c>
      <c r="S121" s="274">
        <f t="shared" si="35"/>
        <v>34965</v>
      </c>
      <c r="T121" s="274">
        <f t="shared" si="35"/>
        <v>34965</v>
      </c>
      <c r="U121" s="274">
        <f t="shared" si="35"/>
        <v>34965</v>
      </c>
      <c r="V121" s="274">
        <f t="shared" si="35"/>
        <v>17482.5</v>
      </c>
      <c r="W121" s="274">
        <f t="shared" si="35"/>
        <v>0</v>
      </c>
      <c r="X121" s="274">
        <f t="shared" si="35"/>
        <v>0</v>
      </c>
      <c r="Y121" s="274">
        <f t="shared" si="35"/>
        <v>0</v>
      </c>
      <c r="Z121" s="274">
        <f t="shared" si="35"/>
        <v>0</v>
      </c>
      <c r="AA121" s="274">
        <f t="shared" si="35"/>
        <v>0</v>
      </c>
      <c r="AB121" s="274">
        <f t="shared" si="35"/>
        <v>0</v>
      </c>
      <c r="AC121" s="274">
        <f t="shared" si="35"/>
        <v>0</v>
      </c>
      <c r="AD121" s="274">
        <f t="shared" si="35"/>
        <v>0</v>
      </c>
      <c r="AE121" s="274">
        <f t="shared" si="35"/>
        <v>0</v>
      </c>
      <c r="AF121" s="274">
        <f t="shared" si="35"/>
        <v>0</v>
      </c>
      <c r="AG121" s="274">
        <f t="shared" si="35"/>
        <v>0</v>
      </c>
      <c r="AH121" s="274">
        <f t="shared" si="35"/>
        <v>0</v>
      </c>
      <c r="AI121" s="274">
        <f t="shared" si="35"/>
        <v>0</v>
      </c>
      <c r="AJ121" s="274">
        <f t="shared" si="35"/>
        <v>0</v>
      </c>
    </row>
    <row r="122" spans="2:36" s="28" customFormat="1" ht="16">
      <c r="B122" s="263" t="s">
        <v>84</v>
      </c>
      <c r="C122" s="263"/>
      <c r="D122" s="263"/>
      <c r="E122" s="273">
        <f t="shared" si="30"/>
        <v>157478.55981876049</v>
      </c>
      <c r="F122" s="272"/>
      <c r="G122" s="274">
        <f t="shared" ref="G122:AJ122" si="36">$E105*G105</f>
        <v>3936.9639954690119</v>
      </c>
      <c r="H122" s="274">
        <f t="shared" si="36"/>
        <v>7873.9279909380239</v>
      </c>
      <c r="I122" s="274">
        <f t="shared" si="36"/>
        <v>7873.9279909380239</v>
      </c>
      <c r="J122" s="274">
        <f t="shared" si="36"/>
        <v>7873.9279909380239</v>
      </c>
      <c r="K122" s="274">
        <f t="shared" si="36"/>
        <v>7873.9279909380239</v>
      </c>
      <c r="L122" s="274">
        <f t="shared" si="36"/>
        <v>7873.9279909380239</v>
      </c>
      <c r="M122" s="274">
        <f t="shared" si="36"/>
        <v>7873.9279909380239</v>
      </c>
      <c r="N122" s="274">
        <f t="shared" si="36"/>
        <v>7873.9279909380239</v>
      </c>
      <c r="O122" s="274">
        <f t="shared" si="36"/>
        <v>7873.9279909380239</v>
      </c>
      <c r="P122" s="274">
        <f t="shared" si="36"/>
        <v>7873.9279909380239</v>
      </c>
      <c r="Q122" s="274">
        <f t="shared" si="36"/>
        <v>7873.9279909380239</v>
      </c>
      <c r="R122" s="274">
        <f t="shared" si="36"/>
        <v>7873.9279909380239</v>
      </c>
      <c r="S122" s="274">
        <f t="shared" si="36"/>
        <v>7873.9279909380239</v>
      </c>
      <c r="T122" s="274">
        <f t="shared" si="36"/>
        <v>7873.9279909380239</v>
      </c>
      <c r="U122" s="274">
        <f t="shared" si="36"/>
        <v>7873.9279909380239</v>
      </c>
      <c r="V122" s="274">
        <f t="shared" si="36"/>
        <v>7873.9279909380239</v>
      </c>
      <c r="W122" s="274">
        <f t="shared" si="36"/>
        <v>7873.9279909380239</v>
      </c>
      <c r="X122" s="274">
        <f t="shared" si="36"/>
        <v>7873.9279909380239</v>
      </c>
      <c r="Y122" s="274">
        <f t="shared" si="36"/>
        <v>7873.9279909380239</v>
      </c>
      <c r="Z122" s="274">
        <f t="shared" si="36"/>
        <v>7873.9279909380239</v>
      </c>
      <c r="AA122" s="274">
        <f t="shared" si="36"/>
        <v>3936.9639954690119</v>
      </c>
      <c r="AB122" s="274">
        <f t="shared" si="36"/>
        <v>0</v>
      </c>
      <c r="AC122" s="274">
        <f t="shared" si="36"/>
        <v>0</v>
      </c>
      <c r="AD122" s="274">
        <f t="shared" si="36"/>
        <v>0</v>
      </c>
      <c r="AE122" s="274">
        <f t="shared" si="36"/>
        <v>0</v>
      </c>
      <c r="AF122" s="274">
        <f t="shared" si="36"/>
        <v>0</v>
      </c>
      <c r="AG122" s="274">
        <f t="shared" si="36"/>
        <v>0</v>
      </c>
      <c r="AH122" s="274">
        <f t="shared" si="36"/>
        <v>0</v>
      </c>
      <c r="AI122" s="274">
        <f t="shared" si="36"/>
        <v>0</v>
      </c>
      <c r="AJ122" s="274">
        <f t="shared" si="36"/>
        <v>0</v>
      </c>
    </row>
    <row r="123" spans="2:36" s="28" customFormat="1" ht="16">
      <c r="B123" s="263" t="s">
        <v>85</v>
      </c>
      <c r="C123" s="263"/>
      <c r="D123" s="263"/>
      <c r="E123" s="273">
        <f t="shared" si="30"/>
        <v>0</v>
      </c>
      <c r="F123" s="273"/>
      <c r="G123" s="274">
        <f t="shared" ref="G123:AJ124" si="37">$E106*G106</f>
        <v>0</v>
      </c>
      <c r="H123" s="274">
        <f t="shared" si="37"/>
        <v>0</v>
      </c>
      <c r="I123" s="274">
        <f t="shared" si="37"/>
        <v>0</v>
      </c>
      <c r="J123" s="274">
        <f t="shared" si="37"/>
        <v>0</v>
      </c>
      <c r="K123" s="274">
        <f t="shared" si="37"/>
        <v>0</v>
      </c>
      <c r="L123" s="274">
        <f t="shared" si="37"/>
        <v>0</v>
      </c>
      <c r="M123" s="274">
        <f t="shared" si="37"/>
        <v>0</v>
      </c>
      <c r="N123" s="274">
        <f t="shared" si="37"/>
        <v>0</v>
      </c>
      <c r="O123" s="274">
        <f t="shared" si="37"/>
        <v>0</v>
      </c>
      <c r="P123" s="274">
        <f t="shared" si="37"/>
        <v>0</v>
      </c>
      <c r="Q123" s="274">
        <f t="shared" si="37"/>
        <v>0</v>
      </c>
      <c r="R123" s="274">
        <f t="shared" si="37"/>
        <v>0</v>
      </c>
      <c r="S123" s="274">
        <f t="shared" si="37"/>
        <v>0</v>
      </c>
      <c r="T123" s="274">
        <f t="shared" si="37"/>
        <v>0</v>
      </c>
      <c r="U123" s="274">
        <f t="shared" si="37"/>
        <v>0</v>
      </c>
      <c r="V123" s="274">
        <f t="shared" si="37"/>
        <v>0</v>
      </c>
      <c r="W123" s="274">
        <f t="shared" si="37"/>
        <v>0</v>
      </c>
      <c r="X123" s="274">
        <f t="shared" si="37"/>
        <v>0</v>
      </c>
      <c r="Y123" s="274">
        <f t="shared" si="37"/>
        <v>0</v>
      </c>
      <c r="Z123" s="274">
        <f t="shared" si="37"/>
        <v>0</v>
      </c>
      <c r="AA123" s="274">
        <f t="shared" si="37"/>
        <v>0</v>
      </c>
      <c r="AB123" s="274">
        <f t="shared" si="37"/>
        <v>0</v>
      </c>
      <c r="AC123" s="274">
        <f t="shared" si="37"/>
        <v>0</v>
      </c>
      <c r="AD123" s="274">
        <f t="shared" si="37"/>
        <v>0</v>
      </c>
      <c r="AE123" s="274">
        <f t="shared" si="37"/>
        <v>0</v>
      </c>
      <c r="AF123" s="274">
        <f t="shared" si="37"/>
        <v>0</v>
      </c>
      <c r="AG123" s="274">
        <f t="shared" si="37"/>
        <v>0</v>
      </c>
      <c r="AH123" s="274">
        <f t="shared" si="37"/>
        <v>0</v>
      </c>
      <c r="AI123" s="274">
        <f t="shared" si="37"/>
        <v>0</v>
      </c>
      <c r="AJ123" s="274">
        <f t="shared" si="37"/>
        <v>0</v>
      </c>
    </row>
    <row r="124" spans="2:36" s="28" customFormat="1" ht="16">
      <c r="B124" s="263" t="s">
        <v>358</v>
      </c>
      <c r="C124" s="263"/>
      <c r="D124" s="263"/>
      <c r="E124" s="273">
        <f t="shared" si="30"/>
        <v>3694957.119637521</v>
      </c>
      <c r="F124" s="273"/>
      <c r="G124" s="274">
        <f t="shared" si="37"/>
        <v>3694957.119637521</v>
      </c>
      <c r="H124" s="274">
        <f t="shared" si="37"/>
        <v>0</v>
      </c>
      <c r="I124" s="274">
        <f t="shared" si="37"/>
        <v>0</v>
      </c>
      <c r="J124" s="274">
        <f t="shared" si="37"/>
        <v>0</v>
      </c>
      <c r="K124" s="274">
        <f t="shared" si="37"/>
        <v>0</v>
      </c>
      <c r="L124" s="274">
        <f t="shared" si="37"/>
        <v>0</v>
      </c>
      <c r="M124" s="274">
        <f t="shared" si="37"/>
        <v>0</v>
      </c>
      <c r="N124" s="274">
        <f t="shared" si="37"/>
        <v>0</v>
      </c>
      <c r="O124" s="274">
        <f t="shared" si="37"/>
        <v>0</v>
      </c>
      <c r="P124" s="274">
        <f t="shared" si="37"/>
        <v>0</v>
      </c>
      <c r="Q124" s="274">
        <f t="shared" si="37"/>
        <v>0</v>
      </c>
      <c r="R124" s="274">
        <f t="shared" si="37"/>
        <v>0</v>
      </c>
      <c r="S124" s="274">
        <f t="shared" si="37"/>
        <v>0</v>
      </c>
      <c r="T124" s="274">
        <f t="shared" si="37"/>
        <v>0</v>
      </c>
      <c r="U124" s="274">
        <f t="shared" si="37"/>
        <v>0</v>
      </c>
      <c r="V124" s="274">
        <f t="shared" si="37"/>
        <v>0</v>
      </c>
      <c r="W124" s="274">
        <f t="shared" si="37"/>
        <v>0</v>
      </c>
      <c r="X124" s="274">
        <f t="shared" si="37"/>
        <v>0</v>
      </c>
      <c r="Y124" s="274">
        <f t="shared" si="37"/>
        <v>0</v>
      </c>
      <c r="Z124" s="274">
        <f t="shared" si="37"/>
        <v>0</v>
      </c>
      <c r="AA124" s="274">
        <f t="shared" si="37"/>
        <v>0</v>
      </c>
      <c r="AB124" s="274">
        <f t="shared" si="37"/>
        <v>0</v>
      </c>
      <c r="AC124" s="274">
        <f t="shared" si="37"/>
        <v>0</v>
      </c>
      <c r="AD124" s="274">
        <f t="shared" si="37"/>
        <v>0</v>
      </c>
      <c r="AE124" s="274">
        <f t="shared" si="37"/>
        <v>0</v>
      </c>
      <c r="AF124" s="274">
        <f t="shared" si="37"/>
        <v>0</v>
      </c>
      <c r="AG124" s="274">
        <f t="shared" si="37"/>
        <v>0</v>
      </c>
      <c r="AH124" s="274">
        <f t="shared" si="37"/>
        <v>0</v>
      </c>
      <c r="AI124" s="274">
        <f t="shared" si="37"/>
        <v>0</v>
      </c>
      <c r="AJ124" s="274">
        <f t="shared" si="37"/>
        <v>0</v>
      </c>
    </row>
    <row r="125" spans="2:36" s="28" customFormat="1" ht="16">
      <c r="B125" s="276" t="s">
        <v>26</v>
      </c>
      <c r="C125" s="276"/>
      <c r="D125" s="276"/>
      <c r="E125" s="277">
        <f>E108</f>
        <v>147478.55981876046</v>
      </c>
      <c r="F125" s="273"/>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I125" s="275"/>
      <c r="AJ125" s="275"/>
    </row>
    <row r="126" spans="2:36" s="28" customFormat="1" ht="16">
      <c r="B126" s="278" t="s">
        <v>87</v>
      </c>
      <c r="C126" s="278"/>
      <c r="D126" s="278"/>
      <c r="E126" s="273">
        <f>SUM(E116:E125)</f>
        <v>7389914.239275042</v>
      </c>
      <c r="F126" s="279" t="str">
        <f>IF(ROUND(E126,0)=ROUND(E110,0),"OK","error")</f>
        <v>OK</v>
      </c>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I126" s="275"/>
      <c r="AJ126" s="275"/>
    </row>
    <row r="127" spans="2:36" s="28" customFormat="1" ht="16">
      <c r="B127" s="278"/>
      <c r="C127" s="278"/>
      <c r="D127" s="278"/>
      <c r="E127" s="273"/>
      <c r="F127" s="279"/>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I127" s="275"/>
      <c r="AJ127" s="275"/>
    </row>
    <row r="128" spans="2:36" s="28" customFormat="1" ht="16">
      <c r="B128" s="265" t="s">
        <v>157</v>
      </c>
      <c r="C128" s="265"/>
      <c r="D128" s="265"/>
      <c r="E128" s="273"/>
      <c r="F128" s="279"/>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I128" s="275"/>
      <c r="AJ128" s="275"/>
    </row>
    <row r="129" spans="2:36" s="28" customFormat="1" ht="16">
      <c r="B129" s="263" t="s">
        <v>158</v>
      </c>
      <c r="C129" s="263"/>
      <c r="D129" s="263"/>
      <c r="E129" s="273">
        <f>Inputs!$Q$51*Inputs!$G$8*1000</f>
        <v>470000</v>
      </c>
      <c r="F129" s="279"/>
      <c r="G129" s="275">
        <f>IF(G$2=Inputs!$Q$50,'Cash Flow'!$E$129,0)</f>
        <v>0</v>
      </c>
      <c r="H129" s="275">
        <f>IF(H$2=Inputs!$Q$50,'Cash Flow'!$E$129,0)</f>
        <v>0</v>
      </c>
      <c r="I129" s="275">
        <f>IF(I$2=Inputs!$Q$50,'Cash Flow'!$E$129,0)</f>
        <v>0</v>
      </c>
      <c r="J129" s="275">
        <f>IF(J$2=Inputs!$Q$50,'Cash Flow'!$E$129,0)</f>
        <v>0</v>
      </c>
      <c r="K129" s="275">
        <f>IF(K$2=Inputs!$Q$50,'Cash Flow'!$E$129,0)</f>
        <v>0</v>
      </c>
      <c r="L129" s="275">
        <f>IF(L$2=Inputs!$Q$50,'Cash Flow'!$E$129,0)</f>
        <v>0</v>
      </c>
      <c r="M129" s="275">
        <f>IF(M$2=Inputs!$Q$50,'Cash Flow'!$E$129,0)</f>
        <v>0</v>
      </c>
      <c r="N129" s="275">
        <f>IF(N$2=Inputs!$Q$50,'Cash Flow'!$E$129,0)</f>
        <v>0</v>
      </c>
      <c r="O129" s="275">
        <f>IF(O$2=Inputs!$Q$50,'Cash Flow'!$E$129,0)</f>
        <v>0</v>
      </c>
      <c r="P129" s="275">
        <f>IF(P$2=Inputs!$Q$50,'Cash Flow'!$E$129,0)</f>
        <v>470000</v>
      </c>
      <c r="Q129" s="275">
        <f>IF(Q$2=Inputs!$Q$50,'Cash Flow'!$E$129,0)</f>
        <v>0</v>
      </c>
      <c r="R129" s="275">
        <f>IF(R$2=Inputs!$Q$50,'Cash Flow'!$E$129,0)</f>
        <v>0</v>
      </c>
      <c r="S129" s="275">
        <f>IF(S$2=Inputs!$Q$50,'Cash Flow'!$E$129,0)</f>
        <v>0</v>
      </c>
      <c r="T129" s="275">
        <f>IF(T$2=Inputs!$Q$50,'Cash Flow'!$E$129,0)</f>
        <v>0</v>
      </c>
      <c r="U129" s="275">
        <f>IF(U$2=Inputs!$Q$50,'Cash Flow'!$E$129,0)</f>
        <v>0</v>
      </c>
      <c r="V129" s="275">
        <f>IF(V$2=Inputs!$Q$50,'Cash Flow'!$E$129,0)</f>
        <v>0</v>
      </c>
      <c r="W129" s="275">
        <f>IF(W$2=Inputs!$Q$50,'Cash Flow'!$E$129,0)</f>
        <v>0</v>
      </c>
      <c r="X129" s="275">
        <f>IF(X$2=Inputs!$Q$50,'Cash Flow'!$E$129,0)</f>
        <v>0</v>
      </c>
      <c r="Y129" s="275">
        <f>IF(Y$2=Inputs!$Q$50,'Cash Flow'!$E$129,0)</f>
        <v>0</v>
      </c>
      <c r="Z129" s="275">
        <f>IF(Z$2=Inputs!$Q$50,'Cash Flow'!$E$129,0)</f>
        <v>0</v>
      </c>
      <c r="AA129" s="275">
        <f>IF(AA$2=Inputs!$Q$50,'Cash Flow'!$E$129,0)</f>
        <v>0</v>
      </c>
      <c r="AB129" s="275">
        <f>IF(AB$2=Inputs!$Q$50,'Cash Flow'!$E$129,0)</f>
        <v>0</v>
      </c>
      <c r="AC129" s="275">
        <f>IF(AC$2=Inputs!$Q$50,'Cash Flow'!$E$129,0)</f>
        <v>0</v>
      </c>
      <c r="AD129" s="275">
        <f>IF(AD$2=Inputs!$Q$50,'Cash Flow'!$E$129,0)</f>
        <v>0</v>
      </c>
      <c r="AE129" s="275">
        <f>IF(AE$2=Inputs!$Q$50,'Cash Flow'!$E$129,0)</f>
        <v>0</v>
      </c>
      <c r="AF129" s="275">
        <f>IF(AF$2=Inputs!$Q$50,'Cash Flow'!$E$129,0)</f>
        <v>0</v>
      </c>
      <c r="AG129" s="275">
        <f>IF(AG$2=Inputs!$Q$50,'Cash Flow'!$E$129,0)</f>
        <v>0</v>
      </c>
      <c r="AH129" s="275">
        <f>IF(AH$2=Inputs!$Q$50,'Cash Flow'!$E$129,0)</f>
        <v>0</v>
      </c>
      <c r="AI129" s="275">
        <f>IF(AI$2=Inputs!$Q$50,'Cash Flow'!$E$129,0)</f>
        <v>0</v>
      </c>
      <c r="AJ129" s="275">
        <f>IF(AJ$2=Inputs!$Q$50,'Cash Flow'!$E$129,0)</f>
        <v>0</v>
      </c>
    </row>
    <row r="130" spans="2:36" s="28" customFormat="1" ht="16">
      <c r="B130" s="263" t="s">
        <v>160</v>
      </c>
      <c r="C130" s="263"/>
      <c r="D130" s="263"/>
      <c r="E130" s="273"/>
      <c r="F130" s="279"/>
      <c r="G130" s="280">
        <f>IF(G129&gt;0,1,IF(F130&gt;0,F130+1,0))</f>
        <v>0</v>
      </c>
      <c r="H130" s="280">
        <f t="shared" ref="H130:AJ130" si="38">IF(H129&gt;0,1,IF(G130&gt;0,G130+1,0))</f>
        <v>0</v>
      </c>
      <c r="I130" s="280">
        <f t="shared" si="38"/>
        <v>0</v>
      </c>
      <c r="J130" s="280">
        <f t="shared" si="38"/>
        <v>0</v>
      </c>
      <c r="K130" s="280">
        <f t="shared" si="38"/>
        <v>0</v>
      </c>
      <c r="L130" s="280">
        <f t="shared" si="38"/>
        <v>0</v>
      </c>
      <c r="M130" s="280">
        <f t="shared" si="38"/>
        <v>0</v>
      </c>
      <c r="N130" s="280">
        <f t="shared" si="38"/>
        <v>0</v>
      </c>
      <c r="O130" s="280">
        <f t="shared" si="38"/>
        <v>0</v>
      </c>
      <c r="P130" s="280">
        <f t="shared" si="38"/>
        <v>1</v>
      </c>
      <c r="Q130" s="280">
        <f t="shared" si="38"/>
        <v>2</v>
      </c>
      <c r="R130" s="280">
        <f t="shared" si="38"/>
        <v>3</v>
      </c>
      <c r="S130" s="280">
        <f t="shared" si="38"/>
        <v>4</v>
      </c>
      <c r="T130" s="280">
        <f t="shared" si="38"/>
        <v>5</v>
      </c>
      <c r="U130" s="280">
        <f t="shared" si="38"/>
        <v>6</v>
      </c>
      <c r="V130" s="280">
        <f t="shared" si="38"/>
        <v>7</v>
      </c>
      <c r="W130" s="280">
        <f t="shared" si="38"/>
        <v>8</v>
      </c>
      <c r="X130" s="280">
        <f t="shared" si="38"/>
        <v>9</v>
      </c>
      <c r="Y130" s="280">
        <f t="shared" si="38"/>
        <v>10</v>
      </c>
      <c r="Z130" s="280">
        <f t="shared" si="38"/>
        <v>11</v>
      </c>
      <c r="AA130" s="280">
        <f t="shared" si="38"/>
        <v>12</v>
      </c>
      <c r="AB130" s="280">
        <f t="shared" si="38"/>
        <v>13</v>
      </c>
      <c r="AC130" s="280">
        <f t="shared" si="38"/>
        <v>14</v>
      </c>
      <c r="AD130" s="280">
        <f t="shared" si="38"/>
        <v>15</v>
      </c>
      <c r="AE130" s="280">
        <f t="shared" si="38"/>
        <v>16</v>
      </c>
      <c r="AF130" s="280">
        <f t="shared" si="38"/>
        <v>17</v>
      </c>
      <c r="AG130" s="280">
        <f t="shared" si="38"/>
        <v>18</v>
      </c>
      <c r="AH130" s="280">
        <f t="shared" si="38"/>
        <v>19</v>
      </c>
      <c r="AI130" s="280">
        <f t="shared" si="38"/>
        <v>20</v>
      </c>
      <c r="AJ130" s="280">
        <f t="shared" si="38"/>
        <v>21</v>
      </c>
    </row>
    <row r="131" spans="2:36" s="28" customFormat="1" ht="16">
      <c r="B131" s="263" t="s">
        <v>161</v>
      </c>
      <c r="C131" s="263"/>
      <c r="D131" s="263"/>
      <c r="E131" s="273"/>
      <c r="F131" s="279"/>
      <c r="G131" s="275">
        <f t="shared" ref="G131:AJ131" si="39">IF(G130=0,0,$E$129*LOOKUP(G130,$G$97:$AJ$97,$G$99:$AJ$99))</f>
        <v>0</v>
      </c>
      <c r="H131" s="275">
        <f t="shared" si="39"/>
        <v>0</v>
      </c>
      <c r="I131" s="275">
        <f t="shared" si="39"/>
        <v>0</v>
      </c>
      <c r="J131" s="275">
        <f t="shared" si="39"/>
        <v>0</v>
      </c>
      <c r="K131" s="275">
        <f t="shared" si="39"/>
        <v>0</v>
      </c>
      <c r="L131" s="275">
        <f t="shared" si="39"/>
        <v>0</v>
      </c>
      <c r="M131" s="275">
        <f t="shared" si="39"/>
        <v>0</v>
      </c>
      <c r="N131" s="275">
        <f t="shared" si="39"/>
        <v>0</v>
      </c>
      <c r="O131" s="275">
        <f t="shared" si="39"/>
        <v>0</v>
      </c>
      <c r="P131" s="275">
        <f t="shared" si="39"/>
        <v>94000</v>
      </c>
      <c r="Q131" s="275">
        <f t="shared" si="39"/>
        <v>150400</v>
      </c>
      <c r="R131" s="275">
        <f t="shared" si="39"/>
        <v>90240</v>
      </c>
      <c r="S131" s="275">
        <f t="shared" si="39"/>
        <v>54144</v>
      </c>
      <c r="T131" s="275">
        <f t="shared" si="39"/>
        <v>54144</v>
      </c>
      <c r="U131" s="275">
        <f t="shared" si="39"/>
        <v>27072</v>
      </c>
      <c r="V131" s="275">
        <f t="shared" si="39"/>
        <v>0</v>
      </c>
      <c r="W131" s="275">
        <f t="shared" si="39"/>
        <v>0</v>
      </c>
      <c r="X131" s="275">
        <f t="shared" si="39"/>
        <v>0</v>
      </c>
      <c r="Y131" s="275">
        <f t="shared" si="39"/>
        <v>0</v>
      </c>
      <c r="Z131" s="275">
        <f t="shared" si="39"/>
        <v>0</v>
      </c>
      <c r="AA131" s="275">
        <f t="shared" si="39"/>
        <v>0</v>
      </c>
      <c r="AB131" s="275">
        <f t="shared" si="39"/>
        <v>0</v>
      </c>
      <c r="AC131" s="275">
        <f t="shared" si="39"/>
        <v>0</v>
      </c>
      <c r="AD131" s="275">
        <f t="shared" si="39"/>
        <v>0</v>
      </c>
      <c r="AE131" s="275">
        <f t="shared" si="39"/>
        <v>0</v>
      </c>
      <c r="AF131" s="275">
        <f t="shared" si="39"/>
        <v>0</v>
      </c>
      <c r="AG131" s="275">
        <f t="shared" si="39"/>
        <v>0</v>
      </c>
      <c r="AH131" s="275">
        <f t="shared" si="39"/>
        <v>0</v>
      </c>
      <c r="AI131" s="275">
        <f t="shared" si="39"/>
        <v>0</v>
      </c>
      <c r="AJ131" s="275">
        <f t="shared" si="39"/>
        <v>0</v>
      </c>
    </row>
    <row r="132" spans="2:36" s="28" customFormat="1" ht="16">
      <c r="B132" s="263" t="s">
        <v>159</v>
      </c>
      <c r="C132" s="263"/>
      <c r="D132" s="263"/>
      <c r="E132" s="273">
        <f>Inputs!$Q$53*Inputs!$G$8*1000</f>
        <v>470000</v>
      </c>
      <c r="F132" s="279"/>
      <c r="G132" s="275">
        <f>IF(G$2=Inputs!$Q$52,'Cash Flow'!$E$132,0)</f>
        <v>0</v>
      </c>
      <c r="H132" s="275">
        <f>IF(H$2=Inputs!$Q$52,'Cash Flow'!$E$132,0)</f>
        <v>0</v>
      </c>
      <c r="I132" s="275">
        <f>IF(I$2=Inputs!$Q$52,'Cash Flow'!$E$132,0)</f>
        <v>0</v>
      </c>
      <c r="J132" s="275">
        <f>IF(J$2=Inputs!$Q$52,'Cash Flow'!$E$132,0)</f>
        <v>0</v>
      </c>
      <c r="K132" s="275">
        <f>IF(K$2=Inputs!$Q$52,'Cash Flow'!$E$132,0)</f>
        <v>0</v>
      </c>
      <c r="L132" s="275">
        <f>IF(L$2=Inputs!$Q$52,'Cash Flow'!$E$132,0)</f>
        <v>0</v>
      </c>
      <c r="M132" s="275">
        <f>IF(M$2=Inputs!$Q$52,'Cash Flow'!$E$132,0)</f>
        <v>0</v>
      </c>
      <c r="N132" s="275">
        <f>IF(N$2=Inputs!$Q$52,'Cash Flow'!$E$132,0)</f>
        <v>0</v>
      </c>
      <c r="O132" s="275">
        <f>IF(O$2=Inputs!$Q$52,'Cash Flow'!$E$132,0)</f>
        <v>0</v>
      </c>
      <c r="P132" s="275">
        <f>IF(P$2=Inputs!$Q$52,'Cash Flow'!$E$132,0)</f>
        <v>0</v>
      </c>
      <c r="Q132" s="275">
        <f>IF(Q$2=Inputs!$Q$52,'Cash Flow'!$E$132,0)</f>
        <v>0</v>
      </c>
      <c r="R132" s="275">
        <f>IF(R$2=Inputs!$Q$52,'Cash Flow'!$E$132,0)</f>
        <v>0</v>
      </c>
      <c r="S132" s="275">
        <f>IF(S$2=Inputs!$Q$52,'Cash Flow'!$E$132,0)</f>
        <v>0</v>
      </c>
      <c r="T132" s="275">
        <f>IF(T$2=Inputs!$Q$52,'Cash Flow'!$E$132,0)</f>
        <v>0</v>
      </c>
      <c r="U132" s="275">
        <f>IF(U$2=Inputs!$Q$52,'Cash Flow'!$E$132,0)</f>
        <v>0</v>
      </c>
      <c r="V132" s="275">
        <f>IF(V$2=Inputs!$Q$52,'Cash Flow'!$E$132,0)</f>
        <v>0</v>
      </c>
      <c r="W132" s="275">
        <f>IF(W$2=Inputs!$Q$52,'Cash Flow'!$E$132,0)</f>
        <v>0</v>
      </c>
      <c r="X132" s="275">
        <f>IF(X$2=Inputs!$Q$52,'Cash Flow'!$E$132,0)</f>
        <v>0</v>
      </c>
      <c r="Y132" s="275">
        <f>IF(Y$2=Inputs!$Q$52,'Cash Flow'!$E$132,0)</f>
        <v>0</v>
      </c>
      <c r="Z132" s="275">
        <f>IF(Z$2=Inputs!$Q$52,'Cash Flow'!$E$132,0)</f>
        <v>470000</v>
      </c>
      <c r="AA132" s="275">
        <f>IF(AA$2=Inputs!$Q$52,'Cash Flow'!$E$132,0)</f>
        <v>0</v>
      </c>
      <c r="AB132" s="275">
        <f>IF(AB$2=Inputs!$Q$52,'Cash Flow'!$E$132,0)</f>
        <v>0</v>
      </c>
      <c r="AC132" s="275">
        <f>IF(AC$2=Inputs!$Q$52,'Cash Flow'!$E$132,0)</f>
        <v>0</v>
      </c>
      <c r="AD132" s="275">
        <f>IF(AD$2=Inputs!$Q$52,'Cash Flow'!$E$132,0)</f>
        <v>0</v>
      </c>
      <c r="AE132" s="275">
        <f>IF(AE$2=Inputs!$Q$52,'Cash Flow'!$E$132,0)</f>
        <v>0</v>
      </c>
      <c r="AF132" s="275">
        <f>IF(AF$2=Inputs!$Q$52,'Cash Flow'!$E$132,0)</f>
        <v>0</v>
      </c>
      <c r="AG132" s="275">
        <f>IF(AG$2=Inputs!$Q$52,'Cash Flow'!$E$132,0)</f>
        <v>0</v>
      </c>
      <c r="AH132" s="275">
        <f>IF(AH$2=Inputs!$Q$52,'Cash Flow'!$E$132,0)</f>
        <v>0</v>
      </c>
      <c r="AI132" s="275">
        <f>IF(AI$2=Inputs!$Q$52,'Cash Flow'!$E$132,0)</f>
        <v>0</v>
      </c>
      <c r="AJ132" s="275">
        <f>IF(AJ$2=Inputs!$Q$52,'Cash Flow'!$E$132,0)</f>
        <v>0</v>
      </c>
    </row>
    <row r="133" spans="2:36" s="28" customFormat="1" ht="16">
      <c r="B133" s="263" t="s">
        <v>160</v>
      </c>
      <c r="C133" s="263"/>
      <c r="D133" s="263"/>
      <c r="E133" s="273"/>
      <c r="F133" s="279"/>
      <c r="G133" s="280">
        <f t="shared" ref="G133:AJ133" si="40">IF(G132&gt;0,1,IF(F133&gt;0,F133+1,0))</f>
        <v>0</v>
      </c>
      <c r="H133" s="280">
        <f t="shared" si="40"/>
        <v>0</v>
      </c>
      <c r="I133" s="280">
        <f t="shared" si="40"/>
        <v>0</v>
      </c>
      <c r="J133" s="280">
        <f t="shared" si="40"/>
        <v>0</v>
      </c>
      <c r="K133" s="280">
        <f t="shared" si="40"/>
        <v>0</v>
      </c>
      <c r="L133" s="280">
        <f t="shared" si="40"/>
        <v>0</v>
      </c>
      <c r="M133" s="280">
        <f t="shared" si="40"/>
        <v>0</v>
      </c>
      <c r="N133" s="280">
        <f t="shared" si="40"/>
        <v>0</v>
      </c>
      <c r="O133" s="280">
        <f t="shared" si="40"/>
        <v>0</v>
      </c>
      <c r="P133" s="280">
        <f t="shared" si="40"/>
        <v>0</v>
      </c>
      <c r="Q133" s="280">
        <f t="shared" si="40"/>
        <v>0</v>
      </c>
      <c r="R133" s="280">
        <f t="shared" si="40"/>
        <v>0</v>
      </c>
      <c r="S133" s="280">
        <f t="shared" si="40"/>
        <v>0</v>
      </c>
      <c r="T133" s="280">
        <f t="shared" si="40"/>
        <v>0</v>
      </c>
      <c r="U133" s="280">
        <f t="shared" si="40"/>
        <v>0</v>
      </c>
      <c r="V133" s="280">
        <f t="shared" si="40"/>
        <v>0</v>
      </c>
      <c r="W133" s="280">
        <f t="shared" si="40"/>
        <v>0</v>
      </c>
      <c r="X133" s="280">
        <f t="shared" si="40"/>
        <v>0</v>
      </c>
      <c r="Y133" s="280">
        <f t="shared" si="40"/>
        <v>0</v>
      </c>
      <c r="Z133" s="280">
        <f t="shared" si="40"/>
        <v>1</v>
      </c>
      <c r="AA133" s="280">
        <f t="shared" si="40"/>
        <v>2</v>
      </c>
      <c r="AB133" s="280">
        <f t="shared" si="40"/>
        <v>3</v>
      </c>
      <c r="AC133" s="280">
        <f t="shared" si="40"/>
        <v>4</v>
      </c>
      <c r="AD133" s="280">
        <f t="shared" si="40"/>
        <v>5</v>
      </c>
      <c r="AE133" s="280">
        <f t="shared" si="40"/>
        <v>6</v>
      </c>
      <c r="AF133" s="280">
        <f t="shared" si="40"/>
        <v>7</v>
      </c>
      <c r="AG133" s="280">
        <f t="shared" si="40"/>
        <v>8</v>
      </c>
      <c r="AH133" s="280">
        <f t="shared" si="40"/>
        <v>9</v>
      </c>
      <c r="AI133" s="280">
        <f t="shared" si="40"/>
        <v>10</v>
      </c>
      <c r="AJ133" s="280">
        <f t="shared" si="40"/>
        <v>11</v>
      </c>
    </row>
    <row r="134" spans="2:36" s="28" customFormat="1" ht="16">
      <c r="B134" s="263" t="s">
        <v>161</v>
      </c>
      <c r="C134" s="263"/>
      <c r="D134" s="263"/>
      <c r="E134" s="273"/>
      <c r="F134" s="279"/>
      <c r="G134" s="275">
        <f t="shared" ref="G134:AJ134" si="41">IF(G133=0,0,$E$132*LOOKUP(G133,$G$97:$AJ$97,$G$99:$AJ$99))</f>
        <v>0</v>
      </c>
      <c r="H134" s="275">
        <f t="shared" si="41"/>
        <v>0</v>
      </c>
      <c r="I134" s="275">
        <f t="shared" si="41"/>
        <v>0</v>
      </c>
      <c r="J134" s="275">
        <f t="shared" si="41"/>
        <v>0</v>
      </c>
      <c r="K134" s="275">
        <f t="shared" si="41"/>
        <v>0</v>
      </c>
      <c r="L134" s="275">
        <f t="shared" si="41"/>
        <v>0</v>
      </c>
      <c r="M134" s="275">
        <f t="shared" si="41"/>
        <v>0</v>
      </c>
      <c r="N134" s="275">
        <f t="shared" si="41"/>
        <v>0</v>
      </c>
      <c r="O134" s="275">
        <f t="shared" si="41"/>
        <v>0</v>
      </c>
      <c r="P134" s="275">
        <f t="shared" si="41"/>
        <v>0</v>
      </c>
      <c r="Q134" s="275">
        <f t="shared" si="41"/>
        <v>0</v>
      </c>
      <c r="R134" s="275">
        <f t="shared" si="41"/>
        <v>0</v>
      </c>
      <c r="S134" s="275">
        <f t="shared" si="41"/>
        <v>0</v>
      </c>
      <c r="T134" s="275">
        <f t="shared" si="41"/>
        <v>0</v>
      </c>
      <c r="U134" s="275">
        <f t="shared" si="41"/>
        <v>0</v>
      </c>
      <c r="V134" s="275">
        <f t="shared" si="41"/>
        <v>0</v>
      </c>
      <c r="W134" s="275">
        <f t="shared" si="41"/>
        <v>0</v>
      </c>
      <c r="X134" s="275">
        <f t="shared" si="41"/>
        <v>0</v>
      </c>
      <c r="Y134" s="275">
        <f t="shared" si="41"/>
        <v>0</v>
      </c>
      <c r="Z134" s="275">
        <f t="shared" si="41"/>
        <v>94000</v>
      </c>
      <c r="AA134" s="275">
        <f t="shared" si="41"/>
        <v>150400</v>
      </c>
      <c r="AB134" s="275">
        <f t="shared" si="41"/>
        <v>90240</v>
      </c>
      <c r="AC134" s="275">
        <f t="shared" si="41"/>
        <v>54144</v>
      </c>
      <c r="AD134" s="275">
        <f t="shared" si="41"/>
        <v>54144</v>
      </c>
      <c r="AE134" s="275">
        <f t="shared" si="41"/>
        <v>27072</v>
      </c>
      <c r="AF134" s="275">
        <f t="shared" si="41"/>
        <v>0</v>
      </c>
      <c r="AG134" s="275">
        <f t="shared" si="41"/>
        <v>0</v>
      </c>
      <c r="AH134" s="275">
        <f t="shared" si="41"/>
        <v>0</v>
      </c>
      <c r="AI134" s="275">
        <f t="shared" si="41"/>
        <v>0</v>
      </c>
      <c r="AJ134" s="275">
        <f t="shared" si="41"/>
        <v>0</v>
      </c>
    </row>
    <row r="135" spans="2:36" s="28" customFormat="1" ht="16">
      <c r="B135" s="278"/>
      <c r="C135" s="278"/>
      <c r="D135" s="278"/>
      <c r="E135" s="273"/>
      <c r="F135" s="279"/>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I135" s="275"/>
      <c r="AJ135" s="275"/>
    </row>
    <row r="136" spans="2:36" s="28" customFormat="1" ht="16">
      <c r="B136" s="263" t="s">
        <v>260</v>
      </c>
      <c r="C136" s="263"/>
      <c r="D136" s="263"/>
      <c r="E136" s="272"/>
      <c r="F136" s="311"/>
      <c r="G136" s="281">
        <f>IF(AND(Inputs!$G$73="Yes",G$2&lt;=Inputs!$G$15),SUM('Cash Flow'!G116:G124)+G131+G134,0)</f>
        <v>4246626.5836329898</v>
      </c>
      <c r="H136" s="281">
        <f>IF(AND(Inputs!$G$73="Yes",H$2&lt;=Inputs!$G$15),SUM('Cash Flow'!H116:H124)+H131+H134,0)</f>
        <v>895566.42799093807</v>
      </c>
      <c r="I136" s="281">
        <f>IF(AND(Inputs!$G$73="Yes",I$2&lt;=Inputs!$G$15),SUM('Cash Flow'!I116:I124)+I131+I134,0)</f>
        <v>562618.92799093807</v>
      </c>
      <c r="J136" s="281">
        <f>IF(AND(Inputs!$G$73="Yes",J$2&lt;=Inputs!$G$15),SUM('Cash Flow'!J116:J124)+J131+J134,0)</f>
        <v>362052.42799093801</v>
      </c>
      <c r="K136" s="281">
        <f>IF(AND(Inputs!$G$73="Yes",K$2&lt;=Inputs!$G$15),SUM('Cash Flow'!K116:K124)+K131+K134,0)</f>
        <v>359857.92799093801</v>
      </c>
      <c r="L136" s="281">
        <f>IF(AND(Inputs!$G$73="Yes",L$2&lt;=Inputs!$G$15),SUM('Cash Flow'!L116:L124)+L131+L134,0)</f>
        <v>209254.92799093801</v>
      </c>
      <c r="M136" s="281">
        <f>IF(AND(Inputs!$G$73="Yes",M$2&lt;=Inputs!$G$15),SUM('Cash Flow'!M116:M124)+M131+M134,0)</f>
        <v>59706.427990938028</v>
      </c>
      <c r="N136" s="281">
        <f>IF(AND(Inputs!$G$73="Yes",N$2&lt;=Inputs!$G$15),SUM('Cash Flow'!N116:N124)+N131+N134,0)</f>
        <v>59706.427990938028</v>
      </c>
      <c r="O136" s="281">
        <f>IF(AND(Inputs!$G$73="Yes",O$2&lt;=Inputs!$G$15),SUM('Cash Flow'!O116:O124)+O131+O134,0)</f>
        <v>59734.927990938028</v>
      </c>
      <c r="P136" s="281">
        <f>IF(AND(Inputs!$G$73="Yes",P$2&lt;=Inputs!$G$15),SUM('Cash Flow'!P116:P124)+P131+P134,0)</f>
        <v>153706.42799093801</v>
      </c>
      <c r="Q136" s="281">
        <f>IF(AND(Inputs!$G$73="Yes",Q$2&lt;=Inputs!$G$15),SUM('Cash Flow'!Q116:Q124)+Q131+Q134,0)</f>
        <v>210134.92799093801</v>
      </c>
      <c r="R136" s="281">
        <f>IF(AND(Inputs!$G$73="Yes",R$2&lt;=Inputs!$G$15),SUM('Cash Flow'!R116:R124)+R131+R134,0)</f>
        <v>149893.92799093801</v>
      </c>
      <c r="S136" s="281">
        <f>IF(AND(Inputs!$G$73="Yes",S$2&lt;=Inputs!$G$15),SUM('Cash Flow'!S116:S124)+S131+S134,0)</f>
        <v>113826.42799093803</v>
      </c>
      <c r="T136" s="281">
        <f>IF(AND(Inputs!$G$73="Yes",T$2&lt;=Inputs!$G$15),SUM('Cash Flow'!T116:T124)+T131+T134,0)</f>
        <v>113797.92799093803</v>
      </c>
      <c r="U136" s="281">
        <f>IF(AND(Inputs!$G$73="Yes",U$2&lt;=Inputs!$G$15),SUM('Cash Flow'!U116:U124)+U131+U134,0)</f>
        <v>86754.427990938028</v>
      </c>
      <c r="V136" s="281">
        <f>IF(AND(Inputs!$G$73="Yes",V$2&lt;=Inputs!$G$15),SUM('Cash Flow'!V116:V124)+V131+V134,0)</f>
        <v>33763.927990938028</v>
      </c>
      <c r="W136" s="281">
        <f>IF(AND(Inputs!$G$73="Yes",W$2&lt;=Inputs!$G$15),SUM('Cash Flow'!W116:W124)+W131+W134,0)</f>
        <v>7873.9279909380239</v>
      </c>
      <c r="X136" s="281">
        <f>IF(AND(Inputs!$G$73="Yes",X$2&lt;=Inputs!$G$15),SUM('Cash Flow'!X116:X124)+X131+X134,0)</f>
        <v>7873.9279909380239</v>
      </c>
      <c r="Y136" s="281">
        <f>IF(AND(Inputs!$G$73="Yes",Y$2&lt;=Inputs!$G$15),SUM('Cash Flow'!Y116:Y124)+Y131+Y134,0)</f>
        <v>7873.9279909380239</v>
      </c>
      <c r="Z136" s="281">
        <f>IF(AND(Inputs!$G$73="Yes",Z$2&lt;=Inputs!$G$15),SUM('Cash Flow'!Z116:Z124)+Z131+Z134,0)</f>
        <v>101873.92799093803</v>
      </c>
      <c r="AA136" s="281">
        <f>IF(AND(Inputs!$G$73="Yes",AA$2&lt;=Inputs!$G$15),SUM('Cash Flow'!AA116:AA124)+AA131+AA134,0)</f>
        <v>154336.96399546901</v>
      </c>
      <c r="AB136" s="281">
        <f>IF(AND(Inputs!$G$73="Yes",AB$2&lt;=Inputs!$G$15),SUM('Cash Flow'!AB116:AB124)+AB131+AB134,0)</f>
        <v>90240</v>
      </c>
      <c r="AC136" s="281">
        <f>IF(AND(Inputs!$G$73="Yes",AC$2&lt;=Inputs!$G$15),SUM('Cash Flow'!AC116:AC124)+AC131+AC134,0)</f>
        <v>54144</v>
      </c>
      <c r="AD136" s="281">
        <f>IF(AND(Inputs!$G$73="Yes",AD$2&lt;=Inputs!$G$15),SUM('Cash Flow'!AD116:AD124)+AD131+AD134,0)</f>
        <v>54144</v>
      </c>
      <c r="AE136" s="281">
        <f>IF(AND(Inputs!$G$73="Yes",AE$2&lt;=Inputs!$G$15),SUM('Cash Flow'!AE116:AE124)+AE131+AE134,0)</f>
        <v>27072</v>
      </c>
      <c r="AF136" s="281">
        <f>IF(AND(Inputs!$G$73="Yes",AF$2&lt;=Inputs!$G$15),SUM('Cash Flow'!AF116:AF124)+AF131+AF134,0)</f>
        <v>0</v>
      </c>
      <c r="AG136" s="281">
        <f>IF(AND(Inputs!$G$73="Yes",AG$2&lt;=Inputs!$G$15),SUM('Cash Flow'!AG116:AG124)+AG131+AG134,0)</f>
        <v>0</v>
      </c>
      <c r="AH136" s="281">
        <f>IF(AND(Inputs!$G$73="Yes",AH$2&lt;=Inputs!$G$15),SUM('Cash Flow'!AH116:AH124)+AH131+AH134,0)</f>
        <v>0</v>
      </c>
      <c r="AI136" s="281">
        <f>IF(AND(Inputs!$G$73="Yes",AI$2&lt;=Inputs!$G$15),SUM('Cash Flow'!AI116:AI124)+AI131+AI134,0)</f>
        <v>0</v>
      </c>
      <c r="AJ136" s="281">
        <f>IF(AND(Inputs!$G$73="Yes",AJ$2&lt;=Inputs!$G$15),SUM('Cash Flow'!AJ116:AJ124)+AJ131+AJ134,0)</f>
        <v>0</v>
      </c>
    </row>
    <row r="137" spans="2:36" s="28" customFormat="1" ht="16">
      <c r="B137" s="263"/>
      <c r="C137" s="263"/>
      <c r="D137" s="263"/>
      <c r="E137" s="272"/>
      <c r="F137" s="311"/>
      <c r="G137" s="281"/>
      <c r="H137" s="281"/>
      <c r="I137" s="281"/>
      <c r="J137" s="281"/>
      <c r="K137" s="281"/>
      <c r="L137" s="281"/>
      <c r="M137" s="281"/>
      <c r="N137" s="281"/>
      <c r="O137" s="281"/>
      <c r="P137" s="281"/>
      <c r="Q137" s="281"/>
      <c r="R137" s="281"/>
      <c r="S137" s="281"/>
      <c r="T137" s="281"/>
      <c r="U137" s="281"/>
      <c r="V137" s="281"/>
      <c r="W137" s="281"/>
      <c r="X137" s="281"/>
      <c r="Y137" s="281"/>
      <c r="Z137" s="281"/>
      <c r="AA137" s="281"/>
      <c r="AB137" s="281"/>
      <c r="AC137" s="281"/>
      <c r="AD137" s="281"/>
      <c r="AE137" s="281"/>
      <c r="AF137" s="281"/>
      <c r="AG137" s="281"/>
      <c r="AH137" s="281"/>
      <c r="AI137" s="281"/>
      <c r="AJ137" s="281"/>
    </row>
    <row r="138" spans="2:36" s="28" customFormat="1" ht="16">
      <c r="B138" s="263" t="s">
        <v>213</v>
      </c>
      <c r="C138" s="263"/>
      <c r="D138" s="263"/>
      <c r="E138" s="272"/>
      <c r="F138" s="311"/>
      <c r="G138" s="283">
        <f>G136*Inputs!$G$78</f>
        <v>1720945.423017269</v>
      </c>
      <c r="H138" s="283">
        <f>H136*Inputs!$G$78</f>
        <v>362928.29494332767</v>
      </c>
      <c r="I138" s="283">
        <f>I136*Inputs!$G$78</f>
        <v>228001.32056832765</v>
      </c>
      <c r="J138" s="283">
        <f>J136*Inputs!$G$78</f>
        <v>146721.74644332763</v>
      </c>
      <c r="K138" s="283">
        <f>K136*Inputs!$G$78</f>
        <v>145832.42531832762</v>
      </c>
      <c r="L138" s="283">
        <f>L136*Inputs!$G$78</f>
        <v>84800.559568327633</v>
      </c>
      <c r="M138" s="283">
        <f>M136*Inputs!$G$78</f>
        <v>24196.029943327634</v>
      </c>
      <c r="N138" s="283">
        <f>N136*Inputs!$G$78</f>
        <v>24196.029943327634</v>
      </c>
      <c r="O138" s="283">
        <f>O136*Inputs!$G$78</f>
        <v>24207.579568327637</v>
      </c>
      <c r="P138" s="283">
        <f>P136*Inputs!$G$78</f>
        <v>62289.52994332763</v>
      </c>
      <c r="Q138" s="283">
        <f>Q136*Inputs!$G$78</f>
        <v>85157.179568327629</v>
      </c>
      <c r="R138" s="283">
        <f>R136*Inputs!$G$78</f>
        <v>60744.51431832763</v>
      </c>
      <c r="S138" s="283">
        <f>S136*Inputs!$G$78</f>
        <v>46128.159943327635</v>
      </c>
      <c r="T138" s="283">
        <f>T136*Inputs!$G$78</f>
        <v>46116.610318327635</v>
      </c>
      <c r="U138" s="283">
        <f>U136*Inputs!$G$78</f>
        <v>35157.231943327635</v>
      </c>
      <c r="V138" s="283">
        <f>V136*Inputs!$G$78</f>
        <v>13682.831818327635</v>
      </c>
      <c r="W138" s="283">
        <f>W136*Inputs!$G$78</f>
        <v>3190.9093183276341</v>
      </c>
      <c r="X138" s="283">
        <f>X136*Inputs!$G$78</f>
        <v>3190.9093183276341</v>
      </c>
      <c r="Y138" s="283">
        <f>Y136*Inputs!$G$78</f>
        <v>3190.9093183276341</v>
      </c>
      <c r="Z138" s="283">
        <f>Z136*Inputs!$G$78</f>
        <v>41284.409318327635</v>
      </c>
      <c r="AA138" s="283">
        <f>AA136*Inputs!$G$78</f>
        <v>62545.054659163812</v>
      </c>
      <c r="AB138" s="283">
        <f>AB136*Inputs!$G$78</f>
        <v>36569.760000000002</v>
      </c>
      <c r="AC138" s="283">
        <f>AC136*Inputs!$G$78</f>
        <v>21941.856</v>
      </c>
      <c r="AD138" s="283">
        <f>AD136*Inputs!$G$78</f>
        <v>21941.856</v>
      </c>
      <c r="AE138" s="283">
        <f>AE136*Inputs!$G$78</f>
        <v>10970.928</v>
      </c>
      <c r="AF138" s="283">
        <f>AF136*Inputs!$G$78</f>
        <v>0</v>
      </c>
      <c r="AG138" s="283">
        <f>AG136*Inputs!$G$78</f>
        <v>0</v>
      </c>
      <c r="AH138" s="283">
        <f>AH136*Inputs!$G$78</f>
        <v>0</v>
      </c>
      <c r="AI138" s="283">
        <f>AI136*Inputs!$G$78</f>
        <v>0</v>
      </c>
      <c r="AJ138" s="283">
        <f>AJ136*Inputs!$G$78</f>
        <v>0</v>
      </c>
    </row>
    <row r="139" spans="2:36" s="28" customFormat="1" ht="17" thickBot="1">
      <c r="B139" s="284"/>
      <c r="C139" s="284"/>
      <c r="D139" s="284"/>
      <c r="E139" s="285"/>
      <c r="F139" s="285"/>
      <c r="G139" s="286"/>
      <c r="H139" s="287"/>
      <c r="I139" s="285"/>
      <c r="J139" s="285"/>
      <c r="K139" s="285"/>
      <c r="L139" s="285"/>
      <c r="M139" s="285"/>
      <c r="N139" s="285"/>
      <c r="O139" s="285"/>
      <c r="P139" s="285"/>
      <c r="Q139" s="285"/>
      <c r="R139" s="285"/>
      <c r="S139" s="285"/>
      <c r="T139" s="285"/>
      <c r="U139" s="285"/>
      <c r="V139" s="285"/>
      <c r="W139" s="285"/>
      <c r="X139" s="285"/>
      <c r="Y139" s="285"/>
      <c r="Z139" s="285"/>
      <c r="AA139" s="285"/>
      <c r="AB139" s="285"/>
      <c r="AC139" s="285"/>
      <c r="AD139" s="285"/>
      <c r="AE139" s="285"/>
      <c r="AF139" s="285"/>
      <c r="AG139" s="285"/>
      <c r="AH139" s="285"/>
      <c r="AI139" s="285"/>
      <c r="AJ139" s="285"/>
    </row>
    <row r="140" spans="2:36">
      <c r="B140" s="307"/>
      <c r="C140" s="307"/>
      <c r="D140" s="307"/>
      <c r="E140" s="307"/>
      <c r="F140" s="307"/>
      <c r="G140" s="307"/>
      <c r="H140" s="307"/>
      <c r="I140" s="307"/>
      <c r="J140" s="307"/>
      <c r="K140" s="307"/>
      <c r="L140" s="307"/>
      <c r="M140" s="307"/>
      <c r="N140" s="307"/>
      <c r="O140" s="307"/>
      <c r="P140" s="307"/>
      <c r="Q140" s="307"/>
      <c r="R140" s="307"/>
      <c r="S140" s="307"/>
      <c r="T140" s="307"/>
      <c r="U140" s="307"/>
      <c r="V140" s="307"/>
      <c r="W140" s="307"/>
      <c r="X140" s="307"/>
      <c r="Y140" s="307"/>
      <c r="Z140" s="307"/>
      <c r="AA140" s="307"/>
      <c r="AB140" s="307"/>
      <c r="AC140" s="307"/>
      <c r="AD140" s="307"/>
      <c r="AE140" s="307"/>
      <c r="AF140" s="307"/>
      <c r="AG140" s="307"/>
      <c r="AH140" s="307"/>
      <c r="AI140" s="307"/>
      <c r="AJ140" s="307"/>
    </row>
    <row r="141" spans="2:36" ht="16">
      <c r="B141" s="262" t="s">
        <v>254</v>
      </c>
      <c r="C141" s="262"/>
      <c r="D141" s="262"/>
      <c r="E141" s="307"/>
      <c r="F141" s="307"/>
      <c r="G141" s="307"/>
      <c r="H141" s="307"/>
      <c r="I141" s="307"/>
      <c r="J141" s="307"/>
      <c r="K141" s="307"/>
      <c r="L141" s="307"/>
      <c r="M141" s="307"/>
      <c r="N141" s="307"/>
      <c r="O141" s="307"/>
      <c r="P141" s="307"/>
      <c r="Q141" s="307"/>
      <c r="R141" s="307"/>
      <c r="S141" s="307"/>
      <c r="T141" s="307"/>
      <c r="U141" s="307"/>
      <c r="V141" s="307"/>
      <c r="W141" s="307"/>
      <c r="X141" s="307"/>
      <c r="Y141" s="307"/>
      <c r="Z141" s="307"/>
      <c r="AA141" s="307"/>
      <c r="AB141" s="307"/>
      <c r="AC141" s="307"/>
      <c r="AD141" s="307"/>
      <c r="AE141" s="307"/>
      <c r="AF141" s="307"/>
      <c r="AG141" s="307"/>
      <c r="AH141" s="307"/>
      <c r="AI141" s="307"/>
      <c r="AJ141" s="307"/>
    </row>
    <row r="142" spans="2:36" ht="16">
      <c r="B142" s="263"/>
      <c r="C142" s="263"/>
      <c r="D142" s="263"/>
      <c r="E142" s="307"/>
      <c r="F142" s="307"/>
      <c r="G142" s="307"/>
      <c r="H142" s="307"/>
      <c r="I142" s="307"/>
      <c r="J142" s="307"/>
      <c r="K142" s="307"/>
      <c r="L142" s="307"/>
      <c r="M142" s="307"/>
      <c r="N142" s="307"/>
      <c r="O142" s="307"/>
      <c r="P142" s="307"/>
      <c r="Q142" s="307"/>
      <c r="R142" s="307"/>
      <c r="S142" s="307"/>
      <c r="T142" s="307"/>
      <c r="U142" s="307"/>
      <c r="V142" s="307"/>
      <c r="W142" s="307"/>
      <c r="X142" s="307"/>
      <c r="Y142" s="307"/>
      <c r="Z142" s="307"/>
      <c r="AA142" s="307"/>
      <c r="AB142" s="307"/>
      <c r="AC142" s="307"/>
      <c r="AD142" s="307"/>
      <c r="AE142" s="307"/>
      <c r="AF142" s="307"/>
      <c r="AG142" s="307"/>
      <c r="AH142" s="307"/>
      <c r="AI142" s="307"/>
      <c r="AJ142" s="307"/>
    </row>
    <row r="143" spans="2:36" ht="16">
      <c r="B143" s="263" t="s">
        <v>253</v>
      </c>
      <c r="C143" s="263"/>
      <c r="D143" s="263"/>
      <c r="E143" s="307"/>
      <c r="F143" s="307"/>
      <c r="G143" s="283">
        <f>G58</f>
        <v>-3594281.6512680827</v>
      </c>
      <c r="H143" s="283">
        <f t="shared" ref="H143:AJ143" si="42">H58</f>
        <v>-236248.39464270393</v>
      </c>
      <c r="I143" s="283">
        <f t="shared" si="42"/>
        <v>103638.5179578542</v>
      </c>
      <c r="J143" s="283">
        <f t="shared" si="42"/>
        <v>311192.21208455163</v>
      </c>
      <c r="K143" s="283">
        <f t="shared" si="42"/>
        <v>320500.37975342624</v>
      </c>
      <c r="L143" s="283">
        <f t="shared" si="42"/>
        <v>478420.09075273998</v>
      </c>
      <c r="M143" s="283">
        <f t="shared" si="42"/>
        <v>635563.40920746152</v>
      </c>
      <c r="N143" s="283">
        <f t="shared" si="42"/>
        <v>643510.47680613457</v>
      </c>
      <c r="O143" s="283">
        <f t="shared" si="42"/>
        <v>651855.06800653739</v>
      </c>
      <c r="P143" s="283">
        <f t="shared" si="42"/>
        <v>561534.39992147242</v>
      </c>
      <c r="Q143" s="283">
        <f t="shared" si="42"/>
        <v>509331.31257550215</v>
      </c>
      <c r="R143" s="283">
        <f t="shared" si="42"/>
        <v>579670.32381326705</v>
      </c>
      <c r="S143" s="283">
        <f t="shared" si="42"/>
        <v>626563.67399310018</v>
      </c>
      <c r="T143" s="283">
        <f t="shared" si="42"/>
        <v>638225.47537930415</v>
      </c>
      <c r="U143" s="283">
        <f t="shared" si="42"/>
        <v>677791.9698497979</v>
      </c>
      <c r="V143" s="283">
        <f t="shared" si="42"/>
        <v>744280.50949355436</v>
      </c>
      <c r="W143" s="283">
        <f t="shared" si="42"/>
        <v>784732.54121545726</v>
      </c>
      <c r="X143" s="283">
        <f t="shared" si="42"/>
        <v>800451.59859291557</v>
      </c>
      <c r="Y143" s="283">
        <f t="shared" si="42"/>
        <v>815859.55568317208</v>
      </c>
      <c r="Z143" s="283">
        <f t="shared" si="42"/>
        <v>711482.18740459415</v>
      </c>
      <c r="AA143" s="283">
        <f t="shared" si="42"/>
        <v>649616.61602262908</v>
      </c>
      <c r="AB143" s="283">
        <f t="shared" si="42"/>
        <v>708949.49516807334</v>
      </c>
      <c r="AC143" s="283">
        <f t="shared" si="42"/>
        <v>740226.25079139392</v>
      </c>
      <c r="AD143" s="283">
        <f t="shared" si="42"/>
        <v>735357.5578801462</v>
      </c>
      <c r="AE143" s="283">
        <f t="shared" si="42"/>
        <v>757003.12203056994</v>
      </c>
      <c r="AF143" s="283">
        <f t="shared" si="42"/>
        <v>2.6193447411060332E-12</v>
      </c>
      <c r="AG143" s="283">
        <f t="shared" si="42"/>
        <v>0</v>
      </c>
      <c r="AH143" s="283">
        <f t="shared" si="42"/>
        <v>0</v>
      </c>
      <c r="AI143" s="283">
        <f t="shared" si="42"/>
        <v>0</v>
      </c>
      <c r="AJ143" s="283">
        <f t="shared" si="42"/>
        <v>0</v>
      </c>
    </row>
    <row r="144" spans="2:36" ht="16">
      <c r="B144" s="263"/>
      <c r="C144" s="263"/>
      <c r="D144" s="263"/>
      <c r="E144" s="307"/>
      <c r="F144" s="307"/>
      <c r="G144" s="283"/>
      <c r="H144" s="283"/>
      <c r="I144" s="283"/>
      <c r="J144" s="283"/>
      <c r="K144" s="283"/>
      <c r="L144" s="283"/>
      <c r="M144" s="283"/>
      <c r="N144" s="283"/>
      <c r="O144" s="283"/>
      <c r="P144" s="283"/>
      <c r="Q144" s="283"/>
      <c r="R144" s="283"/>
      <c r="S144" s="283"/>
      <c r="T144" s="283"/>
      <c r="U144" s="283"/>
      <c r="V144" s="283"/>
      <c r="W144" s="283"/>
      <c r="X144" s="283"/>
      <c r="Y144" s="283"/>
      <c r="Z144" s="283"/>
      <c r="AA144" s="283"/>
      <c r="AB144" s="283"/>
      <c r="AC144" s="283"/>
      <c r="AD144" s="283"/>
      <c r="AE144" s="283"/>
      <c r="AF144" s="283"/>
      <c r="AG144" s="283"/>
      <c r="AH144" s="283"/>
      <c r="AI144" s="283"/>
      <c r="AJ144" s="283"/>
    </row>
    <row r="145" spans="2:36" ht="16">
      <c r="B145" s="346" t="s">
        <v>310</v>
      </c>
      <c r="C145" s="346"/>
      <c r="D145" s="346"/>
      <c r="E145" s="307"/>
      <c r="F145" s="307"/>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283"/>
      <c r="AC145" s="283"/>
      <c r="AD145" s="283"/>
      <c r="AE145" s="283"/>
      <c r="AF145" s="283"/>
      <c r="AG145" s="283"/>
      <c r="AH145" s="283"/>
      <c r="AI145" s="283"/>
      <c r="AJ145" s="283"/>
    </row>
    <row r="146" spans="2:36" ht="16">
      <c r="B146" s="263" t="s">
        <v>256</v>
      </c>
      <c r="C146" s="263"/>
      <c r="D146" s="263"/>
      <c r="E146" s="307"/>
      <c r="F146" s="307"/>
      <c r="G146" s="283">
        <v>0</v>
      </c>
      <c r="H146" s="283">
        <f>G149</f>
        <v>3594281.6512680827</v>
      </c>
      <c r="I146" s="283">
        <f t="shared" ref="I146:AJ146" si="43">H149</f>
        <v>3830530.0459107868</v>
      </c>
      <c r="J146" s="283">
        <f t="shared" si="43"/>
        <v>3726891.5279529328</v>
      </c>
      <c r="K146" s="283">
        <f t="shared" si="43"/>
        <v>3415699.3158683809</v>
      </c>
      <c r="L146" s="283">
        <f t="shared" si="43"/>
        <v>3095198.9361149548</v>
      </c>
      <c r="M146" s="283">
        <f t="shared" si="43"/>
        <v>2616778.8453622148</v>
      </c>
      <c r="N146" s="283">
        <f t="shared" si="43"/>
        <v>1981215.4361547534</v>
      </c>
      <c r="O146" s="283">
        <f t="shared" si="43"/>
        <v>1337704.959348619</v>
      </c>
      <c r="P146" s="283">
        <f t="shared" si="43"/>
        <v>685849.8913420816</v>
      </c>
      <c r="Q146" s="283">
        <f t="shared" si="43"/>
        <v>124315.49142060918</v>
      </c>
      <c r="R146" s="283">
        <f t="shared" si="43"/>
        <v>0</v>
      </c>
      <c r="S146" s="283">
        <f t="shared" si="43"/>
        <v>0</v>
      </c>
      <c r="T146" s="283">
        <f t="shared" si="43"/>
        <v>0</v>
      </c>
      <c r="U146" s="283">
        <f t="shared" si="43"/>
        <v>0</v>
      </c>
      <c r="V146" s="283">
        <f t="shared" si="43"/>
        <v>0</v>
      </c>
      <c r="W146" s="283">
        <f t="shared" si="43"/>
        <v>0</v>
      </c>
      <c r="X146" s="283">
        <f t="shared" si="43"/>
        <v>0</v>
      </c>
      <c r="Y146" s="283">
        <f t="shared" si="43"/>
        <v>0</v>
      </c>
      <c r="Z146" s="283">
        <f t="shared" si="43"/>
        <v>0</v>
      </c>
      <c r="AA146" s="283">
        <f t="shared" si="43"/>
        <v>0</v>
      </c>
      <c r="AB146" s="283">
        <f t="shared" si="43"/>
        <v>0</v>
      </c>
      <c r="AC146" s="283">
        <f t="shared" si="43"/>
        <v>0</v>
      </c>
      <c r="AD146" s="283">
        <f t="shared" si="43"/>
        <v>0</v>
      </c>
      <c r="AE146" s="283">
        <f t="shared" si="43"/>
        <v>0</v>
      </c>
      <c r="AF146" s="283">
        <f t="shared" si="43"/>
        <v>0</v>
      </c>
      <c r="AG146" s="283">
        <f t="shared" si="43"/>
        <v>0</v>
      </c>
      <c r="AH146" s="283">
        <f t="shared" si="43"/>
        <v>0</v>
      </c>
      <c r="AI146" s="283">
        <f t="shared" si="43"/>
        <v>0</v>
      </c>
      <c r="AJ146" s="283">
        <f t="shared" si="43"/>
        <v>0</v>
      </c>
    </row>
    <row r="147" spans="2:36" ht="16">
      <c r="B147" s="263" t="s">
        <v>257</v>
      </c>
      <c r="C147" s="263"/>
      <c r="D147" s="263"/>
      <c r="E147" s="307"/>
      <c r="F147" s="307"/>
      <c r="G147" s="283">
        <f>IF(G$143&gt;0,0,-G$143)</f>
        <v>3594281.6512680827</v>
      </c>
      <c r="H147" s="283">
        <f t="shared" ref="H147:AJ147" si="44">IF(H$143&gt;0,0,-H$143)</f>
        <v>236248.39464270393</v>
      </c>
      <c r="I147" s="283">
        <f t="shared" si="44"/>
        <v>0</v>
      </c>
      <c r="J147" s="283">
        <f t="shared" si="44"/>
        <v>0</v>
      </c>
      <c r="K147" s="283">
        <f t="shared" si="44"/>
        <v>0</v>
      </c>
      <c r="L147" s="283">
        <f t="shared" si="44"/>
        <v>0</v>
      </c>
      <c r="M147" s="283">
        <f t="shared" si="44"/>
        <v>0</v>
      </c>
      <c r="N147" s="283">
        <f t="shared" si="44"/>
        <v>0</v>
      </c>
      <c r="O147" s="283">
        <f t="shared" si="44"/>
        <v>0</v>
      </c>
      <c r="P147" s="283">
        <f t="shared" si="44"/>
        <v>0</v>
      </c>
      <c r="Q147" s="283">
        <f t="shared" si="44"/>
        <v>0</v>
      </c>
      <c r="R147" s="283">
        <f t="shared" si="44"/>
        <v>0</v>
      </c>
      <c r="S147" s="283">
        <f t="shared" si="44"/>
        <v>0</v>
      </c>
      <c r="T147" s="283">
        <f t="shared" si="44"/>
        <v>0</v>
      </c>
      <c r="U147" s="283">
        <f t="shared" si="44"/>
        <v>0</v>
      </c>
      <c r="V147" s="283">
        <f t="shared" si="44"/>
        <v>0</v>
      </c>
      <c r="W147" s="283">
        <f t="shared" si="44"/>
        <v>0</v>
      </c>
      <c r="X147" s="283">
        <f t="shared" si="44"/>
        <v>0</v>
      </c>
      <c r="Y147" s="283">
        <f t="shared" si="44"/>
        <v>0</v>
      </c>
      <c r="Z147" s="283">
        <f t="shared" si="44"/>
        <v>0</v>
      </c>
      <c r="AA147" s="283">
        <f t="shared" si="44"/>
        <v>0</v>
      </c>
      <c r="AB147" s="283">
        <f t="shared" si="44"/>
        <v>0</v>
      </c>
      <c r="AC147" s="283">
        <f t="shared" si="44"/>
        <v>0</v>
      </c>
      <c r="AD147" s="283">
        <f t="shared" si="44"/>
        <v>0</v>
      </c>
      <c r="AE147" s="283">
        <f t="shared" si="44"/>
        <v>0</v>
      </c>
      <c r="AF147" s="283">
        <f t="shared" si="44"/>
        <v>0</v>
      </c>
      <c r="AG147" s="283">
        <f t="shared" si="44"/>
        <v>0</v>
      </c>
      <c r="AH147" s="283">
        <f t="shared" si="44"/>
        <v>0</v>
      </c>
      <c r="AI147" s="283">
        <f t="shared" si="44"/>
        <v>0</v>
      </c>
      <c r="AJ147" s="283">
        <f t="shared" si="44"/>
        <v>0</v>
      </c>
    </row>
    <row r="148" spans="2:36" ht="16">
      <c r="B148" s="263" t="s">
        <v>255</v>
      </c>
      <c r="C148" s="263"/>
      <c r="D148" s="263"/>
      <c r="E148" s="307"/>
      <c r="F148" s="307"/>
      <c r="G148" s="283">
        <f t="shared" ref="G148:L148" si="45">IF(G$143&lt;=0,0,-MIN(G$143,F$149))</f>
        <v>0</v>
      </c>
      <c r="H148" s="283">
        <f t="shared" si="45"/>
        <v>0</v>
      </c>
      <c r="I148" s="283">
        <f t="shared" si="45"/>
        <v>-103638.5179578542</v>
      </c>
      <c r="J148" s="283">
        <f t="shared" si="45"/>
        <v>-311192.21208455163</v>
      </c>
      <c r="K148" s="283">
        <f t="shared" si="45"/>
        <v>-320500.37975342624</v>
      </c>
      <c r="L148" s="283">
        <f t="shared" si="45"/>
        <v>-478420.09075273998</v>
      </c>
      <c r="M148" s="283">
        <f>IF(M$143&lt;=0,0,-MIN(M$143,L$149))</f>
        <v>-635563.40920746152</v>
      </c>
      <c r="N148" s="283">
        <f t="shared" ref="N148:AJ148" si="46">IF(N$143&lt;=0,0,-MIN(N$143,M$149))</f>
        <v>-643510.47680613457</v>
      </c>
      <c r="O148" s="283">
        <f t="shared" si="46"/>
        <v>-651855.06800653739</v>
      </c>
      <c r="P148" s="283">
        <f t="shared" si="46"/>
        <v>-561534.39992147242</v>
      </c>
      <c r="Q148" s="283">
        <f t="shared" si="46"/>
        <v>-124315.49142060918</v>
      </c>
      <c r="R148" s="283">
        <f t="shared" si="46"/>
        <v>0</v>
      </c>
      <c r="S148" s="283">
        <f t="shared" si="46"/>
        <v>0</v>
      </c>
      <c r="T148" s="283">
        <f t="shared" si="46"/>
        <v>0</v>
      </c>
      <c r="U148" s="283">
        <f t="shared" si="46"/>
        <v>0</v>
      </c>
      <c r="V148" s="283">
        <f t="shared" si="46"/>
        <v>0</v>
      </c>
      <c r="W148" s="283">
        <f t="shared" si="46"/>
        <v>0</v>
      </c>
      <c r="X148" s="283">
        <f t="shared" si="46"/>
        <v>0</v>
      </c>
      <c r="Y148" s="283">
        <f t="shared" si="46"/>
        <v>0</v>
      </c>
      <c r="Z148" s="283">
        <f t="shared" si="46"/>
        <v>0</v>
      </c>
      <c r="AA148" s="283">
        <f t="shared" si="46"/>
        <v>0</v>
      </c>
      <c r="AB148" s="283">
        <f t="shared" si="46"/>
        <v>0</v>
      </c>
      <c r="AC148" s="283">
        <f t="shared" si="46"/>
        <v>0</v>
      </c>
      <c r="AD148" s="283">
        <f t="shared" si="46"/>
        <v>0</v>
      </c>
      <c r="AE148" s="283">
        <f t="shared" si="46"/>
        <v>0</v>
      </c>
      <c r="AF148" s="283">
        <f t="shared" si="46"/>
        <v>0</v>
      </c>
      <c r="AG148" s="283">
        <f t="shared" si="46"/>
        <v>0</v>
      </c>
      <c r="AH148" s="283">
        <f t="shared" si="46"/>
        <v>0</v>
      </c>
      <c r="AI148" s="283">
        <f t="shared" si="46"/>
        <v>0</v>
      </c>
      <c r="AJ148" s="283">
        <f t="shared" si="46"/>
        <v>0</v>
      </c>
    </row>
    <row r="149" spans="2:36" ht="16">
      <c r="B149" s="263" t="s">
        <v>258</v>
      </c>
      <c r="C149" s="263"/>
      <c r="D149" s="263"/>
      <c r="E149" s="307"/>
      <c r="F149" s="307"/>
      <c r="G149" s="283">
        <f>SUM(G146:G148)</f>
        <v>3594281.6512680827</v>
      </c>
      <c r="H149" s="283">
        <f t="shared" ref="H149:AJ149" si="47">SUM(H146:H148)</f>
        <v>3830530.0459107868</v>
      </c>
      <c r="I149" s="283">
        <f t="shared" si="47"/>
        <v>3726891.5279529328</v>
      </c>
      <c r="J149" s="283">
        <f t="shared" si="47"/>
        <v>3415699.3158683809</v>
      </c>
      <c r="K149" s="283">
        <f t="shared" si="47"/>
        <v>3095198.9361149548</v>
      </c>
      <c r="L149" s="283">
        <f t="shared" si="47"/>
        <v>2616778.8453622148</v>
      </c>
      <c r="M149" s="283">
        <f t="shared" si="47"/>
        <v>1981215.4361547534</v>
      </c>
      <c r="N149" s="283">
        <f t="shared" si="47"/>
        <v>1337704.959348619</v>
      </c>
      <c r="O149" s="283">
        <f t="shared" si="47"/>
        <v>685849.8913420816</v>
      </c>
      <c r="P149" s="283">
        <f t="shared" si="47"/>
        <v>124315.49142060918</v>
      </c>
      <c r="Q149" s="283">
        <f t="shared" si="47"/>
        <v>0</v>
      </c>
      <c r="R149" s="283">
        <f t="shared" si="47"/>
        <v>0</v>
      </c>
      <c r="S149" s="283">
        <f t="shared" si="47"/>
        <v>0</v>
      </c>
      <c r="T149" s="283">
        <f t="shared" si="47"/>
        <v>0</v>
      </c>
      <c r="U149" s="283">
        <f t="shared" si="47"/>
        <v>0</v>
      </c>
      <c r="V149" s="283">
        <f t="shared" si="47"/>
        <v>0</v>
      </c>
      <c r="W149" s="283">
        <f t="shared" si="47"/>
        <v>0</v>
      </c>
      <c r="X149" s="283">
        <f t="shared" si="47"/>
        <v>0</v>
      </c>
      <c r="Y149" s="283">
        <f t="shared" si="47"/>
        <v>0</v>
      </c>
      <c r="Z149" s="283">
        <f t="shared" si="47"/>
        <v>0</v>
      </c>
      <c r="AA149" s="283">
        <f t="shared" si="47"/>
        <v>0</v>
      </c>
      <c r="AB149" s="283">
        <f t="shared" si="47"/>
        <v>0</v>
      </c>
      <c r="AC149" s="283">
        <f t="shared" si="47"/>
        <v>0</v>
      </c>
      <c r="AD149" s="283">
        <f t="shared" si="47"/>
        <v>0</v>
      </c>
      <c r="AE149" s="283">
        <f t="shared" si="47"/>
        <v>0</v>
      </c>
      <c r="AF149" s="283">
        <f t="shared" si="47"/>
        <v>0</v>
      </c>
      <c r="AG149" s="283">
        <f t="shared" si="47"/>
        <v>0</v>
      </c>
      <c r="AH149" s="283">
        <f t="shared" si="47"/>
        <v>0</v>
      </c>
      <c r="AI149" s="283">
        <f t="shared" si="47"/>
        <v>0</v>
      </c>
      <c r="AJ149" s="283">
        <f t="shared" si="47"/>
        <v>0</v>
      </c>
    </row>
    <row r="150" spans="2:36" ht="16">
      <c r="B150" s="263"/>
      <c r="C150" s="263"/>
      <c r="D150" s="263"/>
      <c r="E150" s="307"/>
      <c r="F150" s="307"/>
      <c r="G150" s="307"/>
      <c r="H150" s="307"/>
      <c r="I150" s="307"/>
      <c r="J150" s="307"/>
      <c r="K150" s="307"/>
      <c r="L150" s="307"/>
      <c r="M150" s="307"/>
      <c r="N150" s="307"/>
      <c r="O150" s="307"/>
      <c r="P150" s="307"/>
      <c r="Q150" s="307"/>
      <c r="R150" s="307"/>
      <c r="S150" s="307"/>
      <c r="T150" s="307"/>
      <c r="U150" s="307"/>
      <c r="V150" s="307"/>
      <c r="W150" s="307"/>
      <c r="X150" s="307"/>
      <c r="Y150" s="307"/>
      <c r="Z150" s="307"/>
      <c r="AA150" s="307"/>
      <c r="AB150" s="307"/>
      <c r="AC150" s="307"/>
      <c r="AD150" s="307"/>
      <c r="AE150" s="307"/>
      <c r="AF150" s="307"/>
      <c r="AG150" s="307"/>
      <c r="AH150" s="307"/>
      <c r="AI150" s="307"/>
      <c r="AJ150" s="307"/>
    </row>
    <row r="151" spans="2:36" ht="16">
      <c r="B151" s="263" t="s">
        <v>259</v>
      </c>
      <c r="C151" s="263"/>
      <c r="D151" s="263"/>
      <c r="E151" s="307"/>
      <c r="F151" s="307"/>
      <c r="G151" s="283">
        <f>G143+G147+G148</f>
        <v>0</v>
      </c>
      <c r="H151" s="283">
        <f t="shared" ref="H151:AJ151" si="48">H143+H147+H148</f>
        <v>0</v>
      </c>
      <c r="I151" s="283">
        <f t="shared" si="48"/>
        <v>0</v>
      </c>
      <c r="J151" s="283">
        <f t="shared" si="48"/>
        <v>0</v>
      </c>
      <c r="K151" s="283">
        <f t="shared" si="48"/>
        <v>0</v>
      </c>
      <c r="L151" s="283">
        <f t="shared" si="48"/>
        <v>0</v>
      </c>
      <c r="M151" s="283">
        <f t="shared" si="48"/>
        <v>0</v>
      </c>
      <c r="N151" s="283">
        <f t="shared" si="48"/>
        <v>0</v>
      </c>
      <c r="O151" s="283">
        <f t="shared" si="48"/>
        <v>0</v>
      </c>
      <c r="P151" s="283">
        <f t="shared" si="48"/>
        <v>0</v>
      </c>
      <c r="Q151" s="283">
        <f t="shared" si="48"/>
        <v>385015.82115489297</v>
      </c>
      <c r="R151" s="283">
        <f t="shared" si="48"/>
        <v>579670.32381326705</v>
      </c>
      <c r="S151" s="283">
        <f t="shared" si="48"/>
        <v>626563.67399310018</v>
      </c>
      <c r="T151" s="283">
        <f t="shared" si="48"/>
        <v>638225.47537930415</v>
      </c>
      <c r="U151" s="283">
        <f t="shared" si="48"/>
        <v>677791.9698497979</v>
      </c>
      <c r="V151" s="283">
        <f t="shared" si="48"/>
        <v>744280.50949355436</v>
      </c>
      <c r="W151" s="283">
        <f t="shared" si="48"/>
        <v>784732.54121545726</v>
      </c>
      <c r="X151" s="283">
        <f t="shared" si="48"/>
        <v>800451.59859291557</v>
      </c>
      <c r="Y151" s="283">
        <f t="shared" si="48"/>
        <v>815859.55568317208</v>
      </c>
      <c r="Z151" s="283">
        <f t="shared" si="48"/>
        <v>711482.18740459415</v>
      </c>
      <c r="AA151" s="283">
        <f t="shared" si="48"/>
        <v>649616.61602262908</v>
      </c>
      <c r="AB151" s="283">
        <f t="shared" si="48"/>
        <v>708949.49516807334</v>
      </c>
      <c r="AC151" s="283">
        <f t="shared" si="48"/>
        <v>740226.25079139392</v>
      </c>
      <c r="AD151" s="283">
        <f t="shared" si="48"/>
        <v>735357.5578801462</v>
      </c>
      <c r="AE151" s="283">
        <f t="shared" si="48"/>
        <v>757003.12203056994</v>
      </c>
      <c r="AF151" s="283">
        <f t="shared" si="48"/>
        <v>2.6193447411060332E-12</v>
      </c>
      <c r="AG151" s="283">
        <f t="shared" si="48"/>
        <v>0</v>
      </c>
      <c r="AH151" s="283">
        <f t="shared" si="48"/>
        <v>0</v>
      </c>
      <c r="AI151" s="283">
        <f t="shared" si="48"/>
        <v>0</v>
      </c>
      <c r="AJ151" s="283">
        <f t="shared" si="48"/>
        <v>0</v>
      </c>
    </row>
    <row r="152" spans="2:36" ht="16">
      <c r="B152" s="263"/>
      <c r="C152" s="263"/>
      <c r="D152" s="263"/>
      <c r="E152" s="307"/>
      <c r="F152" s="307"/>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283"/>
      <c r="AC152" s="283"/>
      <c r="AD152" s="283"/>
      <c r="AE152" s="283"/>
      <c r="AF152" s="283"/>
      <c r="AG152" s="283"/>
      <c r="AH152" s="283"/>
      <c r="AI152" s="283"/>
      <c r="AJ152" s="283"/>
    </row>
    <row r="153" spans="2:36" ht="16">
      <c r="B153" s="346" t="s">
        <v>311</v>
      </c>
      <c r="C153" s="346"/>
      <c r="D153" s="346"/>
      <c r="E153" s="307"/>
      <c r="F153" s="307"/>
      <c r="G153" s="283"/>
      <c r="H153" s="283"/>
      <c r="I153" s="283"/>
      <c r="J153" s="283"/>
      <c r="K153" s="283"/>
      <c r="L153" s="283"/>
      <c r="M153" s="283"/>
      <c r="N153" s="283"/>
      <c r="O153" s="283"/>
      <c r="P153" s="283"/>
      <c r="Q153" s="283"/>
      <c r="R153" s="283"/>
      <c r="S153" s="283"/>
      <c r="T153" s="283"/>
      <c r="U153" s="283"/>
      <c r="V153" s="283"/>
      <c r="W153" s="283"/>
      <c r="X153" s="283"/>
      <c r="Y153" s="283"/>
      <c r="Z153" s="283"/>
      <c r="AA153" s="283"/>
      <c r="AB153" s="283"/>
      <c r="AC153" s="283"/>
      <c r="AD153" s="283"/>
      <c r="AE153" s="283"/>
      <c r="AF153" s="283"/>
      <c r="AG153" s="283"/>
      <c r="AH153" s="283"/>
      <c r="AI153" s="283"/>
      <c r="AJ153" s="283"/>
    </row>
    <row r="154" spans="2:36" ht="16">
      <c r="B154" s="263" t="s">
        <v>256</v>
      </c>
      <c r="C154" s="263"/>
      <c r="D154" s="263"/>
      <c r="E154" s="307"/>
      <c r="F154" s="307"/>
      <c r="G154" s="283">
        <v>0</v>
      </c>
      <c r="H154" s="283">
        <f>G157</f>
        <v>3594281.6512680827</v>
      </c>
      <c r="I154" s="283">
        <f t="shared" ref="I154:AJ154" si="49">H157</f>
        <v>3830530.0459107868</v>
      </c>
      <c r="J154" s="283">
        <f t="shared" si="49"/>
        <v>3726891.5279529328</v>
      </c>
      <c r="K154" s="283">
        <f t="shared" si="49"/>
        <v>3415699.3158683809</v>
      </c>
      <c r="L154" s="283">
        <f t="shared" si="49"/>
        <v>3095198.9361149548</v>
      </c>
      <c r="M154" s="283">
        <f t="shared" si="49"/>
        <v>2616778.8453622148</v>
      </c>
      <c r="N154" s="283">
        <f t="shared" si="49"/>
        <v>1981215.4361547534</v>
      </c>
      <c r="O154" s="283">
        <f t="shared" si="49"/>
        <v>1337704.959348619</v>
      </c>
      <c r="P154" s="283">
        <f t="shared" si="49"/>
        <v>685849.8913420816</v>
      </c>
      <c r="Q154" s="283">
        <f t="shared" si="49"/>
        <v>124315.49142060918</v>
      </c>
      <c r="R154" s="283">
        <f t="shared" si="49"/>
        <v>0</v>
      </c>
      <c r="S154" s="283">
        <f t="shared" si="49"/>
        <v>0</v>
      </c>
      <c r="T154" s="283">
        <f t="shared" si="49"/>
        <v>0</v>
      </c>
      <c r="U154" s="283">
        <f t="shared" si="49"/>
        <v>0</v>
      </c>
      <c r="V154" s="283">
        <f t="shared" si="49"/>
        <v>0</v>
      </c>
      <c r="W154" s="283">
        <f t="shared" si="49"/>
        <v>0</v>
      </c>
      <c r="X154" s="283">
        <f t="shared" si="49"/>
        <v>0</v>
      </c>
      <c r="Y154" s="283">
        <f t="shared" si="49"/>
        <v>0</v>
      </c>
      <c r="Z154" s="283">
        <f t="shared" si="49"/>
        <v>0</v>
      </c>
      <c r="AA154" s="283">
        <f t="shared" si="49"/>
        <v>0</v>
      </c>
      <c r="AB154" s="283">
        <f t="shared" si="49"/>
        <v>0</v>
      </c>
      <c r="AC154" s="283">
        <f t="shared" si="49"/>
        <v>0</v>
      </c>
      <c r="AD154" s="283">
        <f t="shared" si="49"/>
        <v>0</v>
      </c>
      <c r="AE154" s="283">
        <f t="shared" si="49"/>
        <v>0</v>
      </c>
      <c r="AF154" s="283">
        <f t="shared" si="49"/>
        <v>0</v>
      </c>
      <c r="AG154" s="283">
        <f t="shared" si="49"/>
        <v>0</v>
      </c>
      <c r="AH154" s="283">
        <f t="shared" si="49"/>
        <v>0</v>
      </c>
      <c r="AI154" s="283">
        <f t="shared" si="49"/>
        <v>0</v>
      </c>
      <c r="AJ154" s="283">
        <f t="shared" si="49"/>
        <v>0</v>
      </c>
    </row>
    <row r="155" spans="2:36" ht="16">
      <c r="B155" s="263" t="s">
        <v>257</v>
      </c>
      <c r="C155" s="263"/>
      <c r="D155" s="263"/>
      <c r="E155" s="307"/>
      <c r="F155" s="307"/>
      <c r="G155" s="283">
        <f>IF(G$143&gt;0,0,-G$143)</f>
        <v>3594281.6512680827</v>
      </c>
      <c r="H155" s="283">
        <f t="shared" ref="H155:AJ155" si="50">IF(H$143&gt;0,0,-H$143)</f>
        <v>236248.39464270393</v>
      </c>
      <c r="I155" s="283">
        <f t="shared" si="50"/>
        <v>0</v>
      </c>
      <c r="J155" s="283">
        <f t="shared" si="50"/>
        <v>0</v>
      </c>
      <c r="K155" s="283">
        <f t="shared" si="50"/>
        <v>0</v>
      </c>
      <c r="L155" s="283">
        <f t="shared" si="50"/>
        <v>0</v>
      </c>
      <c r="M155" s="283">
        <f t="shared" si="50"/>
        <v>0</v>
      </c>
      <c r="N155" s="283">
        <f t="shared" si="50"/>
        <v>0</v>
      </c>
      <c r="O155" s="283">
        <f t="shared" si="50"/>
        <v>0</v>
      </c>
      <c r="P155" s="283">
        <f t="shared" si="50"/>
        <v>0</v>
      </c>
      <c r="Q155" s="283">
        <f t="shared" si="50"/>
        <v>0</v>
      </c>
      <c r="R155" s="283">
        <f t="shared" si="50"/>
        <v>0</v>
      </c>
      <c r="S155" s="283">
        <f t="shared" si="50"/>
        <v>0</v>
      </c>
      <c r="T155" s="283">
        <f t="shared" si="50"/>
        <v>0</v>
      </c>
      <c r="U155" s="283">
        <f t="shared" si="50"/>
        <v>0</v>
      </c>
      <c r="V155" s="283">
        <f t="shared" si="50"/>
        <v>0</v>
      </c>
      <c r="W155" s="283">
        <f t="shared" si="50"/>
        <v>0</v>
      </c>
      <c r="X155" s="283">
        <f t="shared" si="50"/>
        <v>0</v>
      </c>
      <c r="Y155" s="283">
        <f t="shared" si="50"/>
        <v>0</v>
      </c>
      <c r="Z155" s="283">
        <f t="shared" si="50"/>
        <v>0</v>
      </c>
      <c r="AA155" s="283">
        <f t="shared" si="50"/>
        <v>0</v>
      </c>
      <c r="AB155" s="283">
        <f t="shared" si="50"/>
        <v>0</v>
      </c>
      <c r="AC155" s="283">
        <f t="shared" si="50"/>
        <v>0</v>
      </c>
      <c r="AD155" s="283">
        <f t="shared" si="50"/>
        <v>0</v>
      </c>
      <c r="AE155" s="283">
        <f t="shared" si="50"/>
        <v>0</v>
      </c>
      <c r="AF155" s="283">
        <f t="shared" si="50"/>
        <v>0</v>
      </c>
      <c r="AG155" s="283">
        <f t="shared" si="50"/>
        <v>0</v>
      </c>
      <c r="AH155" s="283">
        <f t="shared" si="50"/>
        <v>0</v>
      </c>
      <c r="AI155" s="283">
        <f t="shared" si="50"/>
        <v>0</v>
      </c>
      <c r="AJ155" s="283">
        <f t="shared" si="50"/>
        <v>0</v>
      </c>
    </row>
    <row r="156" spans="2:36" ht="16">
      <c r="B156" s="263" t="s">
        <v>255</v>
      </c>
      <c r="C156" s="263"/>
      <c r="D156" s="263"/>
      <c r="E156" s="307"/>
      <c r="F156" s="307"/>
      <c r="G156" s="283">
        <f t="shared" ref="G156:AJ156" si="51">IF(G$143&lt;=0,0,-MIN(G$143,F$149))</f>
        <v>0</v>
      </c>
      <c r="H156" s="283">
        <f t="shared" si="51"/>
        <v>0</v>
      </c>
      <c r="I156" s="283">
        <f t="shared" si="51"/>
        <v>-103638.5179578542</v>
      </c>
      <c r="J156" s="283">
        <f t="shared" si="51"/>
        <v>-311192.21208455163</v>
      </c>
      <c r="K156" s="283">
        <f t="shared" si="51"/>
        <v>-320500.37975342624</v>
      </c>
      <c r="L156" s="283">
        <f t="shared" si="51"/>
        <v>-478420.09075273998</v>
      </c>
      <c r="M156" s="283">
        <f t="shared" si="51"/>
        <v>-635563.40920746152</v>
      </c>
      <c r="N156" s="283">
        <f t="shared" si="51"/>
        <v>-643510.47680613457</v>
      </c>
      <c r="O156" s="283">
        <f t="shared" si="51"/>
        <v>-651855.06800653739</v>
      </c>
      <c r="P156" s="283">
        <f t="shared" si="51"/>
        <v>-561534.39992147242</v>
      </c>
      <c r="Q156" s="283">
        <f t="shared" si="51"/>
        <v>-124315.49142060918</v>
      </c>
      <c r="R156" s="283">
        <f t="shared" si="51"/>
        <v>0</v>
      </c>
      <c r="S156" s="283">
        <f t="shared" si="51"/>
        <v>0</v>
      </c>
      <c r="T156" s="283">
        <f t="shared" si="51"/>
        <v>0</v>
      </c>
      <c r="U156" s="283">
        <f t="shared" si="51"/>
        <v>0</v>
      </c>
      <c r="V156" s="283">
        <f t="shared" si="51"/>
        <v>0</v>
      </c>
      <c r="W156" s="283">
        <f t="shared" si="51"/>
        <v>0</v>
      </c>
      <c r="X156" s="283">
        <f t="shared" si="51"/>
        <v>0</v>
      </c>
      <c r="Y156" s="283">
        <f t="shared" si="51"/>
        <v>0</v>
      </c>
      <c r="Z156" s="283">
        <f t="shared" si="51"/>
        <v>0</v>
      </c>
      <c r="AA156" s="283">
        <f t="shared" si="51"/>
        <v>0</v>
      </c>
      <c r="AB156" s="283">
        <f t="shared" si="51"/>
        <v>0</v>
      </c>
      <c r="AC156" s="283">
        <f t="shared" si="51"/>
        <v>0</v>
      </c>
      <c r="AD156" s="283">
        <f t="shared" si="51"/>
        <v>0</v>
      </c>
      <c r="AE156" s="283">
        <f t="shared" si="51"/>
        <v>0</v>
      </c>
      <c r="AF156" s="283">
        <f t="shared" si="51"/>
        <v>0</v>
      </c>
      <c r="AG156" s="283">
        <f t="shared" si="51"/>
        <v>0</v>
      </c>
      <c r="AH156" s="283">
        <f t="shared" si="51"/>
        <v>0</v>
      </c>
      <c r="AI156" s="283">
        <f t="shared" si="51"/>
        <v>0</v>
      </c>
      <c r="AJ156" s="283">
        <f t="shared" si="51"/>
        <v>0</v>
      </c>
    </row>
    <row r="157" spans="2:36" ht="16">
      <c r="B157" s="263" t="s">
        <v>258</v>
      </c>
      <c r="C157" s="263"/>
      <c r="D157" s="263"/>
      <c r="E157" s="307"/>
      <c r="F157" s="307"/>
      <c r="G157" s="283">
        <f>SUM(G154:G156)</f>
        <v>3594281.6512680827</v>
      </c>
      <c r="H157" s="283">
        <f t="shared" ref="H157:AJ157" si="52">SUM(H154:H156)</f>
        <v>3830530.0459107868</v>
      </c>
      <c r="I157" s="283">
        <f t="shared" si="52"/>
        <v>3726891.5279529328</v>
      </c>
      <c r="J157" s="283">
        <f t="shared" si="52"/>
        <v>3415699.3158683809</v>
      </c>
      <c r="K157" s="283">
        <f t="shared" si="52"/>
        <v>3095198.9361149548</v>
      </c>
      <c r="L157" s="283">
        <f t="shared" si="52"/>
        <v>2616778.8453622148</v>
      </c>
      <c r="M157" s="283">
        <f t="shared" si="52"/>
        <v>1981215.4361547534</v>
      </c>
      <c r="N157" s="283">
        <f t="shared" si="52"/>
        <v>1337704.959348619</v>
      </c>
      <c r="O157" s="283">
        <f t="shared" si="52"/>
        <v>685849.8913420816</v>
      </c>
      <c r="P157" s="283">
        <f t="shared" si="52"/>
        <v>124315.49142060918</v>
      </c>
      <c r="Q157" s="283">
        <f t="shared" si="52"/>
        <v>0</v>
      </c>
      <c r="R157" s="283">
        <f t="shared" si="52"/>
        <v>0</v>
      </c>
      <c r="S157" s="283">
        <f t="shared" si="52"/>
        <v>0</v>
      </c>
      <c r="T157" s="283">
        <f t="shared" si="52"/>
        <v>0</v>
      </c>
      <c r="U157" s="283">
        <f t="shared" si="52"/>
        <v>0</v>
      </c>
      <c r="V157" s="283">
        <f t="shared" si="52"/>
        <v>0</v>
      </c>
      <c r="W157" s="283">
        <f t="shared" si="52"/>
        <v>0</v>
      </c>
      <c r="X157" s="283">
        <f t="shared" si="52"/>
        <v>0</v>
      </c>
      <c r="Y157" s="283">
        <f t="shared" si="52"/>
        <v>0</v>
      </c>
      <c r="Z157" s="283">
        <f t="shared" si="52"/>
        <v>0</v>
      </c>
      <c r="AA157" s="283">
        <f t="shared" si="52"/>
        <v>0</v>
      </c>
      <c r="AB157" s="283">
        <f t="shared" si="52"/>
        <v>0</v>
      </c>
      <c r="AC157" s="283">
        <f t="shared" si="52"/>
        <v>0</v>
      </c>
      <c r="AD157" s="283">
        <f t="shared" si="52"/>
        <v>0</v>
      </c>
      <c r="AE157" s="283">
        <f t="shared" si="52"/>
        <v>0</v>
      </c>
      <c r="AF157" s="283">
        <f t="shared" si="52"/>
        <v>0</v>
      </c>
      <c r="AG157" s="283">
        <f t="shared" si="52"/>
        <v>0</v>
      </c>
      <c r="AH157" s="283">
        <f t="shared" si="52"/>
        <v>0</v>
      </c>
      <c r="AI157" s="283">
        <f t="shared" si="52"/>
        <v>0</v>
      </c>
      <c r="AJ157" s="283">
        <f t="shared" si="52"/>
        <v>0</v>
      </c>
    </row>
    <row r="158" spans="2:36" ht="16">
      <c r="B158" s="263"/>
      <c r="C158" s="263"/>
      <c r="D158" s="263"/>
      <c r="E158" s="307"/>
      <c r="F158" s="307"/>
      <c r="G158" s="307"/>
      <c r="H158" s="307"/>
      <c r="I158" s="307"/>
      <c r="J158" s="307"/>
      <c r="K158" s="307"/>
      <c r="L158" s="307"/>
      <c r="M158" s="307"/>
      <c r="N158" s="307"/>
      <c r="O158" s="307"/>
      <c r="P158" s="307"/>
      <c r="Q158" s="307"/>
      <c r="R158" s="307"/>
      <c r="S158" s="307"/>
      <c r="T158" s="307"/>
      <c r="U158" s="307"/>
      <c r="V158" s="307"/>
      <c r="W158" s="307"/>
      <c r="X158" s="307"/>
      <c r="Y158" s="307"/>
      <c r="Z158" s="307"/>
      <c r="AA158" s="307"/>
      <c r="AB158" s="307"/>
      <c r="AC158" s="307"/>
      <c r="AD158" s="307"/>
      <c r="AE158" s="307"/>
      <c r="AF158" s="307"/>
      <c r="AG158" s="307"/>
      <c r="AH158" s="307"/>
      <c r="AI158" s="307"/>
      <c r="AJ158" s="307"/>
    </row>
    <row r="159" spans="2:36" ht="16">
      <c r="B159" s="263" t="s">
        <v>259</v>
      </c>
      <c r="C159" s="263"/>
      <c r="D159" s="263"/>
      <c r="E159" s="307"/>
      <c r="F159" s="307"/>
      <c r="G159" s="283">
        <f>G143+G155+G156</f>
        <v>0</v>
      </c>
      <c r="H159" s="283">
        <f t="shared" ref="H159:AJ159" si="53">H143+H155+H156</f>
        <v>0</v>
      </c>
      <c r="I159" s="283">
        <f t="shared" si="53"/>
        <v>0</v>
      </c>
      <c r="J159" s="283">
        <f t="shared" si="53"/>
        <v>0</v>
      </c>
      <c r="K159" s="283">
        <f t="shared" si="53"/>
        <v>0</v>
      </c>
      <c r="L159" s="283">
        <f t="shared" si="53"/>
        <v>0</v>
      </c>
      <c r="M159" s="283">
        <f t="shared" si="53"/>
        <v>0</v>
      </c>
      <c r="N159" s="283">
        <f t="shared" si="53"/>
        <v>0</v>
      </c>
      <c r="O159" s="283">
        <f t="shared" si="53"/>
        <v>0</v>
      </c>
      <c r="P159" s="283">
        <f t="shared" si="53"/>
        <v>0</v>
      </c>
      <c r="Q159" s="283">
        <f t="shared" si="53"/>
        <v>385015.82115489297</v>
      </c>
      <c r="R159" s="283">
        <f t="shared" si="53"/>
        <v>579670.32381326705</v>
      </c>
      <c r="S159" s="283">
        <f t="shared" si="53"/>
        <v>626563.67399310018</v>
      </c>
      <c r="T159" s="283">
        <f t="shared" si="53"/>
        <v>638225.47537930415</v>
      </c>
      <c r="U159" s="283">
        <f t="shared" si="53"/>
        <v>677791.9698497979</v>
      </c>
      <c r="V159" s="283">
        <f t="shared" si="53"/>
        <v>744280.50949355436</v>
      </c>
      <c r="W159" s="283">
        <f t="shared" si="53"/>
        <v>784732.54121545726</v>
      </c>
      <c r="X159" s="283">
        <f t="shared" si="53"/>
        <v>800451.59859291557</v>
      </c>
      <c r="Y159" s="283">
        <f t="shared" si="53"/>
        <v>815859.55568317208</v>
      </c>
      <c r="Z159" s="283">
        <f t="shared" si="53"/>
        <v>711482.18740459415</v>
      </c>
      <c r="AA159" s="283">
        <f t="shared" si="53"/>
        <v>649616.61602262908</v>
      </c>
      <c r="AB159" s="283">
        <f t="shared" si="53"/>
        <v>708949.49516807334</v>
      </c>
      <c r="AC159" s="283">
        <f t="shared" si="53"/>
        <v>740226.25079139392</v>
      </c>
      <c r="AD159" s="283">
        <f t="shared" si="53"/>
        <v>735357.5578801462</v>
      </c>
      <c r="AE159" s="283">
        <f t="shared" si="53"/>
        <v>757003.12203056994</v>
      </c>
      <c r="AF159" s="283">
        <f t="shared" si="53"/>
        <v>2.6193447411060332E-12</v>
      </c>
      <c r="AG159" s="283">
        <f t="shared" si="53"/>
        <v>0</v>
      </c>
      <c r="AH159" s="283">
        <f t="shared" si="53"/>
        <v>0</v>
      </c>
      <c r="AI159" s="283">
        <f t="shared" si="53"/>
        <v>0</v>
      </c>
      <c r="AJ159" s="283">
        <f t="shared" si="53"/>
        <v>0</v>
      </c>
    </row>
    <row r="160" spans="2:36" ht="16" thickBot="1">
      <c r="B160" s="309"/>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c r="AC160" s="309"/>
      <c r="AD160" s="309"/>
      <c r="AE160" s="309"/>
      <c r="AF160" s="309"/>
      <c r="AG160" s="309"/>
      <c r="AH160" s="309"/>
      <c r="AI160" s="309"/>
      <c r="AJ160" s="309"/>
    </row>
    <row r="161" spans="2:36" s="28" customFormat="1" ht="16">
      <c r="B161" s="263"/>
      <c r="C161" s="263"/>
      <c r="D161" s="263"/>
      <c r="E161" s="263"/>
      <c r="F161" s="278"/>
      <c r="G161" s="288"/>
      <c r="H161" s="289"/>
      <c r="I161" s="263"/>
      <c r="J161" s="263"/>
      <c r="K161" s="263"/>
      <c r="L161" s="263"/>
      <c r="M161" s="263"/>
      <c r="N161" s="263"/>
      <c r="O161" s="263"/>
      <c r="P161" s="263"/>
      <c r="Q161" s="263"/>
      <c r="R161" s="263"/>
      <c r="S161" s="263"/>
      <c r="T161" s="263"/>
      <c r="U161" s="263"/>
      <c r="V161" s="263"/>
      <c r="W161" s="263"/>
      <c r="X161" s="263"/>
      <c r="Y161" s="263"/>
      <c r="Z161" s="263"/>
      <c r="AA161" s="263"/>
      <c r="AB161" s="263"/>
      <c r="AC161" s="263"/>
      <c r="AD161" s="263"/>
      <c r="AE161" s="263"/>
      <c r="AF161" s="263"/>
      <c r="AG161" s="263"/>
      <c r="AH161" s="263"/>
      <c r="AI161" s="263"/>
      <c r="AJ161" s="263"/>
    </row>
    <row r="162" spans="2:36" s="28" customFormat="1" ht="16">
      <c r="B162" s="262" t="s">
        <v>261</v>
      </c>
      <c r="C162" s="262"/>
      <c r="D162" s="262"/>
      <c r="E162" s="263"/>
      <c r="F162" s="278"/>
      <c r="G162" s="288"/>
      <c r="H162" s="289"/>
      <c r="I162" s="263"/>
      <c r="J162" s="263"/>
      <c r="K162" s="263"/>
      <c r="L162" s="263"/>
      <c r="M162" s="263"/>
      <c r="N162" s="263"/>
      <c r="O162" s="263"/>
      <c r="P162" s="263"/>
      <c r="Q162" s="263"/>
      <c r="R162" s="263"/>
      <c r="S162" s="263"/>
      <c r="T162" s="263"/>
      <c r="U162" s="263"/>
      <c r="V162" s="263"/>
      <c r="W162" s="263"/>
      <c r="X162" s="263"/>
      <c r="Y162" s="263"/>
      <c r="Z162" s="263"/>
      <c r="AA162" s="263"/>
      <c r="AB162" s="263"/>
      <c r="AC162" s="263"/>
      <c r="AD162" s="263"/>
      <c r="AE162" s="263"/>
      <c r="AF162" s="263"/>
      <c r="AG162" s="263"/>
      <c r="AH162" s="263"/>
      <c r="AI162" s="263"/>
      <c r="AJ162" s="263"/>
    </row>
    <row r="163" spans="2:36" s="28" customFormat="1" ht="16">
      <c r="B163" s="263" t="s">
        <v>262</v>
      </c>
      <c r="C163" s="263"/>
      <c r="D163" s="263"/>
      <c r="E163" s="263"/>
      <c r="F163" s="278"/>
      <c r="G163" s="345">
        <f>IF(OR(Inputs!$G$73="No",Inputs!$Q$19="Performance-Based",Inputs!$Q$19="Neither"),0,IF(AND(Inputs!$Q$20="ITC",G$2=1),Inputs!$Q$23,IF(G$2&gt;1,0,IF(Inputs!$Q$20="Cash Grant",0,"ERROR"))))</f>
        <v>0</v>
      </c>
      <c r="H163" s="345">
        <f>IF(OR(Inputs!$G$73="No",Inputs!$Q$19="Performance-Based",Inputs!$Q$19="Neither"),0,IF(AND(Inputs!$Q$20="ITC",H$2=1),Inputs!$Q$23,IF(H$2&gt;1,0,IF(Inputs!$Q$20="Cash Grant",0,"ERROR"))))</f>
        <v>0</v>
      </c>
      <c r="I163" s="345">
        <f>IF(OR(Inputs!$G$73="No",Inputs!$Q$19="Performance-Based",Inputs!$Q$19="Neither"),0,IF(AND(Inputs!$Q$20="ITC",I$2=1),Inputs!$Q$23,IF(I$2&gt;1,0,IF(Inputs!$Q$20="Cash Grant",0,"ERROR"))))</f>
        <v>0</v>
      </c>
      <c r="J163" s="345">
        <f>IF(OR(Inputs!$G$73="No",Inputs!$Q$19="Performance-Based",Inputs!$Q$19="Neither"),0,IF(AND(Inputs!$Q$20="ITC",J$2=1),Inputs!$Q$23,IF(J$2&gt;1,0,IF(Inputs!$Q$20="Cash Grant",0,"ERROR"))))</f>
        <v>0</v>
      </c>
      <c r="K163" s="345">
        <f>IF(OR(Inputs!$G$73="No",Inputs!$Q$19="Performance-Based",Inputs!$Q$19="Neither"),0,IF(AND(Inputs!$Q$20="ITC",K$2=1),Inputs!$Q$23,IF(K$2&gt;1,0,IF(Inputs!$Q$20="Cash Grant",0,"ERROR"))))</f>
        <v>0</v>
      </c>
      <c r="L163" s="345">
        <f>IF(OR(Inputs!$G$73="No",Inputs!$Q$19="Performance-Based",Inputs!$Q$19="Neither"),0,IF(AND(Inputs!$Q$20="ITC",L$2=1),Inputs!$Q$23,IF(L$2&gt;1,0,IF(Inputs!$Q$20="Cash Grant",0,"ERROR"))))</f>
        <v>0</v>
      </c>
      <c r="M163" s="345">
        <f>IF(OR(Inputs!$G$73="No",Inputs!$Q$19="Performance-Based",Inputs!$Q$19="Neither"),0,IF(AND(Inputs!$Q$20="ITC",M$2=1),Inputs!$Q$23,IF(M$2&gt;1,0,IF(Inputs!$Q$20="Cash Grant",0,"ERROR"))))</f>
        <v>0</v>
      </c>
      <c r="N163" s="345">
        <f>IF(OR(Inputs!$G$73="No",Inputs!$Q$19="Performance-Based",Inputs!$Q$19="Neither"),0,IF(AND(Inputs!$Q$20="ITC",N$2=1),Inputs!$Q$23,IF(N$2&gt;1,0,IF(Inputs!$Q$20="Cash Grant",0,"ERROR"))))</f>
        <v>0</v>
      </c>
      <c r="O163" s="345">
        <f>IF(OR(Inputs!$G$73="No",Inputs!$Q$19="Performance-Based",Inputs!$Q$19="Neither"),0,IF(AND(Inputs!$Q$20="ITC",O$2=1),Inputs!$Q$23,IF(O$2&gt;1,0,IF(Inputs!$Q$20="Cash Grant",0,"ERROR"))))</f>
        <v>0</v>
      </c>
      <c r="P163" s="345">
        <f>IF(OR(Inputs!$G$73="No",Inputs!$Q$19="Performance-Based",Inputs!$Q$19="Neither"),0,IF(AND(Inputs!$Q$20="ITC",P$2=1),Inputs!$Q$23,IF(P$2&gt;1,0,IF(Inputs!$Q$20="Cash Grant",0,"ERROR"))))</f>
        <v>0</v>
      </c>
      <c r="Q163" s="345">
        <f>IF(OR(Inputs!$G$73="No",Inputs!$Q$19="Performance-Based",Inputs!$Q$19="Neither"),0,IF(AND(Inputs!$Q$20="ITC",Q$2=1),Inputs!$Q$23,IF(Q$2&gt;1,0,IF(Inputs!$Q$20="Cash Grant",0,"ERROR"))))</f>
        <v>0</v>
      </c>
      <c r="R163" s="345">
        <f>IF(OR(Inputs!$G$73="No",Inputs!$Q$19="Performance-Based",Inputs!$Q$19="Neither"),0,IF(AND(Inputs!$Q$20="ITC",R$2=1),Inputs!$Q$23,IF(R$2&gt;1,0,IF(Inputs!$Q$20="Cash Grant",0,"ERROR"))))</f>
        <v>0</v>
      </c>
      <c r="S163" s="345">
        <f>IF(OR(Inputs!$G$73="No",Inputs!$Q$19="Performance-Based",Inputs!$Q$19="Neither"),0,IF(AND(Inputs!$Q$20="ITC",S$2=1),Inputs!$Q$23,IF(S$2&gt;1,0,IF(Inputs!$Q$20="Cash Grant",0,"ERROR"))))</f>
        <v>0</v>
      </c>
      <c r="T163" s="345">
        <f>IF(OR(Inputs!$G$73="No",Inputs!$Q$19="Performance-Based",Inputs!$Q$19="Neither"),0,IF(AND(Inputs!$Q$20="ITC",T$2=1),Inputs!$Q$23,IF(T$2&gt;1,0,IF(Inputs!$Q$20="Cash Grant",0,"ERROR"))))</f>
        <v>0</v>
      </c>
      <c r="U163" s="345">
        <f>IF(OR(Inputs!$G$73="No",Inputs!$Q$19="Performance-Based",Inputs!$Q$19="Neither"),0,IF(AND(Inputs!$Q$20="ITC",U$2=1),Inputs!$Q$23,IF(U$2&gt;1,0,IF(Inputs!$Q$20="Cash Grant",0,"ERROR"))))</f>
        <v>0</v>
      </c>
      <c r="V163" s="345">
        <f>IF(OR(Inputs!$G$73="No",Inputs!$Q$19="Performance-Based",Inputs!$Q$19="Neither"),0,IF(AND(Inputs!$Q$20="ITC",V$2=1),Inputs!$Q$23,IF(V$2&gt;1,0,IF(Inputs!$Q$20="Cash Grant",0,"ERROR"))))</f>
        <v>0</v>
      </c>
      <c r="W163" s="345">
        <f>IF(OR(Inputs!$G$73="No",Inputs!$Q$19="Performance-Based",Inputs!$Q$19="Neither"),0,IF(AND(Inputs!$Q$20="ITC",W$2=1),Inputs!$Q$23,IF(W$2&gt;1,0,IF(Inputs!$Q$20="Cash Grant",0,"ERROR"))))</f>
        <v>0</v>
      </c>
      <c r="X163" s="345">
        <f>IF(OR(Inputs!$G$73="No",Inputs!$Q$19="Performance-Based",Inputs!$Q$19="Neither"),0,IF(AND(Inputs!$Q$20="ITC",X$2=1),Inputs!$Q$23,IF(X$2&gt;1,0,IF(Inputs!$Q$20="Cash Grant",0,"ERROR"))))</f>
        <v>0</v>
      </c>
      <c r="Y163" s="345">
        <f>IF(OR(Inputs!$G$73="No",Inputs!$Q$19="Performance-Based",Inputs!$Q$19="Neither"),0,IF(AND(Inputs!$Q$20="ITC",Y$2=1),Inputs!$Q$23,IF(Y$2&gt;1,0,IF(Inputs!$Q$20="Cash Grant",0,"ERROR"))))</f>
        <v>0</v>
      </c>
      <c r="Z163" s="345">
        <f>IF(OR(Inputs!$G$73="No",Inputs!$Q$19="Performance-Based",Inputs!$Q$19="Neither"),0,IF(AND(Inputs!$Q$20="ITC",Z$2=1),Inputs!$Q$23,IF(Z$2&gt;1,0,IF(Inputs!$Q$20="Cash Grant",0,"ERROR"))))</f>
        <v>0</v>
      </c>
      <c r="AA163" s="345">
        <f>IF(OR(Inputs!$G$73="No",Inputs!$Q$19="Performance-Based",Inputs!$Q$19="Neither"),0,IF(AND(Inputs!$Q$20="ITC",AA$2=1),Inputs!$Q$23,IF(AA$2&gt;1,0,IF(Inputs!$Q$20="Cash Grant",0,"ERROR"))))</f>
        <v>0</v>
      </c>
      <c r="AB163" s="345">
        <f>IF(OR(Inputs!$G$73="No",Inputs!$Q$19="Performance-Based",Inputs!$Q$19="Neither"),0,IF(AND(Inputs!$Q$20="ITC",AB$2=1),Inputs!$Q$23,IF(AB$2&gt;1,0,IF(Inputs!$Q$20="Cash Grant",0,"ERROR"))))</f>
        <v>0</v>
      </c>
      <c r="AC163" s="345">
        <f>IF(OR(Inputs!$G$73="No",Inputs!$Q$19="Performance-Based",Inputs!$Q$19="Neither"),0,IF(AND(Inputs!$Q$20="ITC",AC$2=1),Inputs!$Q$23,IF(AC$2&gt;1,0,IF(Inputs!$Q$20="Cash Grant",0,"ERROR"))))</f>
        <v>0</v>
      </c>
      <c r="AD163" s="345">
        <f>IF(OR(Inputs!$G$73="No",Inputs!$Q$19="Performance-Based",Inputs!$Q$19="Neither"),0,IF(AND(Inputs!$Q$20="ITC",AD$2=1),Inputs!$Q$23,IF(AD$2&gt;1,0,IF(Inputs!$Q$20="Cash Grant",0,"ERROR"))))</f>
        <v>0</v>
      </c>
      <c r="AE163" s="345">
        <f>IF(OR(Inputs!$G$73="No",Inputs!$Q$19="Performance-Based",Inputs!$Q$19="Neither"),0,IF(AND(Inputs!$Q$20="ITC",AE$2=1),Inputs!$Q$23,IF(AE$2&gt;1,0,IF(Inputs!$Q$20="Cash Grant",0,"ERROR"))))</f>
        <v>0</v>
      </c>
      <c r="AF163" s="345">
        <f>IF(OR(Inputs!$G$73="No",Inputs!$Q$19="Performance-Based",Inputs!$Q$19="Neither"),0,IF(AND(Inputs!$Q$20="ITC",AF$2=1),Inputs!$Q$23,IF(AF$2&gt;1,0,IF(Inputs!$Q$20="Cash Grant",0,"ERROR"))))</f>
        <v>0</v>
      </c>
      <c r="AG163" s="345">
        <f>IF(OR(Inputs!$G$73="No",Inputs!$Q$19="Performance-Based",Inputs!$Q$19="Neither"),0,IF(AND(Inputs!$Q$20="ITC",AG$2=1),Inputs!$Q$23,IF(AG$2&gt;1,0,IF(Inputs!$Q$20="Cash Grant",0,"ERROR"))))</f>
        <v>0</v>
      </c>
      <c r="AH163" s="345">
        <f>IF(OR(Inputs!$G$73="No",Inputs!$Q$19="Performance-Based",Inputs!$Q$19="Neither"),0,IF(AND(Inputs!$Q$20="ITC",AH$2=1),Inputs!$Q$23,IF(AH$2&gt;1,0,IF(Inputs!$Q$20="Cash Grant",0,"ERROR"))))</f>
        <v>0</v>
      </c>
      <c r="AI163" s="345">
        <f>IF(OR(Inputs!$G$73="No",Inputs!$Q$19="Performance-Based",Inputs!$Q$19="Neither"),0,IF(AND(Inputs!$Q$20="ITC",AI$2=1),Inputs!$Q$23,IF(AI$2&gt;1,0,IF(Inputs!$Q$20="Cash Grant",0,"ERROR"))))</f>
        <v>0</v>
      </c>
      <c r="AJ163" s="345">
        <f>IF(OR(Inputs!$G$73="No",Inputs!$Q$19="Performance-Based",Inputs!$Q$19="Neither"),0,IF(AND(Inputs!$Q$20="ITC",AJ$2=1),Inputs!$Q$23,IF(AJ$2&gt;1,0,IF(Inputs!$Q$20="Cash Grant",0,"ERROR"))))</f>
        <v>0</v>
      </c>
    </row>
    <row r="164" spans="2:36" s="28" customFormat="1" ht="16">
      <c r="B164" s="263" t="s">
        <v>220</v>
      </c>
      <c r="C164" s="263"/>
      <c r="D164" s="263"/>
      <c r="E164" s="263"/>
      <c r="F164" s="278"/>
      <c r="G164" s="283">
        <f>IF(OR(Inputs!$G$73="No",Inputs!$Q$19="Cost-Based",Inputs!$Q$19="Neither"),0,IF(Inputs!$Q$24="Tax Credit",IF(G$2&gt;Inputs!$Q$27,0,Inputs!$Q$25/100*G$9*Inputs!$Q$26*G$5*(1-MIN(Inputs!$Q$29/Inputs!$G$26,50%))),0))</f>
        <v>0</v>
      </c>
      <c r="H164" s="283">
        <f>IF(OR(Inputs!$G$73="No",Inputs!$Q$19="Cost-Based",Inputs!$Q$19="Neither"),0,IF(Inputs!$Q$24="Tax Credit",IF(H$2&gt;Inputs!$Q$27,0,Inputs!$Q$25/100*H$9*Inputs!$Q$26*H$5*(1-MIN(Inputs!$Q$29/Inputs!$G$26,50%))),0))</f>
        <v>0</v>
      </c>
      <c r="I164" s="283">
        <f>IF(OR(Inputs!$G$73="No",Inputs!$Q$19="Cost-Based",Inputs!$Q$19="Neither"),0,IF(Inputs!$Q$24="Tax Credit",IF(I$2&gt;Inputs!$Q$27,0,Inputs!$Q$25/100*I$9*Inputs!$Q$26*I$5*(1-MIN(Inputs!$Q$29/Inputs!$G$26,50%))),0))</f>
        <v>0</v>
      </c>
      <c r="J164" s="283">
        <f>IF(OR(Inputs!$G$73="No",Inputs!$Q$19="Cost-Based",Inputs!$Q$19="Neither"),0,IF(Inputs!$Q$24="Tax Credit",IF(J$2&gt;Inputs!$Q$27,0,Inputs!$Q$25/100*J$9*Inputs!$Q$26*J$5*(1-MIN(Inputs!$Q$29/Inputs!$G$26,50%))),0))</f>
        <v>0</v>
      </c>
      <c r="K164" s="283">
        <f>IF(OR(Inputs!$G$73="No",Inputs!$Q$19="Cost-Based",Inputs!$Q$19="Neither"),0,IF(Inputs!$Q$24="Tax Credit",IF(K$2&gt;Inputs!$Q$27,0,Inputs!$Q$25/100*K$9*Inputs!$Q$26*K$5*(1-MIN(Inputs!$Q$29/Inputs!$G$26,50%))),0))</f>
        <v>0</v>
      </c>
      <c r="L164" s="283">
        <f>IF(OR(Inputs!$G$73="No",Inputs!$Q$19="Cost-Based",Inputs!$Q$19="Neither"),0,IF(Inputs!$Q$24="Tax Credit",IF(L$2&gt;Inputs!$Q$27,0,Inputs!$Q$25/100*L$9*Inputs!$Q$26*L$5*(1-MIN(Inputs!$Q$29/Inputs!$G$26,50%))),0))</f>
        <v>0</v>
      </c>
      <c r="M164" s="283">
        <f>IF(OR(Inputs!$G$73="No",Inputs!$Q$19="Cost-Based",Inputs!$Q$19="Neither"),0,IF(Inputs!$Q$24="Tax Credit",IF(M$2&gt;Inputs!$Q$27,0,Inputs!$Q$25/100*M$9*Inputs!$Q$26*M$5*(1-MIN(Inputs!$Q$29/Inputs!$G$26,50%))),0))</f>
        <v>0</v>
      </c>
      <c r="N164" s="283">
        <f>IF(OR(Inputs!$G$73="No",Inputs!$Q$19="Cost-Based",Inputs!$Q$19="Neither"),0,IF(Inputs!$Q$24="Tax Credit",IF(N$2&gt;Inputs!$Q$27,0,Inputs!$Q$25/100*N$9*Inputs!$Q$26*N$5*(1-MIN(Inputs!$Q$29/Inputs!$G$26,50%))),0))</f>
        <v>0</v>
      </c>
      <c r="O164" s="283">
        <f>IF(OR(Inputs!$G$73="No",Inputs!$Q$19="Cost-Based",Inputs!$Q$19="Neither"),0,IF(Inputs!$Q$24="Tax Credit",IF(O$2&gt;Inputs!$Q$27,0,Inputs!$Q$25/100*O$9*Inputs!$Q$26*O$5*(1-MIN(Inputs!$Q$29/Inputs!$G$26,50%))),0))</f>
        <v>0</v>
      </c>
      <c r="P164" s="283">
        <f>IF(OR(Inputs!$G$73="No",Inputs!$Q$19="Cost-Based",Inputs!$Q$19="Neither"),0,IF(Inputs!$Q$24="Tax Credit",IF(P$2&gt;Inputs!$Q$27,0,Inputs!$Q$25/100*P$9*Inputs!$Q$26*P$5*(1-MIN(Inputs!$Q$29/Inputs!$G$26,50%))),0))</f>
        <v>0</v>
      </c>
      <c r="Q164" s="283">
        <f>IF(OR(Inputs!$G$73="No",Inputs!$Q$19="Cost-Based",Inputs!$Q$19="Neither"),0,IF(Inputs!$Q$24="Tax Credit",IF(Q$2&gt;Inputs!$Q$27,0,Inputs!$Q$25/100*Q$9*Inputs!$Q$26*Q$5*(1-MIN(Inputs!$Q$29/Inputs!$G$26,50%))),0))</f>
        <v>0</v>
      </c>
      <c r="R164" s="283">
        <f>IF(OR(Inputs!$G$73="No",Inputs!$Q$19="Cost-Based",Inputs!$Q$19="Neither"),0,IF(Inputs!$Q$24="Tax Credit",IF(R$2&gt;Inputs!$Q$27,0,Inputs!$Q$25/100*R$9*Inputs!$Q$26*R$5*(1-MIN(Inputs!$Q$29/Inputs!$G$26,50%))),0))</f>
        <v>0</v>
      </c>
      <c r="S164" s="283">
        <f>IF(OR(Inputs!$G$73="No",Inputs!$Q$19="Cost-Based",Inputs!$Q$19="Neither"),0,IF(Inputs!$Q$24="Tax Credit",IF(S$2&gt;Inputs!$Q$27,0,Inputs!$Q$25/100*S$9*Inputs!$Q$26*S$5*(1-MIN(Inputs!$Q$29/Inputs!$G$26,50%))),0))</f>
        <v>0</v>
      </c>
      <c r="T164" s="283">
        <f>IF(OR(Inputs!$G$73="No",Inputs!$Q$19="Cost-Based",Inputs!$Q$19="Neither"),0,IF(Inputs!$Q$24="Tax Credit",IF(T$2&gt;Inputs!$Q$27,0,Inputs!$Q$25/100*T$9*Inputs!$Q$26*T$5*(1-MIN(Inputs!$Q$29/Inputs!$G$26,50%))),0))</f>
        <v>0</v>
      </c>
      <c r="U164" s="283">
        <f>IF(OR(Inputs!$G$73="No",Inputs!$Q$19="Cost-Based",Inputs!$Q$19="Neither"),0,IF(Inputs!$Q$24="Tax Credit",IF(U$2&gt;Inputs!$Q$27,0,Inputs!$Q$25/100*U$9*Inputs!$Q$26*U$5*(1-MIN(Inputs!$Q$29/Inputs!$G$26,50%))),0))</f>
        <v>0</v>
      </c>
      <c r="V164" s="283">
        <f>IF(OR(Inputs!$G$73="No",Inputs!$Q$19="Cost-Based",Inputs!$Q$19="Neither"),0,IF(Inputs!$Q$24="Tax Credit",IF(V$2&gt;Inputs!$Q$27,0,Inputs!$Q$25/100*V$9*Inputs!$Q$26*V$5*(1-MIN(Inputs!$Q$29/Inputs!$G$26,50%))),0))</f>
        <v>0</v>
      </c>
      <c r="W164" s="283">
        <f>IF(OR(Inputs!$G$73="No",Inputs!$Q$19="Cost-Based",Inputs!$Q$19="Neither"),0,IF(Inputs!$Q$24="Tax Credit",IF(W$2&gt;Inputs!$Q$27,0,Inputs!$Q$25/100*W$9*Inputs!$Q$26*W$5*(1-MIN(Inputs!$Q$29/Inputs!$G$26,50%))),0))</f>
        <v>0</v>
      </c>
      <c r="X164" s="283">
        <f>IF(OR(Inputs!$G$73="No",Inputs!$Q$19="Cost-Based",Inputs!$Q$19="Neither"),0,IF(Inputs!$Q$24="Tax Credit",IF(X$2&gt;Inputs!$Q$27,0,Inputs!$Q$25/100*X$9*Inputs!$Q$26*X$5*(1-MIN(Inputs!$Q$29/Inputs!$G$26,50%))),0))</f>
        <v>0</v>
      </c>
      <c r="Y164" s="283">
        <f>IF(OR(Inputs!$G$73="No",Inputs!$Q$19="Cost-Based",Inputs!$Q$19="Neither"),0,IF(Inputs!$Q$24="Tax Credit",IF(Y$2&gt;Inputs!$Q$27,0,Inputs!$Q$25/100*Y$9*Inputs!$Q$26*Y$5*(1-MIN(Inputs!$Q$29/Inputs!$G$26,50%))),0))</f>
        <v>0</v>
      </c>
      <c r="Z164" s="283">
        <f>IF(OR(Inputs!$G$73="No",Inputs!$Q$19="Cost-Based",Inputs!$Q$19="Neither"),0,IF(Inputs!$Q$24="Tax Credit",IF(Z$2&gt;Inputs!$Q$27,0,Inputs!$Q$25/100*Z$9*Inputs!$Q$26*Z$5*(1-MIN(Inputs!$Q$29/Inputs!$G$26,50%))),0))</f>
        <v>0</v>
      </c>
      <c r="AA164" s="283">
        <f>IF(OR(Inputs!$G$73="No",Inputs!$Q$19="Cost-Based",Inputs!$Q$19="Neither"),0,IF(Inputs!$Q$24="Tax Credit",IF(AA$2&gt;Inputs!$Q$27,0,Inputs!$Q$25/100*AA$9*Inputs!$Q$26*AA$5*(1-MIN(Inputs!$Q$29/Inputs!$G$26,50%))),0))</f>
        <v>0</v>
      </c>
      <c r="AB164" s="283">
        <f>IF(OR(Inputs!$G$73="No",Inputs!$Q$19="Cost-Based",Inputs!$Q$19="Neither"),0,IF(Inputs!$Q$24="Tax Credit",IF(AB$2&gt;Inputs!$Q$27,0,Inputs!$Q$25/100*AB$9*Inputs!$Q$26*AB$5*(1-MIN(Inputs!$Q$29/Inputs!$G$26,50%))),0))</f>
        <v>0</v>
      </c>
      <c r="AC164" s="283">
        <f>IF(OR(Inputs!$G$73="No",Inputs!$Q$19="Cost-Based",Inputs!$Q$19="Neither"),0,IF(Inputs!$Q$24="Tax Credit",IF(AC$2&gt;Inputs!$Q$27,0,Inputs!$Q$25/100*AC$9*Inputs!$Q$26*AC$5*(1-MIN(Inputs!$Q$29/Inputs!$G$26,50%))),0))</f>
        <v>0</v>
      </c>
      <c r="AD164" s="283">
        <f>IF(OR(Inputs!$G$73="No",Inputs!$Q$19="Cost-Based",Inputs!$Q$19="Neither"),0,IF(Inputs!$Q$24="Tax Credit",IF(AD$2&gt;Inputs!$Q$27,0,Inputs!$Q$25/100*AD$9*Inputs!$Q$26*AD$5*(1-MIN(Inputs!$Q$29/Inputs!$G$26,50%))),0))</f>
        <v>0</v>
      </c>
      <c r="AE164" s="283">
        <f>IF(OR(Inputs!$G$73="No",Inputs!$Q$19="Cost-Based",Inputs!$Q$19="Neither"),0,IF(Inputs!$Q$24="Tax Credit",IF(AE$2&gt;Inputs!$Q$27,0,Inputs!$Q$25/100*AE$9*Inputs!$Q$26*AE$5*(1-MIN(Inputs!$Q$29/Inputs!$G$26,50%))),0))</f>
        <v>0</v>
      </c>
      <c r="AF164" s="283">
        <f>IF(OR(Inputs!$G$73="No",Inputs!$Q$19="Cost-Based",Inputs!$Q$19="Neither"),0,IF(Inputs!$Q$24="Tax Credit",IF(AF$2&gt;Inputs!$Q$27,0,Inputs!$Q$25/100*AF$9*Inputs!$Q$26*AF$5*(1-MIN(Inputs!$Q$29/Inputs!$G$26,50%))),0))</f>
        <v>0</v>
      </c>
      <c r="AG164" s="283">
        <f>IF(OR(Inputs!$G$73="No",Inputs!$Q$19="Cost-Based",Inputs!$Q$19="Neither"),0,IF(Inputs!$Q$24="Tax Credit",IF(AG$2&gt;Inputs!$Q$27,0,Inputs!$Q$25/100*AG$9*Inputs!$Q$26*AG$5*(1-MIN(Inputs!$Q$29/Inputs!$G$26,50%))),0))</f>
        <v>0</v>
      </c>
      <c r="AH164" s="283">
        <f>IF(OR(Inputs!$G$73="No",Inputs!$Q$19="Cost-Based",Inputs!$Q$19="Neither"),0,IF(Inputs!$Q$24="Tax Credit",IF(AH$2&gt;Inputs!$Q$27,0,Inputs!$Q$25/100*AH$9*Inputs!$Q$26*AH$5*(1-MIN(Inputs!$Q$29/Inputs!$G$26,50%))),0))</f>
        <v>0</v>
      </c>
      <c r="AI164" s="283">
        <f>IF(OR(Inputs!$G$73="No",Inputs!$Q$19="Cost-Based",Inputs!$Q$19="Neither"),0,IF(Inputs!$Q$24="Tax Credit",IF(AI$2&gt;Inputs!$Q$27,0,Inputs!$Q$25/100*AI$9*Inputs!$Q$26*AI$5*(1-MIN(Inputs!$Q$29/Inputs!$G$26,50%))),0))</f>
        <v>0</v>
      </c>
      <c r="AJ164" s="283">
        <f>IF(OR(Inputs!$G$73="No",Inputs!$Q$19="Cost-Based",Inputs!$Q$19="Neither"),0,IF(Inputs!$Q$24="Tax Credit",IF(AJ$2&gt;Inputs!$Q$27,0,Inputs!$Q$25/100*AJ$9*Inputs!$Q$26*AJ$5*(1-MIN(Inputs!$Q$29/Inputs!$G$26,50%))),0))</f>
        <v>0</v>
      </c>
    </row>
    <row r="165" spans="2:36" s="28" customFormat="1" ht="16">
      <c r="B165" s="263"/>
      <c r="C165" s="263"/>
      <c r="D165" s="263"/>
      <c r="E165" s="263"/>
      <c r="F165" s="278"/>
      <c r="G165" s="283"/>
      <c r="H165" s="283"/>
      <c r="I165" s="283"/>
      <c r="J165" s="283"/>
      <c r="K165" s="283"/>
      <c r="L165" s="283"/>
      <c r="M165" s="283"/>
      <c r="N165" s="283"/>
      <c r="O165" s="283"/>
      <c r="P165" s="283"/>
      <c r="Q165" s="283"/>
      <c r="R165" s="283"/>
      <c r="S165" s="283"/>
      <c r="T165" s="283"/>
      <c r="U165" s="283"/>
      <c r="V165" s="283"/>
      <c r="W165" s="283"/>
      <c r="X165" s="283"/>
      <c r="Y165" s="283"/>
      <c r="Z165" s="283"/>
      <c r="AA165" s="283"/>
      <c r="AB165" s="283"/>
      <c r="AC165" s="283"/>
      <c r="AD165" s="283"/>
      <c r="AE165" s="283"/>
      <c r="AF165" s="283"/>
      <c r="AG165" s="283"/>
      <c r="AH165" s="283"/>
      <c r="AI165" s="283"/>
      <c r="AJ165" s="283"/>
    </row>
    <row r="166" spans="2:36" s="28" customFormat="1" ht="16">
      <c r="B166" s="263" t="s">
        <v>264</v>
      </c>
      <c r="C166" s="263"/>
      <c r="D166" s="263"/>
      <c r="E166" s="263"/>
      <c r="F166" s="278"/>
      <c r="G166" s="283">
        <f>SUM(G163:G164)</f>
        <v>0</v>
      </c>
      <c r="H166" s="283">
        <f t="shared" ref="H166:AJ166" si="54">SUM(H163:H164)</f>
        <v>0</v>
      </c>
      <c r="I166" s="283">
        <f t="shared" si="54"/>
        <v>0</v>
      </c>
      <c r="J166" s="283">
        <f t="shared" si="54"/>
        <v>0</v>
      </c>
      <c r="K166" s="283">
        <f t="shared" si="54"/>
        <v>0</v>
      </c>
      <c r="L166" s="283">
        <f t="shared" si="54"/>
        <v>0</v>
      </c>
      <c r="M166" s="283">
        <f t="shared" si="54"/>
        <v>0</v>
      </c>
      <c r="N166" s="283">
        <f t="shared" si="54"/>
        <v>0</v>
      </c>
      <c r="O166" s="283">
        <f t="shared" si="54"/>
        <v>0</v>
      </c>
      <c r="P166" s="283">
        <f t="shared" si="54"/>
        <v>0</v>
      </c>
      <c r="Q166" s="283">
        <f t="shared" si="54"/>
        <v>0</v>
      </c>
      <c r="R166" s="283">
        <f t="shared" si="54"/>
        <v>0</v>
      </c>
      <c r="S166" s="283">
        <f t="shared" si="54"/>
        <v>0</v>
      </c>
      <c r="T166" s="283">
        <f t="shared" si="54"/>
        <v>0</v>
      </c>
      <c r="U166" s="283">
        <f t="shared" si="54"/>
        <v>0</v>
      </c>
      <c r="V166" s="283">
        <f t="shared" si="54"/>
        <v>0</v>
      </c>
      <c r="W166" s="283">
        <f t="shared" si="54"/>
        <v>0</v>
      </c>
      <c r="X166" s="283">
        <f t="shared" si="54"/>
        <v>0</v>
      </c>
      <c r="Y166" s="283">
        <f t="shared" si="54"/>
        <v>0</v>
      </c>
      <c r="Z166" s="283">
        <f t="shared" si="54"/>
        <v>0</v>
      </c>
      <c r="AA166" s="283">
        <f t="shared" si="54"/>
        <v>0</v>
      </c>
      <c r="AB166" s="283">
        <f t="shared" si="54"/>
        <v>0</v>
      </c>
      <c r="AC166" s="283">
        <f t="shared" si="54"/>
        <v>0</v>
      </c>
      <c r="AD166" s="283">
        <f t="shared" si="54"/>
        <v>0</v>
      </c>
      <c r="AE166" s="283">
        <f t="shared" si="54"/>
        <v>0</v>
      </c>
      <c r="AF166" s="283">
        <f t="shared" si="54"/>
        <v>0</v>
      </c>
      <c r="AG166" s="283">
        <f t="shared" si="54"/>
        <v>0</v>
      </c>
      <c r="AH166" s="283">
        <f t="shared" si="54"/>
        <v>0</v>
      </c>
      <c r="AI166" s="283">
        <f t="shared" si="54"/>
        <v>0</v>
      </c>
      <c r="AJ166" s="283">
        <f t="shared" si="54"/>
        <v>0</v>
      </c>
    </row>
    <row r="167" spans="2:36" s="28" customFormat="1" ht="16">
      <c r="B167" s="263"/>
      <c r="C167" s="263"/>
      <c r="D167" s="263"/>
      <c r="E167" s="263"/>
      <c r="F167" s="278"/>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283"/>
      <c r="AC167" s="283"/>
      <c r="AD167" s="283"/>
      <c r="AE167" s="283"/>
      <c r="AF167" s="283"/>
      <c r="AG167" s="283"/>
      <c r="AH167" s="283"/>
      <c r="AI167" s="283"/>
      <c r="AJ167" s="283"/>
    </row>
    <row r="168" spans="2:36" s="28" customFormat="1" ht="16">
      <c r="B168" s="346" t="s">
        <v>265</v>
      </c>
      <c r="C168" s="346"/>
      <c r="D168" s="346"/>
      <c r="E168" s="263"/>
      <c r="F168" s="278"/>
      <c r="G168" s="283"/>
      <c r="H168" s="283"/>
      <c r="I168" s="283"/>
      <c r="J168" s="283"/>
      <c r="K168" s="283"/>
      <c r="L168" s="283"/>
      <c r="M168" s="283"/>
      <c r="N168" s="283"/>
      <c r="O168" s="283"/>
      <c r="P168" s="283"/>
      <c r="Q168" s="283"/>
      <c r="R168" s="283"/>
      <c r="S168" s="283"/>
      <c r="T168" s="283"/>
      <c r="U168" s="283"/>
      <c r="V168" s="283"/>
      <c r="W168" s="283"/>
      <c r="X168" s="283"/>
      <c r="Y168" s="283"/>
      <c r="Z168" s="283"/>
      <c r="AA168" s="283"/>
      <c r="AB168" s="283"/>
      <c r="AC168" s="283"/>
      <c r="AD168" s="283"/>
      <c r="AE168" s="283"/>
      <c r="AF168" s="283"/>
      <c r="AG168" s="283"/>
      <c r="AH168" s="283"/>
      <c r="AI168" s="283"/>
      <c r="AJ168" s="283"/>
    </row>
    <row r="169" spans="2:36" s="28" customFormat="1" ht="16">
      <c r="B169" s="263" t="str">
        <f>B63</f>
        <v>Federal Income Taxes Saved / (Paid), before ITC/PTC</v>
      </c>
      <c r="C169" s="263"/>
      <c r="D169" s="263"/>
      <c r="E169" s="263"/>
      <c r="F169" s="278"/>
      <c r="G169" s="283" t="str">
        <f>IF(Inputs!$G$75="as generated","N/A",'Cash Flow'!G63)</f>
        <v>N/A</v>
      </c>
      <c r="H169" s="283" t="str">
        <f>IF(Inputs!$G$75="as generated","N/A",'Cash Flow'!H63)</f>
        <v>N/A</v>
      </c>
      <c r="I169" s="283" t="str">
        <f>IF(Inputs!$G$75="as generated","N/A",'Cash Flow'!I63)</f>
        <v>N/A</v>
      </c>
      <c r="J169" s="283" t="str">
        <f>IF(Inputs!$G$75="as generated","N/A",'Cash Flow'!J63)</f>
        <v>N/A</v>
      </c>
      <c r="K169" s="283" t="str">
        <f>IF(Inputs!$G$75="as generated","N/A",'Cash Flow'!K63)</f>
        <v>N/A</v>
      </c>
      <c r="L169" s="283" t="str">
        <f>IF(Inputs!$G$75="as generated","N/A",'Cash Flow'!L63)</f>
        <v>N/A</v>
      </c>
      <c r="M169" s="283" t="str">
        <f>IF(Inputs!$G$75="as generated","N/A",'Cash Flow'!M63)</f>
        <v>N/A</v>
      </c>
      <c r="N169" s="283" t="str">
        <f>IF(Inputs!$G$75="as generated","N/A",'Cash Flow'!N63)</f>
        <v>N/A</v>
      </c>
      <c r="O169" s="283" t="str">
        <f>IF(Inputs!$G$75="as generated","N/A",'Cash Flow'!O63)</f>
        <v>N/A</v>
      </c>
      <c r="P169" s="283" t="str">
        <f>IF(Inputs!$G$75="as generated","N/A",'Cash Flow'!P63)</f>
        <v>N/A</v>
      </c>
      <c r="Q169" s="283" t="str">
        <f>IF(Inputs!$G$75="as generated","N/A",'Cash Flow'!Q63)</f>
        <v>N/A</v>
      </c>
      <c r="R169" s="283" t="str">
        <f>IF(Inputs!$G$75="as generated","N/A",'Cash Flow'!R63)</f>
        <v>N/A</v>
      </c>
      <c r="S169" s="283" t="str">
        <f>IF(Inputs!$G$75="as generated","N/A",'Cash Flow'!S63)</f>
        <v>N/A</v>
      </c>
      <c r="T169" s="283" t="str">
        <f>IF(Inputs!$G$75="as generated","N/A",'Cash Flow'!T63)</f>
        <v>N/A</v>
      </c>
      <c r="U169" s="283" t="str">
        <f>IF(Inputs!$G$75="as generated","N/A",'Cash Flow'!U63)</f>
        <v>N/A</v>
      </c>
      <c r="V169" s="283" t="str">
        <f>IF(Inputs!$G$75="as generated","N/A",'Cash Flow'!V63)</f>
        <v>N/A</v>
      </c>
      <c r="W169" s="283" t="str">
        <f>IF(Inputs!$G$75="as generated","N/A",'Cash Flow'!W63)</f>
        <v>N/A</v>
      </c>
      <c r="X169" s="283" t="str">
        <f>IF(Inputs!$G$75="as generated","N/A",'Cash Flow'!X63)</f>
        <v>N/A</v>
      </c>
      <c r="Y169" s="283" t="str">
        <f>IF(Inputs!$G$75="as generated","N/A",'Cash Flow'!Y63)</f>
        <v>N/A</v>
      </c>
      <c r="Z169" s="283" t="str">
        <f>IF(Inputs!$G$75="as generated","N/A",'Cash Flow'!Z63)</f>
        <v>N/A</v>
      </c>
      <c r="AA169" s="283" t="str">
        <f>IF(Inputs!$G$75="as generated","N/A",'Cash Flow'!AA63)</f>
        <v>N/A</v>
      </c>
      <c r="AB169" s="283" t="str">
        <f>IF(Inputs!$G$75="as generated","N/A",'Cash Flow'!AB63)</f>
        <v>N/A</v>
      </c>
      <c r="AC169" s="283" t="str">
        <f>IF(Inputs!$G$75="as generated","N/A",'Cash Flow'!AC63)</f>
        <v>N/A</v>
      </c>
      <c r="AD169" s="283" t="str">
        <f>IF(Inputs!$G$75="as generated","N/A",'Cash Flow'!AD63)</f>
        <v>N/A</v>
      </c>
      <c r="AE169" s="283" t="str">
        <f>IF(Inputs!$G$75="as generated","N/A",'Cash Flow'!AE63)</f>
        <v>N/A</v>
      </c>
      <c r="AF169" s="283" t="str">
        <f>IF(Inputs!$G$75="as generated","N/A",'Cash Flow'!AF63)</f>
        <v>N/A</v>
      </c>
      <c r="AG169" s="283" t="str">
        <f>IF(Inputs!$G$75="as generated","N/A",'Cash Flow'!AG63)</f>
        <v>N/A</v>
      </c>
      <c r="AH169" s="283" t="str">
        <f>IF(Inputs!$G$75="as generated","N/A",'Cash Flow'!AH63)</f>
        <v>N/A</v>
      </c>
      <c r="AI169" s="283" t="str">
        <f>IF(Inputs!$G$75="as generated","N/A",'Cash Flow'!AI63)</f>
        <v>N/A</v>
      </c>
      <c r="AJ169" s="283" t="str">
        <f>IF(Inputs!$G$75="as generated","N/A",'Cash Flow'!AJ63)</f>
        <v>N/A</v>
      </c>
    </row>
    <row r="170" spans="2:36" s="28" customFormat="1" ht="16">
      <c r="B170" s="263"/>
      <c r="C170" s="263"/>
      <c r="D170" s="263"/>
      <c r="E170" s="263"/>
      <c r="F170" s="278"/>
      <c r="G170" s="283"/>
      <c r="H170" s="283"/>
      <c r="I170" s="283"/>
      <c r="J170" s="283"/>
      <c r="K170" s="283"/>
      <c r="L170" s="283"/>
      <c r="M170" s="283"/>
      <c r="N170" s="283"/>
      <c r="O170" s="283"/>
      <c r="P170" s="283"/>
      <c r="Q170" s="283"/>
      <c r="R170" s="283"/>
      <c r="S170" s="283"/>
      <c r="T170" s="283"/>
      <c r="U170" s="283"/>
      <c r="V170" s="283"/>
      <c r="W170" s="283"/>
      <c r="X170" s="283"/>
      <c r="Y170" s="283"/>
      <c r="Z170" s="283"/>
      <c r="AA170" s="283"/>
      <c r="AB170" s="283"/>
      <c r="AC170" s="283"/>
      <c r="AD170" s="283"/>
      <c r="AE170" s="283"/>
      <c r="AF170" s="283"/>
      <c r="AG170" s="283"/>
      <c r="AH170" s="283"/>
      <c r="AI170" s="283"/>
      <c r="AJ170" s="283"/>
    </row>
    <row r="171" spans="2:36" s="28" customFormat="1" ht="16">
      <c r="B171" s="263" t="s">
        <v>303</v>
      </c>
      <c r="C171" s="263"/>
      <c r="D171" s="263"/>
      <c r="E171" s="263"/>
      <c r="F171" s="278"/>
      <c r="G171" s="283">
        <v>0</v>
      </c>
      <c r="H171" s="283">
        <f>IF(Inputs!$G$75="as generated",0,G174)</f>
        <v>0</v>
      </c>
      <c r="I171" s="283">
        <f>IF(Inputs!$G$75="as generated",0,H174)</f>
        <v>0</v>
      </c>
      <c r="J171" s="283">
        <f>IF(Inputs!$G$75="as generated",0,I174)</f>
        <v>0</v>
      </c>
      <c r="K171" s="283">
        <f>IF(Inputs!$G$75="as generated",0,J174)</f>
        <v>0</v>
      </c>
      <c r="L171" s="283">
        <f>IF(Inputs!$G$75="as generated",0,K174)</f>
        <v>0</v>
      </c>
      <c r="M171" s="283">
        <f>IF(Inputs!$G$75="as generated",0,L174)</f>
        <v>0</v>
      </c>
      <c r="N171" s="283">
        <f>IF(Inputs!$G$75="as generated",0,M174)</f>
        <v>0</v>
      </c>
      <c r="O171" s="283">
        <f>IF(Inputs!$G$75="as generated",0,N174)</f>
        <v>0</v>
      </c>
      <c r="P171" s="283">
        <f>IF(Inputs!$G$75="as generated",0,O174)</f>
        <v>0</v>
      </c>
      <c r="Q171" s="283">
        <f>IF(Inputs!$G$75="as generated",0,P174)</f>
        <v>0</v>
      </c>
      <c r="R171" s="283">
        <f>IF(Inputs!$G$75="as generated",0,Q174)</f>
        <v>0</v>
      </c>
      <c r="S171" s="283">
        <f>IF(Inputs!$G$75="as generated",0,R174)</f>
        <v>0</v>
      </c>
      <c r="T171" s="283">
        <f>IF(Inputs!$G$75="as generated",0,S174)</f>
        <v>0</v>
      </c>
      <c r="U171" s="283">
        <f>IF(Inputs!$G$75="as generated",0,T174)</f>
        <v>0</v>
      </c>
      <c r="V171" s="283">
        <f>IF(Inputs!$G$75="as generated",0,U174)</f>
        <v>0</v>
      </c>
      <c r="W171" s="283">
        <f>IF(Inputs!$G$75="as generated",0,V174)</f>
        <v>0</v>
      </c>
      <c r="X171" s="283">
        <f>IF(Inputs!$G$75="as generated",0,W174)</f>
        <v>0</v>
      </c>
      <c r="Y171" s="283">
        <f>IF(Inputs!$G$75="as generated",0,X174)</f>
        <v>0</v>
      </c>
      <c r="Z171" s="283">
        <f>IF(Inputs!$G$75="as generated",0,Y174)</f>
        <v>0</v>
      </c>
      <c r="AA171" s="283">
        <f>IF(Inputs!$G$75="as generated",0,Z174)</f>
        <v>0</v>
      </c>
      <c r="AB171" s="283">
        <f>IF(Inputs!$G$75="as generated",0,AA174)</f>
        <v>0</v>
      </c>
      <c r="AC171" s="283">
        <f>IF(Inputs!$G$75="as generated",0,AB174)</f>
        <v>0</v>
      </c>
      <c r="AD171" s="283">
        <f>IF(Inputs!$G$75="as generated",0,AC174)</f>
        <v>0</v>
      </c>
      <c r="AE171" s="283">
        <f>IF(Inputs!$G$75="as generated",0,AD174)</f>
        <v>0</v>
      </c>
      <c r="AF171" s="283">
        <f>IF(Inputs!$G$75="as generated",0,AE174)</f>
        <v>0</v>
      </c>
      <c r="AG171" s="283">
        <f>IF(Inputs!$G$75="as generated",0,AF174)</f>
        <v>0</v>
      </c>
      <c r="AH171" s="283">
        <f>IF(Inputs!$G$75="as generated",0,AG174)</f>
        <v>0</v>
      </c>
      <c r="AI171" s="283">
        <f>IF(Inputs!$G$75="as generated",0,AH174)</f>
        <v>0</v>
      </c>
      <c r="AJ171" s="283">
        <f>IF(Inputs!$G$75="as generated",0,AI174)</f>
        <v>0</v>
      </c>
    </row>
    <row r="172" spans="2:36" s="28" customFormat="1" ht="16">
      <c r="B172" s="263" t="s">
        <v>304</v>
      </c>
      <c r="C172" s="263"/>
      <c r="D172" s="263"/>
      <c r="E172" s="263"/>
      <c r="F172" s="278"/>
      <c r="G172" s="283">
        <f>IF(Inputs!$G$75="as generated",0,IF(G169&lt;=0,G166,0))</f>
        <v>0</v>
      </c>
      <c r="H172" s="283">
        <f>IF(Inputs!$G$75="as generated",0,IF(H169&lt;=0,H166,0))</f>
        <v>0</v>
      </c>
      <c r="I172" s="283">
        <f>IF(Inputs!$G$75="as generated",0,IF(I169&lt;=0,I166,0))</f>
        <v>0</v>
      </c>
      <c r="J172" s="283">
        <f>IF(Inputs!$G$75="as generated",0,IF(J169&lt;=0,J166,0))</f>
        <v>0</v>
      </c>
      <c r="K172" s="283">
        <f>IF(Inputs!$G$75="as generated",0,IF(K169&lt;=0,K166,0))</f>
        <v>0</v>
      </c>
      <c r="L172" s="283">
        <f>IF(Inputs!$G$75="as generated",0,IF(L169&lt;=0,L166,0))</f>
        <v>0</v>
      </c>
      <c r="M172" s="283">
        <f>IF(Inputs!$G$75="as generated",0,IF(M169&lt;=0,M166,0))</f>
        <v>0</v>
      </c>
      <c r="N172" s="283">
        <f>IF(Inputs!$G$75="as generated",0,IF(N169&lt;=0,N166,0))</f>
        <v>0</v>
      </c>
      <c r="O172" s="283">
        <f>IF(Inputs!$G$75="as generated",0,IF(O169&lt;=0,O166,0))</f>
        <v>0</v>
      </c>
      <c r="P172" s="283">
        <f>IF(Inputs!$G$75="as generated",0,IF(P169&lt;=0,P166,0))</f>
        <v>0</v>
      </c>
      <c r="Q172" s="283">
        <f>IF(Inputs!$G$75="as generated",0,IF(Q169&lt;=0,Q166,0))</f>
        <v>0</v>
      </c>
      <c r="R172" s="283">
        <f>IF(Inputs!$G$75="as generated",0,IF(R169&lt;=0,R166,0))</f>
        <v>0</v>
      </c>
      <c r="S172" s="283">
        <f>IF(Inputs!$G$75="as generated",0,IF(S169&lt;=0,S166,0))</f>
        <v>0</v>
      </c>
      <c r="T172" s="283">
        <f>IF(Inputs!$G$75="as generated",0,IF(T169&lt;=0,T166,0))</f>
        <v>0</v>
      </c>
      <c r="U172" s="283">
        <f>IF(Inputs!$G$75="as generated",0,IF(U169&lt;=0,U166,0))</f>
        <v>0</v>
      </c>
      <c r="V172" s="283">
        <f>IF(Inputs!$G$75="as generated",0,IF(V169&lt;=0,V166,0))</f>
        <v>0</v>
      </c>
      <c r="W172" s="283">
        <f>IF(Inputs!$G$75="as generated",0,IF(W169&lt;=0,W166,0))</f>
        <v>0</v>
      </c>
      <c r="X172" s="283">
        <f>IF(Inputs!$G$75="as generated",0,IF(X169&lt;=0,X166,0))</f>
        <v>0</v>
      </c>
      <c r="Y172" s="283">
        <f>IF(Inputs!$G$75="as generated",0,IF(Y169&lt;=0,Y166,0))</f>
        <v>0</v>
      </c>
      <c r="Z172" s="283">
        <f>IF(Inputs!$G$75="as generated",0,IF(Z169&lt;=0,Z166,0))</f>
        <v>0</v>
      </c>
      <c r="AA172" s="283">
        <f>IF(Inputs!$G$75="as generated",0,IF(AA169&lt;=0,AA166,0))</f>
        <v>0</v>
      </c>
      <c r="AB172" s="283">
        <f>IF(Inputs!$G$75="as generated",0,IF(AB169&lt;=0,AB166,0))</f>
        <v>0</v>
      </c>
      <c r="AC172" s="283">
        <f>IF(Inputs!$G$75="as generated",0,IF(AC169&lt;=0,AC166,0))</f>
        <v>0</v>
      </c>
      <c r="AD172" s="283">
        <f>IF(Inputs!$G$75="as generated",0,IF(AD169&lt;=0,AD166,0))</f>
        <v>0</v>
      </c>
      <c r="AE172" s="283">
        <f>IF(Inputs!$G$75="as generated",0,IF(AE169&lt;=0,AE166,0))</f>
        <v>0</v>
      </c>
      <c r="AF172" s="283">
        <f>IF(Inputs!$G$75="as generated",0,IF(AF169&lt;=0,AF166,0))</f>
        <v>0</v>
      </c>
      <c r="AG172" s="283">
        <f>IF(Inputs!$G$75="as generated",0,IF(AG169&lt;=0,AG166,0))</f>
        <v>0</v>
      </c>
      <c r="AH172" s="283">
        <f>IF(Inputs!$G$75="as generated",0,IF(AH169&lt;=0,AH166,0))</f>
        <v>0</v>
      </c>
      <c r="AI172" s="283">
        <f>IF(Inputs!$G$75="as generated",0,IF(AI169&lt;=0,AI166,0))</f>
        <v>0</v>
      </c>
      <c r="AJ172" s="283">
        <f>IF(Inputs!$G$75="as generated",0,IF(AJ169&lt;=0,AJ166,0))</f>
        <v>0</v>
      </c>
    </row>
    <row r="173" spans="2:36" s="28" customFormat="1" ht="16">
      <c r="B173" s="263" t="s">
        <v>305</v>
      </c>
      <c r="C173" s="263"/>
      <c r="D173" s="263"/>
      <c r="E173" s="263"/>
      <c r="F173" s="278"/>
      <c r="G173" s="283">
        <f>IF(Inputs!$G$75="as generated",0,IF(G$169&lt;0,MAX(G$169,-G$172),0))</f>
        <v>0</v>
      </c>
      <c r="H173" s="283">
        <f>IF(Inputs!$G$75="as generated",0,IF(H$169&lt;0,MAX(H$169,-G$174),0))</f>
        <v>0</v>
      </c>
      <c r="I173" s="283">
        <f>IF(Inputs!$G$75="as generated",0,IF(I$169&lt;0,MAX(I$169,-H$174),0))</f>
        <v>0</v>
      </c>
      <c r="J173" s="283">
        <f>IF(Inputs!$G$75="as generated",0,IF(J$169&lt;0,MAX(J$169,-I$174),0))</f>
        <v>0</v>
      </c>
      <c r="K173" s="283">
        <f>IF(Inputs!$G$75="as generated",0,IF(K$169&lt;0,MAX(K$169,-J$174),0))</f>
        <v>0</v>
      </c>
      <c r="L173" s="283">
        <f>IF(Inputs!$G$75="as generated",0,IF(L$169&lt;0,MAX(L$169,-K$174),0))</f>
        <v>0</v>
      </c>
      <c r="M173" s="283">
        <f>IF(Inputs!$G$75="as generated",0,IF(M$169&lt;0,MAX(M$169,-L$174),0))</f>
        <v>0</v>
      </c>
      <c r="N173" s="283">
        <f>IF(Inputs!$G$75="as generated",0,IF(N$169&lt;0,MAX(N$169,-M$174),0))</f>
        <v>0</v>
      </c>
      <c r="O173" s="283">
        <f>IF(Inputs!$G$75="as generated",0,IF(O$169&lt;0,MAX(O$169,-N$174),0))</f>
        <v>0</v>
      </c>
      <c r="P173" s="283">
        <f>IF(Inputs!$G$75="as generated",0,IF(P$169&lt;0,MAX(P$169,-O$174),0))</f>
        <v>0</v>
      </c>
      <c r="Q173" s="283">
        <f>IF(Inputs!$G$75="as generated",0,IF(Q$169&lt;0,MAX(Q$169,-P$174),0))</f>
        <v>0</v>
      </c>
      <c r="R173" s="283">
        <f>IF(Inputs!$G$75="as generated",0,IF(R$169&lt;0,MAX(R$169,-Q$174),0))</f>
        <v>0</v>
      </c>
      <c r="S173" s="283">
        <f>IF(Inputs!$G$75="as generated",0,IF(S$169&lt;0,MAX(S$169,-R$174),0))</f>
        <v>0</v>
      </c>
      <c r="T173" s="283">
        <f>IF(Inputs!$G$75="as generated",0,IF(T$169&lt;0,MAX(T$169,-S$174),0))</f>
        <v>0</v>
      </c>
      <c r="U173" s="283">
        <f>IF(Inputs!$G$75="as generated",0,IF(U$169&lt;0,MAX(U$169,-T$174),0))</f>
        <v>0</v>
      </c>
      <c r="V173" s="283">
        <f>IF(Inputs!$G$75="as generated",0,IF(V$169&lt;0,MAX(V$169,-U$174),0))</f>
        <v>0</v>
      </c>
      <c r="W173" s="283">
        <f>IF(Inputs!$G$75="as generated",0,IF(W$169&lt;0,MAX(W$169,-V$174),0))</f>
        <v>0</v>
      </c>
      <c r="X173" s="283">
        <f>IF(Inputs!$G$75="as generated",0,IF(X$169&lt;0,MAX(X$169,-W$174),0))</f>
        <v>0</v>
      </c>
      <c r="Y173" s="283">
        <f>IF(Inputs!$G$75="as generated",0,IF(Y$169&lt;0,MAX(Y$169,-X$174),0))</f>
        <v>0</v>
      </c>
      <c r="Z173" s="283">
        <f>IF(Inputs!$G$75="as generated",0,IF(Z$169&lt;0,MAX(Z$169,-Y$174),0))</f>
        <v>0</v>
      </c>
      <c r="AA173" s="283">
        <f>IF(Inputs!$G$75="as generated",0,IF(AA$169&lt;0,MAX(AA$169,-Z$174),0))</f>
        <v>0</v>
      </c>
      <c r="AB173" s="283">
        <f>IF(Inputs!$G$75="as generated",0,IF(AB$169&lt;0,MAX(AB$169,-AA$174),0))</f>
        <v>0</v>
      </c>
      <c r="AC173" s="283">
        <f>IF(Inputs!$G$75="as generated",0,IF(AC$169&lt;0,MAX(AC$169,-AB$174),0))</f>
        <v>0</v>
      </c>
      <c r="AD173" s="283">
        <f>IF(Inputs!$G$75="as generated",0,IF(AD$169&lt;0,MAX(AD$169,-AC$174),0))</f>
        <v>0</v>
      </c>
      <c r="AE173" s="283">
        <f>IF(Inputs!$G$75="as generated",0,IF(AE$169&lt;0,MAX(AE$169,-AD$174),0))</f>
        <v>0</v>
      </c>
      <c r="AF173" s="283">
        <f>IF(Inputs!$G$75="as generated",0,IF(AF$169&lt;0,MAX(AF$169,-AE$174),0))</f>
        <v>0</v>
      </c>
      <c r="AG173" s="283">
        <f>IF(Inputs!$G$75="as generated",0,IF(AG$169&lt;0,MAX(AG$169,-AF$174),0))</f>
        <v>0</v>
      </c>
      <c r="AH173" s="283">
        <f>IF(Inputs!$G$75="as generated",0,IF(AH$169&lt;0,MAX(AH$169,-AG$174),0))</f>
        <v>0</v>
      </c>
      <c r="AI173" s="283">
        <f>IF(Inputs!$G$75="as generated",0,IF(AI$169&lt;0,MAX(AI$169,-AH$174),0))</f>
        <v>0</v>
      </c>
      <c r="AJ173" s="283">
        <f>IF(Inputs!$G$75="as generated",0,IF(AJ$169&lt;0,MAX(AJ$169,-AI$174),0))</f>
        <v>0</v>
      </c>
    </row>
    <row r="174" spans="2:36" s="28" customFormat="1" ht="16">
      <c r="B174" s="263" t="s">
        <v>306</v>
      </c>
      <c r="C174" s="263"/>
      <c r="D174" s="263"/>
      <c r="E174" s="263"/>
      <c r="F174" s="283">
        <v>0</v>
      </c>
      <c r="G174" s="283">
        <f>SUM(G171:G173)</f>
        <v>0</v>
      </c>
      <c r="H174" s="283">
        <f t="shared" ref="H174:AJ174" si="55">SUM(H171:H173)</f>
        <v>0</v>
      </c>
      <c r="I174" s="283">
        <f t="shared" si="55"/>
        <v>0</v>
      </c>
      <c r="J174" s="283">
        <f t="shared" si="55"/>
        <v>0</v>
      </c>
      <c r="K174" s="283">
        <f t="shared" si="55"/>
        <v>0</v>
      </c>
      <c r="L174" s="283">
        <f t="shared" si="55"/>
        <v>0</v>
      </c>
      <c r="M174" s="283">
        <f t="shared" si="55"/>
        <v>0</v>
      </c>
      <c r="N174" s="283">
        <f t="shared" si="55"/>
        <v>0</v>
      </c>
      <c r="O174" s="283">
        <f t="shared" si="55"/>
        <v>0</v>
      </c>
      <c r="P174" s="283">
        <f t="shared" si="55"/>
        <v>0</v>
      </c>
      <c r="Q174" s="283">
        <f t="shared" si="55"/>
        <v>0</v>
      </c>
      <c r="R174" s="283">
        <f t="shared" si="55"/>
        <v>0</v>
      </c>
      <c r="S174" s="283">
        <f t="shared" si="55"/>
        <v>0</v>
      </c>
      <c r="T174" s="283">
        <f t="shared" si="55"/>
        <v>0</v>
      </c>
      <c r="U174" s="283">
        <f t="shared" si="55"/>
        <v>0</v>
      </c>
      <c r="V174" s="283">
        <f t="shared" si="55"/>
        <v>0</v>
      </c>
      <c r="W174" s="283">
        <f t="shared" si="55"/>
        <v>0</v>
      </c>
      <c r="X174" s="283">
        <f t="shared" si="55"/>
        <v>0</v>
      </c>
      <c r="Y174" s="283">
        <f t="shared" si="55"/>
        <v>0</v>
      </c>
      <c r="Z174" s="283">
        <f t="shared" si="55"/>
        <v>0</v>
      </c>
      <c r="AA174" s="283">
        <f t="shared" si="55"/>
        <v>0</v>
      </c>
      <c r="AB174" s="283">
        <f t="shared" si="55"/>
        <v>0</v>
      </c>
      <c r="AC174" s="283">
        <f t="shared" si="55"/>
        <v>0</v>
      </c>
      <c r="AD174" s="283">
        <f t="shared" si="55"/>
        <v>0</v>
      </c>
      <c r="AE174" s="283">
        <f t="shared" si="55"/>
        <v>0</v>
      </c>
      <c r="AF174" s="283">
        <f t="shared" si="55"/>
        <v>0</v>
      </c>
      <c r="AG174" s="283">
        <f t="shared" si="55"/>
        <v>0</v>
      </c>
      <c r="AH174" s="283">
        <f t="shared" si="55"/>
        <v>0</v>
      </c>
      <c r="AI174" s="283">
        <f t="shared" si="55"/>
        <v>0</v>
      </c>
      <c r="AJ174" s="283">
        <f t="shared" si="55"/>
        <v>0</v>
      </c>
    </row>
    <row r="175" spans="2:36" s="28" customFormat="1" ht="16">
      <c r="B175" s="263"/>
      <c r="C175" s="263"/>
      <c r="D175" s="263"/>
      <c r="E175" s="263"/>
      <c r="F175" s="278"/>
      <c r="G175" s="278"/>
      <c r="H175" s="289"/>
      <c r="I175" s="263"/>
      <c r="J175" s="263"/>
      <c r="K175" s="263"/>
      <c r="L175" s="263"/>
      <c r="M175" s="263"/>
      <c r="N175" s="263"/>
      <c r="O175" s="263"/>
      <c r="P175" s="263"/>
      <c r="Q175" s="263"/>
      <c r="R175" s="263"/>
      <c r="S175" s="263"/>
      <c r="T175" s="263"/>
      <c r="U175" s="263"/>
      <c r="V175" s="263"/>
      <c r="W175" s="263"/>
      <c r="X175" s="263"/>
      <c r="Y175" s="263"/>
      <c r="Z175" s="263"/>
      <c r="AA175" s="263"/>
      <c r="AB175" s="263"/>
      <c r="AC175" s="263"/>
      <c r="AD175" s="263"/>
      <c r="AE175" s="263"/>
      <c r="AF175" s="263"/>
      <c r="AG175" s="263"/>
      <c r="AH175" s="263"/>
      <c r="AI175" s="263"/>
      <c r="AJ175" s="263"/>
    </row>
    <row r="176" spans="2:36" s="28" customFormat="1" ht="16">
      <c r="B176" s="262" t="s">
        <v>266</v>
      </c>
      <c r="C176" s="262"/>
      <c r="D176" s="262"/>
      <c r="E176" s="263"/>
      <c r="F176" s="278"/>
      <c r="G176" s="288"/>
      <c r="H176" s="289"/>
      <c r="I176" s="263"/>
      <c r="J176" s="263"/>
      <c r="K176" s="263"/>
      <c r="L176" s="263"/>
      <c r="M176" s="263"/>
      <c r="N176" s="263"/>
      <c r="O176" s="263"/>
      <c r="P176" s="263"/>
      <c r="Q176" s="263"/>
      <c r="R176" s="263"/>
      <c r="S176" s="263"/>
      <c r="T176" s="263"/>
      <c r="U176" s="263"/>
      <c r="V176" s="263"/>
      <c r="W176" s="263"/>
      <c r="X176" s="263"/>
      <c r="Y176" s="263"/>
      <c r="Z176" s="263"/>
      <c r="AA176" s="263"/>
      <c r="AB176" s="263"/>
      <c r="AC176" s="263"/>
      <c r="AD176" s="263"/>
      <c r="AE176" s="263"/>
      <c r="AF176" s="263"/>
      <c r="AG176" s="263"/>
      <c r="AH176" s="263"/>
      <c r="AI176" s="263"/>
      <c r="AJ176" s="263"/>
    </row>
    <row r="177" spans="2:36" s="28" customFormat="1" ht="16">
      <c r="B177" s="263" t="s">
        <v>263</v>
      </c>
      <c r="C177" s="263"/>
      <c r="D177" s="263"/>
      <c r="E177" s="263"/>
      <c r="F177" s="278"/>
      <c r="G177" s="345">
        <f>IF(OR(Inputs!$G$73="No",Inputs!$Q$33="Performance-Based",Inputs!$Q$33="Neither"),0,IF(G$2&lt;=Inputs!$Q$36,($C$99*(Inputs!$Q$34*(1-Inputs!$G$74))*Inputs!$Q$35)/Inputs!$Q$36,0))</f>
        <v>0</v>
      </c>
      <c r="H177" s="345">
        <f>IF(OR(Inputs!$G$73="No",Inputs!$Q$33="Performance-Based",Inputs!$Q$33="Neither"),0,IF(H$2&lt;=Inputs!$Q$36,($C$99*(Inputs!$Q$34*(1-Inputs!$G$74))*Inputs!$Q$35)/Inputs!$Q$36,0))</f>
        <v>0</v>
      </c>
      <c r="I177" s="345">
        <f>IF(OR(Inputs!$G$73="No",Inputs!$Q$33="Performance-Based",Inputs!$Q$33="Neither"),0,IF(I$2&lt;=Inputs!$Q$36,($C$99*(Inputs!$Q$34*(1-Inputs!$G$74))*Inputs!$Q$35)/Inputs!$Q$36,0))</f>
        <v>0</v>
      </c>
      <c r="J177" s="345">
        <f>IF(OR(Inputs!$G$73="No",Inputs!$Q$33="Performance-Based",Inputs!$Q$33="Neither"),0,IF(J$2&lt;=Inputs!$Q$36,($C$99*(Inputs!$Q$34*(1-Inputs!$G$74))*Inputs!$Q$35)/Inputs!$Q$36,0))</f>
        <v>0</v>
      </c>
      <c r="K177" s="345">
        <f>IF(OR(Inputs!$G$73="No",Inputs!$Q$33="Performance-Based",Inputs!$Q$33="Neither"),0,IF(K$2&lt;=Inputs!$Q$36,($C$99*(Inputs!$Q$34*(1-Inputs!$G$74))*Inputs!$Q$35)/Inputs!$Q$36,0))</f>
        <v>0</v>
      </c>
      <c r="L177" s="345">
        <f>IF(OR(Inputs!$G$73="No",Inputs!$Q$33="Performance-Based",Inputs!$Q$33="Neither"),0,IF(L$2&lt;=Inputs!$Q$36,($C$99*(Inputs!$Q$34*(1-Inputs!$G$74))*Inputs!$Q$35)/Inputs!$Q$36,0))</f>
        <v>0</v>
      </c>
      <c r="M177" s="345">
        <f>IF(OR(Inputs!$G$73="No",Inputs!$Q$33="Performance-Based",Inputs!$Q$33="Neither"),0,IF(M$2&lt;=Inputs!$Q$36,($C$99*(Inputs!$Q$34*(1-Inputs!$G$74))*Inputs!$Q$35)/Inputs!$Q$36,0))</f>
        <v>0</v>
      </c>
      <c r="N177" s="345">
        <f>IF(OR(Inputs!$G$73="No",Inputs!$Q$33="Performance-Based",Inputs!$Q$33="Neither"),0,IF(N$2&lt;=Inputs!$Q$36,($C$99*(Inputs!$Q$34*(1-Inputs!$G$74))*Inputs!$Q$35)/Inputs!$Q$36,0))</f>
        <v>0</v>
      </c>
      <c r="O177" s="345">
        <f>IF(OR(Inputs!$G$73="No",Inputs!$Q$33="Performance-Based",Inputs!$Q$33="Neither"),0,IF(O$2&lt;=Inputs!$Q$36,($C$99*(Inputs!$Q$34*(1-Inputs!$G$74))*Inputs!$Q$35)/Inputs!$Q$36,0))</f>
        <v>0</v>
      </c>
      <c r="P177" s="345">
        <f>IF(OR(Inputs!$G$73="No",Inputs!$Q$33="Performance-Based",Inputs!$Q$33="Neither"),0,IF(P$2&lt;=Inputs!$Q$36,($C$99*(Inputs!$Q$34*(1-Inputs!$G$74))*Inputs!$Q$35)/Inputs!$Q$36,0))</f>
        <v>0</v>
      </c>
      <c r="Q177" s="345">
        <f>IF(OR(Inputs!$G$73="No",Inputs!$Q$33="Performance-Based",Inputs!$Q$33="Neither"),0,IF(Q$2&lt;=Inputs!$Q$36,($C$99*(Inputs!$Q$34*(1-Inputs!$G$74))*Inputs!$Q$35)/Inputs!$Q$36,0))</f>
        <v>0</v>
      </c>
      <c r="R177" s="345">
        <f>IF(OR(Inputs!$G$73="No",Inputs!$Q$33="Performance-Based",Inputs!$Q$33="Neither"),0,IF(R$2&lt;=Inputs!$Q$36,($C$99*(Inputs!$Q$34*(1-Inputs!$G$74))*Inputs!$Q$35)/Inputs!$Q$36,0))</f>
        <v>0</v>
      </c>
      <c r="S177" s="345">
        <f>IF(OR(Inputs!$G$73="No",Inputs!$Q$33="Performance-Based",Inputs!$Q$33="Neither"),0,IF(S$2&lt;=Inputs!$Q$36,($C$99*(Inputs!$Q$34*(1-Inputs!$G$74))*Inputs!$Q$35)/Inputs!$Q$36,0))</f>
        <v>0</v>
      </c>
      <c r="T177" s="345">
        <f>IF(OR(Inputs!$G$73="No",Inputs!$Q$33="Performance-Based",Inputs!$Q$33="Neither"),0,IF(T$2&lt;=Inputs!$Q$36,($C$99*(Inputs!$Q$34*(1-Inputs!$G$74))*Inputs!$Q$35)/Inputs!$Q$36,0))</f>
        <v>0</v>
      </c>
      <c r="U177" s="345">
        <f>IF(OR(Inputs!$G$73="No",Inputs!$Q$33="Performance-Based",Inputs!$Q$33="Neither"),0,IF(U$2&lt;=Inputs!$Q$36,($C$99*(Inputs!$Q$34*(1-Inputs!$G$74))*Inputs!$Q$35)/Inputs!$Q$36,0))</f>
        <v>0</v>
      </c>
      <c r="V177" s="345">
        <f>IF(OR(Inputs!$G$73="No",Inputs!$Q$33="Performance-Based",Inputs!$Q$33="Neither"),0,IF(V$2&lt;=Inputs!$Q$36,($C$99*(Inputs!$Q$34*(1-Inputs!$G$74))*Inputs!$Q$35)/Inputs!$Q$36,0))</f>
        <v>0</v>
      </c>
      <c r="W177" s="345">
        <f>IF(OR(Inputs!$G$73="No",Inputs!$Q$33="Performance-Based",Inputs!$Q$33="Neither"),0,IF(W$2&lt;=Inputs!$Q$36,($C$99*(Inputs!$Q$34*(1-Inputs!$G$74))*Inputs!$Q$35)/Inputs!$Q$36,0))</f>
        <v>0</v>
      </c>
      <c r="X177" s="345">
        <f>IF(OR(Inputs!$G$73="No",Inputs!$Q$33="Performance-Based",Inputs!$Q$33="Neither"),0,IF(X$2&lt;=Inputs!$Q$36,($C$99*(Inputs!$Q$34*(1-Inputs!$G$74))*Inputs!$Q$35)/Inputs!$Q$36,0))</f>
        <v>0</v>
      </c>
      <c r="Y177" s="345">
        <f>IF(OR(Inputs!$G$73="No",Inputs!$Q$33="Performance-Based",Inputs!$Q$33="Neither"),0,IF(Y$2&lt;=Inputs!$Q$36,($C$99*(Inputs!$Q$34*(1-Inputs!$G$74))*Inputs!$Q$35)/Inputs!$Q$36,0))</f>
        <v>0</v>
      </c>
      <c r="Z177" s="345">
        <f>IF(OR(Inputs!$G$73="No",Inputs!$Q$33="Performance-Based",Inputs!$Q$33="Neither"),0,IF(Z$2&lt;=Inputs!$Q$36,($C$99*(Inputs!$Q$34*(1-Inputs!$G$74))*Inputs!$Q$35)/Inputs!$Q$36,0))</f>
        <v>0</v>
      </c>
      <c r="AA177" s="345">
        <f>IF(OR(Inputs!$G$73="No",Inputs!$Q$33="Performance-Based",Inputs!$Q$33="Neither"),0,IF(AA$2&lt;=Inputs!$Q$36,($C$99*(Inputs!$Q$34*(1-Inputs!$G$74))*Inputs!$Q$35)/Inputs!$Q$36,0))</f>
        <v>0</v>
      </c>
      <c r="AB177" s="345">
        <f>IF(OR(Inputs!$G$73="No",Inputs!$Q$33="Performance-Based",Inputs!$Q$33="Neither"),0,IF(AB$2&lt;=Inputs!$Q$36,($C$99*(Inputs!$Q$34*(1-Inputs!$G$74))*Inputs!$Q$35)/Inputs!$Q$36,0))</f>
        <v>0</v>
      </c>
      <c r="AC177" s="345">
        <f>IF(OR(Inputs!$G$73="No",Inputs!$Q$33="Performance-Based",Inputs!$Q$33="Neither"),0,IF(AC$2&lt;=Inputs!$Q$36,($C$99*(Inputs!$Q$34*(1-Inputs!$G$74))*Inputs!$Q$35)/Inputs!$Q$36,0))</f>
        <v>0</v>
      </c>
      <c r="AD177" s="345">
        <f>IF(OR(Inputs!$G$73="No",Inputs!$Q$33="Performance-Based",Inputs!$Q$33="Neither"),0,IF(AD$2&lt;=Inputs!$Q$36,($C$99*(Inputs!$Q$34*(1-Inputs!$G$74))*Inputs!$Q$35)/Inputs!$Q$36,0))</f>
        <v>0</v>
      </c>
      <c r="AE177" s="345">
        <f>IF(OR(Inputs!$G$73="No",Inputs!$Q$33="Performance-Based",Inputs!$Q$33="Neither"),0,IF(AE$2&lt;=Inputs!$Q$36,($C$99*(Inputs!$Q$34*(1-Inputs!$G$74))*Inputs!$Q$35)/Inputs!$Q$36,0))</f>
        <v>0</v>
      </c>
      <c r="AF177" s="345">
        <f>IF(OR(Inputs!$G$73="No",Inputs!$Q$33="Performance-Based",Inputs!$Q$33="Neither"),0,IF(AF$2&lt;=Inputs!$Q$36,($C$99*(Inputs!$Q$34*(1-Inputs!$G$74))*Inputs!$Q$35)/Inputs!$Q$36,0))</f>
        <v>0</v>
      </c>
      <c r="AG177" s="345">
        <f>IF(OR(Inputs!$G$73="No",Inputs!$Q$33="Performance-Based",Inputs!$Q$33="Neither"),0,IF(AG$2&lt;=Inputs!$Q$36,($C$99*(Inputs!$Q$34*(1-Inputs!$G$74))*Inputs!$Q$35)/Inputs!$Q$36,0))</f>
        <v>0</v>
      </c>
      <c r="AH177" s="345">
        <f>IF(OR(Inputs!$G$73="No",Inputs!$Q$33="Performance-Based",Inputs!$Q$33="Neither"),0,IF(AH$2&lt;=Inputs!$Q$36,($C$99*(Inputs!$Q$34*(1-Inputs!$G$74))*Inputs!$Q$35)/Inputs!$Q$36,0))</f>
        <v>0</v>
      </c>
      <c r="AI177" s="345">
        <f>IF(OR(Inputs!$G$73="No",Inputs!$Q$33="Performance-Based",Inputs!$Q$33="Neither"),0,IF(AI$2&lt;=Inputs!$Q$36,($C$99*(Inputs!$Q$34*(1-Inputs!$G$74))*Inputs!$Q$35)/Inputs!$Q$36,0))</f>
        <v>0</v>
      </c>
      <c r="AJ177" s="345">
        <f>IF(OR(Inputs!$G$73="No",Inputs!$Q$33="Performance-Based",Inputs!$Q$33="Neither"),0,IF(AJ$2&lt;=Inputs!$Q$36,($C$99*(Inputs!$Q$34*(1-Inputs!$G$74))*Inputs!$Q$35)/Inputs!$Q$36,0))</f>
        <v>0</v>
      </c>
    </row>
    <row r="178" spans="2:36" s="28" customFormat="1" ht="16">
      <c r="B178" s="263" t="s">
        <v>221</v>
      </c>
      <c r="C178" s="263"/>
      <c r="D178" s="263"/>
      <c r="E178" s="263"/>
      <c r="F178" s="278"/>
      <c r="G178" s="283">
        <f>IF(OR(Inputs!$G$73="No",Inputs!$Q$33="Cost-Based",Inputs!$Q$33="Neither"),0,IF(Inputs!$Q$38="Tax Credit",IF(G$2&gt;Inputs!$Q$43,0,IF(Inputs!$Q$39=0,Inputs!$Q$41/100*G$10*Inputs!$Q$42*G$5,MIN(Inputs!$Q$39,Inputs!$Q$41/100*G$10*Inputs!$Q$42*G$5))),0))</f>
        <v>0</v>
      </c>
      <c r="H178" s="283">
        <f>IF(OR(Inputs!$G$73="No",Inputs!$Q$33="Cost-Based",Inputs!$Q$33="Neither"),0,IF(Inputs!$Q$38="Tax Credit",IF(H$2&gt;Inputs!$Q$43,0,IF(Inputs!$Q$39=0,Inputs!$Q$41/100*H$10*Inputs!$Q$42*H$5,MIN(Inputs!$Q$39,Inputs!$Q$41/100*H$10*Inputs!$Q$42*H$5))),0))</f>
        <v>0</v>
      </c>
      <c r="I178" s="283">
        <f>IF(OR(Inputs!$G$73="No",Inputs!$Q$33="Cost-Based",Inputs!$Q$33="Neither"),0,IF(Inputs!$Q$38="Tax Credit",IF(I$2&gt;Inputs!$Q$43,0,IF(Inputs!$Q$39=0,Inputs!$Q$41/100*I$10*Inputs!$Q$42*I$5,MIN(Inputs!$Q$39,Inputs!$Q$41/100*I$10*Inputs!$Q$42*I$5))),0))</f>
        <v>0</v>
      </c>
      <c r="J178" s="283">
        <f>IF(OR(Inputs!$G$73="No",Inputs!$Q$33="Cost-Based",Inputs!$Q$33="Neither"),0,IF(Inputs!$Q$38="Tax Credit",IF(J$2&gt;Inputs!$Q$43,0,IF(Inputs!$Q$39=0,Inputs!$Q$41/100*J$10*Inputs!$Q$42*J$5,MIN(Inputs!$Q$39,Inputs!$Q$41/100*J$10*Inputs!$Q$42*J$5))),0))</f>
        <v>0</v>
      </c>
      <c r="K178" s="283">
        <f>IF(OR(Inputs!$G$73="No",Inputs!$Q$33="Cost-Based",Inputs!$Q$33="Neither"),0,IF(Inputs!$Q$38="Tax Credit",IF(K$2&gt;Inputs!$Q$43,0,IF(Inputs!$Q$39=0,Inputs!$Q$41/100*K$10*Inputs!$Q$42*K$5,MIN(Inputs!$Q$39,Inputs!$Q$41/100*K$10*Inputs!$Q$42*K$5))),0))</f>
        <v>0</v>
      </c>
      <c r="L178" s="283">
        <f>IF(OR(Inputs!$G$73="No",Inputs!$Q$33="Cost-Based",Inputs!$Q$33="Neither"),0,IF(Inputs!$Q$38="Tax Credit",IF(L$2&gt;Inputs!$Q$43,0,IF(Inputs!$Q$39=0,Inputs!$Q$41/100*L$10*Inputs!$Q$42*L$5,MIN(Inputs!$Q$39,Inputs!$Q$41/100*L$10*Inputs!$Q$42*L$5))),0))</f>
        <v>0</v>
      </c>
      <c r="M178" s="283">
        <f>IF(OR(Inputs!$G$73="No",Inputs!$Q$33="Cost-Based",Inputs!$Q$33="Neither"),0,IF(Inputs!$Q$38="Tax Credit",IF(M$2&gt;Inputs!$Q$43,0,IF(Inputs!$Q$39=0,Inputs!$Q$41/100*M$10*Inputs!$Q$42*M$5,MIN(Inputs!$Q$39,Inputs!$Q$41/100*M$10*Inputs!$Q$42*M$5))),0))</f>
        <v>0</v>
      </c>
      <c r="N178" s="283">
        <f>IF(OR(Inputs!$G$73="No",Inputs!$Q$33="Cost-Based",Inputs!$Q$33="Neither"),0,IF(Inputs!$Q$38="Tax Credit",IF(N$2&gt;Inputs!$Q$43,0,IF(Inputs!$Q$39=0,Inputs!$Q$41/100*N$10*Inputs!$Q$42*N$5,MIN(Inputs!$Q$39,Inputs!$Q$41/100*N$10*Inputs!$Q$42*N$5))),0))</f>
        <v>0</v>
      </c>
      <c r="O178" s="283">
        <f>IF(OR(Inputs!$G$73="No",Inputs!$Q$33="Cost-Based",Inputs!$Q$33="Neither"),0,IF(Inputs!$Q$38="Tax Credit",IF(O$2&gt;Inputs!$Q$43,0,IF(Inputs!$Q$39=0,Inputs!$Q$41/100*O$10*Inputs!$Q$42*O$5,MIN(Inputs!$Q$39,Inputs!$Q$41/100*O$10*Inputs!$Q$42*O$5))),0))</f>
        <v>0</v>
      </c>
      <c r="P178" s="283">
        <f>IF(OR(Inputs!$G$73="No",Inputs!$Q$33="Cost-Based",Inputs!$Q$33="Neither"),0,IF(Inputs!$Q$38="Tax Credit",IF(P$2&gt;Inputs!$Q$43,0,IF(Inputs!$Q$39=0,Inputs!$Q$41/100*P$10*Inputs!$Q$42*P$5,MIN(Inputs!$Q$39,Inputs!$Q$41/100*P$10*Inputs!$Q$42*P$5))),0))</f>
        <v>0</v>
      </c>
      <c r="Q178" s="283">
        <f>IF(OR(Inputs!$G$73="No",Inputs!$Q$33="Cost-Based",Inputs!$Q$33="Neither"),0,IF(Inputs!$Q$38="Tax Credit",IF(Q$2&gt;Inputs!$Q$43,0,IF(Inputs!$Q$39=0,Inputs!$Q$41/100*Q$10*Inputs!$Q$42*Q$5,MIN(Inputs!$Q$39,Inputs!$Q$41/100*Q$10*Inputs!$Q$42*Q$5))),0))</f>
        <v>0</v>
      </c>
      <c r="R178" s="283">
        <f>IF(OR(Inputs!$G$73="No",Inputs!$Q$33="Cost-Based",Inputs!$Q$33="Neither"),0,IF(Inputs!$Q$38="Tax Credit",IF(R$2&gt;Inputs!$Q$43,0,IF(Inputs!$Q$39=0,Inputs!$Q$41/100*R$10*Inputs!$Q$42*R$5,MIN(Inputs!$Q$39,Inputs!$Q$41/100*R$10*Inputs!$Q$42*R$5))),0))</f>
        <v>0</v>
      </c>
      <c r="S178" s="283">
        <f>IF(OR(Inputs!$G$73="No",Inputs!$Q$33="Cost-Based",Inputs!$Q$33="Neither"),0,IF(Inputs!$Q$38="Tax Credit",IF(S$2&gt;Inputs!$Q$43,0,IF(Inputs!$Q$39=0,Inputs!$Q$41/100*S$10*Inputs!$Q$42*S$5,MIN(Inputs!$Q$39,Inputs!$Q$41/100*S$10*Inputs!$Q$42*S$5))),0))</f>
        <v>0</v>
      </c>
      <c r="T178" s="283">
        <f>IF(OR(Inputs!$G$73="No",Inputs!$Q$33="Cost-Based",Inputs!$Q$33="Neither"),0,IF(Inputs!$Q$38="Tax Credit",IF(T$2&gt;Inputs!$Q$43,0,IF(Inputs!$Q$39=0,Inputs!$Q$41/100*T$10*Inputs!$Q$42*T$5,MIN(Inputs!$Q$39,Inputs!$Q$41/100*T$10*Inputs!$Q$42*T$5))),0))</f>
        <v>0</v>
      </c>
      <c r="U178" s="283">
        <f>IF(OR(Inputs!$G$73="No",Inputs!$Q$33="Cost-Based",Inputs!$Q$33="Neither"),0,IF(Inputs!$Q$38="Tax Credit",IF(U$2&gt;Inputs!$Q$43,0,IF(Inputs!$Q$39=0,Inputs!$Q$41/100*U$10*Inputs!$Q$42*U$5,MIN(Inputs!$Q$39,Inputs!$Q$41/100*U$10*Inputs!$Q$42*U$5))),0))</f>
        <v>0</v>
      </c>
      <c r="V178" s="283">
        <f>IF(OR(Inputs!$G$73="No",Inputs!$Q$33="Cost-Based",Inputs!$Q$33="Neither"),0,IF(Inputs!$Q$38="Tax Credit",IF(V$2&gt;Inputs!$Q$43,0,IF(Inputs!$Q$39=0,Inputs!$Q$41/100*V$10*Inputs!$Q$42*V$5,MIN(Inputs!$Q$39,Inputs!$Q$41/100*V$10*Inputs!$Q$42*V$5))),0))</f>
        <v>0</v>
      </c>
      <c r="W178" s="283">
        <f>IF(OR(Inputs!$G$73="No",Inputs!$Q$33="Cost-Based",Inputs!$Q$33="Neither"),0,IF(Inputs!$Q$38="Tax Credit",IF(W$2&gt;Inputs!$Q$43,0,IF(Inputs!$Q$39=0,Inputs!$Q$41/100*W$10*Inputs!$Q$42*W$5,MIN(Inputs!$Q$39,Inputs!$Q$41/100*W$10*Inputs!$Q$42*W$5))),0))</f>
        <v>0</v>
      </c>
      <c r="X178" s="283">
        <f>IF(OR(Inputs!$G$73="No",Inputs!$Q$33="Cost-Based",Inputs!$Q$33="Neither"),0,IF(Inputs!$Q$38="Tax Credit",IF(X$2&gt;Inputs!$Q$43,0,IF(Inputs!$Q$39=0,Inputs!$Q$41/100*X$10*Inputs!$Q$42*X$5,MIN(Inputs!$Q$39,Inputs!$Q$41/100*X$10*Inputs!$Q$42*X$5))),0))</f>
        <v>0</v>
      </c>
      <c r="Y178" s="283">
        <f>IF(OR(Inputs!$G$73="No",Inputs!$Q$33="Cost-Based",Inputs!$Q$33="Neither"),0,IF(Inputs!$Q$38="Tax Credit",IF(Y$2&gt;Inputs!$Q$43,0,IF(Inputs!$Q$39=0,Inputs!$Q$41/100*Y$10*Inputs!$Q$42*Y$5,MIN(Inputs!$Q$39,Inputs!$Q$41/100*Y$10*Inputs!$Q$42*Y$5))),0))</f>
        <v>0</v>
      </c>
      <c r="Z178" s="283">
        <f>IF(OR(Inputs!$G$73="No",Inputs!$Q$33="Cost-Based",Inputs!$Q$33="Neither"),0,IF(Inputs!$Q$38="Tax Credit",IF(Z$2&gt;Inputs!$Q$43,0,IF(Inputs!$Q$39=0,Inputs!$Q$41/100*Z$10*Inputs!$Q$42*Z$5,MIN(Inputs!$Q$39,Inputs!$Q$41/100*Z$10*Inputs!$Q$42*Z$5))),0))</f>
        <v>0</v>
      </c>
      <c r="AA178" s="283">
        <f>IF(OR(Inputs!$G$73="No",Inputs!$Q$33="Cost-Based",Inputs!$Q$33="Neither"),0,IF(Inputs!$Q$38="Tax Credit",IF(AA$2&gt;Inputs!$Q$43,0,IF(Inputs!$Q$39=0,Inputs!$Q$41/100*AA$10*Inputs!$Q$42*AA$5,MIN(Inputs!$Q$39,Inputs!$Q$41/100*AA$10*Inputs!$Q$42*AA$5))),0))</f>
        <v>0</v>
      </c>
      <c r="AB178" s="283">
        <f>IF(OR(Inputs!$G$73="No",Inputs!$Q$33="Cost-Based",Inputs!$Q$33="Neither"),0,IF(Inputs!$Q$38="Tax Credit",IF(AB$2&gt;Inputs!$Q$43,0,IF(Inputs!$Q$39=0,Inputs!$Q$41/100*AB$10*Inputs!$Q$42*AB$5,MIN(Inputs!$Q$39,Inputs!$Q$41/100*AB$10*Inputs!$Q$42*AB$5))),0))</f>
        <v>0</v>
      </c>
      <c r="AC178" s="283">
        <f>IF(OR(Inputs!$G$73="No",Inputs!$Q$33="Cost-Based",Inputs!$Q$33="Neither"),0,IF(Inputs!$Q$38="Tax Credit",IF(AC$2&gt;Inputs!$Q$43,0,IF(Inputs!$Q$39=0,Inputs!$Q$41/100*AC$10*Inputs!$Q$42*AC$5,MIN(Inputs!$Q$39,Inputs!$Q$41/100*AC$10*Inputs!$Q$42*AC$5))),0))</f>
        <v>0</v>
      </c>
      <c r="AD178" s="283">
        <f>IF(OR(Inputs!$G$73="No",Inputs!$Q$33="Cost-Based",Inputs!$Q$33="Neither"),0,IF(Inputs!$Q$38="Tax Credit",IF(AD$2&gt;Inputs!$Q$43,0,IF(Inputs!$Q$39=0,Inputs!$Q$41/100*AD$10*Inputs!$Q$42*AD$5,MIN(Inputs!$Q$39,Inputs!$Q$41/100*AD$10*Inputs!$Q$42*AD$5))),0))</f>
        <v>0</v>
      </c>
      <c r="AE178" s="283">
        <f>IF(OR(Inputs!$G$73="No",Inputs!$Q$33="Cost-Based",Inputs!$Q$33="Neither"),0,IF(Inputs!$Q$38="Tax Credit",IF(AE$2&gt;Inputs!$Q$43,0,IF(Inputs!$Q$39=0,Inputs!$Q$41/100*AE$10*Inputs!$Q$42*AE$5,MIN(Inputs!$Q$39,Inputs!$Q$41/100*AE$10*Inputs!$Q$42*AE$5))),0))</f>
        <v>0</v>
      </c>
      <c r="AF178" s="283">
        <f>IF(OR(Inputs!$G$73="No",Inputs!$Q$33="Cost-Based",Inputs!$Q$33="Neither"),0,IF(Inputs!$Q$38="Tax Credit",IF(AF$2&gt;Inputs!$Q$43,0,IF(Inputs!$Q$39=0,Inputs!$Q$41/100*AF$10*Inputs!$Q$42*AF$5,MIN(Inputs!$Q$39,Inputs!$Q$41/100*AF$10*Inputs!$Q$42*AF$5))),0))</f>
        <v>0</v>
      </c>
      <c r="AG178" s="283">
        <f>IF(OR(Inputs!$G$73="No",Inputs!$Q$33="Cost-Based",Inputs!$Q$33="Neither"),0,IF(Inputs!$Q$38="Tax Credit",IF(AG$2&gt;Inputs!$Q$43,0,IF(Inputs!$Q$39=0,Inputs!$Q$41/100*AG$10*Inputs!$Q$42*AG$5,MIN(Inputs!$Q$39,Inputs!$Q$41/100*AG$10*Inputs!$Q$42*AG$5))),0))</f>
        <v>0</v>
      </c>
      <c r="AH178" s="283">
        <f>IF(OR(Inputs!$G$73="No",Inputs!$Q$33="Cost-Based",Inputs!$Q$33="Neither"),0,IF(Inputs!$Q$38="Tax Credit",IF(AH$2&gt;Inputs!$Q$43,0,IF(Inputs!$Q$39=0,Inputs!$Q$41/100*AH$10*Inputs!$Q$42*AH$5,MIN(Inputs!$Q$39,Inputs!$Q$41/100*AH$10*Inputs!$Q$42*AH$5))),0))</f>
        <v>0</v>
      </c>
      <c r="AI178" s="283">
        <f>IF(OR(Inputs!$G$73="No",Inputs!$Q$33="Cost-Based",Inputs!$Q$33="Neither"),0,IF(Inputs!$Q$38="Tax Credit",IF(AI$2&gt;Inputs!$Q$43,0,IF(Inputs!$Q$39=0,Inputs!$Q$41/100*AI$10*Inputs!$Q$42*AI$5,MIN(Inputs!$Q$39,Inputs!$Q$41/100*AI$10*Inputs!$Q$42*AI$5))),0))</f>
        <v>0</v>
      </c>
      <c r="AJ178" s="283">
        <f>IF(OR(Inputs!$G$73="No",Inputs!$Q$33="Cost-Based",Inputs!$Q$33="Neither"),0,IF(Inputs!$Q$38="Tax Credit",IF(AJ$2&gt;Inputs!$Q$43,0,IF(Inputs!$Q$39=0,Inputs!$Q$41/100*AJ$10*Inputs!$Q$42*AJ$5,MIN(Inputs!$Q$39,Inputs!$Q$41/100*AJ$10*Inputs!$Q$42*AJ$5))),0))</f>
        <v>0</v>
      </c>
    </row>
    <row r="179" spans="2:36" s="28" customFormat="1" ht="16">
      <c r="B179" s="263"/>
      <c r="C179" s="263"/>
      <c r="D179" s="263"/>
      <c r="E179" s="263"/>
      <c r="F179" s="278"/>
      <c r="G179" s="288"/>
      <c r="H179" s="289"/>
      <c r="I179" s="263"/>
      <c r="J179" s="263"/>
      <c r="K179" s="263"/>
      <c r="L179" s="263"/>
      <c r="M179" s="263"/>
      <c r="N179" s="263"/>
      <c r="O179" s="263"/>
      <c r="P179" s="263"/>
      <c r="Q179" s="263"/>
      <c r="R179" s="263"/>
      <c r="S179" s="263"/>
      <c r="T179" s="263"/>
      <c r="U179" s="263"/>
      <c r="V179" s="263"/>
      <c r="W179" s="263"/>
      <c r="X179" s="263"/>
      <c r="Y179" s="263"/>
      <c r="Z179" s="263"/>
      <c r="AA179" s="263"/>
      <c r="AB179" s="263"/>
      <c r="AC179" s="263"/>
      <c r="AD179" s="263"/>
      <c r="AE179" s="263"/>
      <c r="AF179" s="263"/>
      <c r="AG179" s="263"/>
      <c r="AH179" s="263"/>
      <c r="AI179" s="263"/>
      <c r="AJ179" s="263"/>
    </row>
    <row r="180" spans="2:36" s="28" customFormat="1" ht="16">
      <c r="B180" s="263" t="s">
        <v>264</v>
      </c>
      <c r="C180" s="263"/>
      <c r="D180" s="263"/>
      <c r="E180" s="263"/>
      <c r="F180" s="278"/>
      <c r="G180" s="283">
        <f>SUM(G177:G178)</f>
        <v>0</v>
      </c>
      <c r="H180" s="283">
        <f t="shared" ref="H180:AJ180" si="56">SUM(H177:H178)</f>
        <v>0</v>
      </c>
      <c r="I180" s="283">
        <f t="shared" si="56"/>
        <v>0</v>
      </c>
      <c r="J180" s="283">
        <f t="shared" si="56"/>
        <v>0</v>
      </c>
      <c r="K180" s="283">
        <f t="shared" si="56"/>
        <v>0</v>
      </c>
      <c r="L180" s="283">
        <f t="shared" si="56"/>
        <v>0</v>
      </c>
      <c r="M180" s="283">
        <f t="shared" si="56"/>
        <v>0</v>
      </c>
      <c r="N180" s="283">
        <f t="shared" si="56"/>
        <v>0</v>
      </c>
      <c r="O180" s="283">
        <f t="shared" si="56"/>
        <v>0</v>
      </c>
      <c r="P180" s="283">
        <f t="shared" si="56"/>
        <v>0</v>
      </c>
      <c r="Q180" s="283">
        <f t="shared" si="56"/>
        <v>0</v>
      </c>
      <c r="R180" s="283">
        <f t="shared" si="56"/>
        <v>0</v>
      </c>
      <c r="S180" s="283">
        <f t="shared" si="56"/>
        <v>0</v>
      </c>
      <c r="T180" s="283">
        <f t="shared" si="56"/>
        <v>0</v>
      </c>
      <c r="U180" s="283">
        <f t="shared" si="56"/>
        <v>0</v>
      </c>
      <c r="V180" s="283">
        <f t="shared" si="56"/>
        <v>0</v>
      </c>
      <c r="W180" s="283">
        <f t="shared" si="56"/>
        <v>0</v>
      </c>
      <c r="X180" s="283">
        <f t="shared" si="56"/>
        <v>0</v>
      </c>
      <c r="Y180" s="283">
        <f t="shared" si="56"/>
        <v>0</v>
      </c>
      <c r="Z180" s="283">
        <f t="shared" si="56"/>
        <v>0</v>
      </c>
      <c r="AA180" s="283">
        <f t="shared" si="56"/>
        <v>0</v>
      </c>
      <c r="AB180" s="283">
        <f t="shared" si="56"/>
        <v>0</v>
      </c>
      <c r="AC180" s="283">
        <f t="shared" si="56"/>
        <v>0</v>
      </c>
      <c r="AD180" s="283">
        <f t="shared" si="56"/>
        <v>0</v>
      </c>
      <c r="AE180" s="283">
        <f t="shared" si="56"/>
        <v>0</v>
      </c>
      <c r="AF180" s="283">
        <f t="shared" si="56"/>
        <v>0</v>
      </c>
      <c r="AG180" s="283">
        <f t="shared" si="56"/>
        <v>0</v>
      </c>
      <c r="AH180" s="283">
        <f t="shared" si="56"/>
        <v>0</v>
      </c>
      <c r="AI180" s="283">
        <f t="shared" si="56"/>
        <v>0</v>
      </c>
      <c r="AJ180" s="283">
        <f t="shared" si="56"/>
        <v>0</v>
      </c>
    </row>
    <row r="181" spans="2:36" s="28" customFormat="1" ht="16">
      <c r="B181" s="263"/>
      <c r="C181" s="263"/>
      <c r="D181" s="263"/>
      <c r="E181" s="263"/>
      <c r="F181" s="278"/>
      <c r="G181" s="283"/>
      <c r="H181" s="283"/>
      <c r="I181" s="283"/>
      <c r="J181" s="283"/>
      <c r="K181" s="283"/>
      <c r="L181" s="283"/>
      <c r="M181" s="283"/>
      <c r="N181" s="283"/>
      <c r="O181" s="283"/>
      <c r="P181" s="283"/>
      <c r="Q181" s="283"/>
      <c r="R181" s="283"/>
      <c r="S181" s="283"/>
      <c r="T181" s="283"/>
      <c r="U181" s="283"/>
      <c r="V181" s="283"/>
      <c r="W181" s="283"/>
      <c r="X181" s="283"/>
      <c r="Y181" s="283"/>
      <c r="Z181" s="283"/>
      <c r="AA181" s="283"/>
      <c r="AB181" s="283"/>
      <c r="AC181" s="283"/>
      <c r="AD181" s="283"/>
      <c r="AE181" s="283"/>
      <c r="AF181" s="283"/>
      <c r="AG181" s="283"/>
      <c r="AH181" s="283"/>
      <c r="AI181" s="283"/>
      <c r="AJ181" s="283"/>
    </row>
    <row r="182" spans="2:36" s="28" customFormat="1" ht="16">
      <c r="B182" s="346" t="s">
        <v>265</v>
      </c>
      <c r="C182" s="346"/>
      <c r="D182" s="346"/>
      <c r="E182" s="263"/>
      <c r="F182" s="278"/>
      <c r="G182" s="283"/>
      <c r="H182" s="283"/>
      <c r="I182" s="283"/>
      <c r="J182" s="283"/>
      <c r="K182" s="283"/>
      <c r="L182" s="283"/>
      <c r="M182" s="283"/>
      <c r="N182" s="283"/>
      <c r="O182" s="283"/>
      <c r="P182" s="283"/>
      <c r="Q182" s="283"/>
      <c r="R182" s="283"/>
      <c r="S182" s="283"/>
      <c r="T182" s="283"/>
      <c r="U182" s="283"/>
      <c r="V182" s="283"/>
      <c r="W182" s="283"/>
      <c r="X182" s="283"/>
      <c r="Y182" s="283"/>
      <c r="Z182" s="283"/>
      <c r="AA182" s="283"/>
      <c r="AB182" s="283"/>
      <c r="AC182" s="283"/>
      <c r="AD182" s="283"/>
      <c r="AE182" s="283"/>
      <c r="AF182" s="283"/>
      <c r="AG182" s="283"/>
      <c r="AH182" s="283"/>
      <c r="AI182" s="283"/>
      <c r="AJ182" s="283"/>
    </row>
    <row r="183" spans="2:36" s="28" customFormat="1" ht="16">
      <c r="B183" s="263" t="str">
        <f>B64</f>
        <v>State Income Taxes Saved / (Paid), before ITC/PTC</v>
      </c>
      <c r="C183" s="263"/>
      <c r="D183" s="263"/>
      <c r="E183" s="263"/>
      <c r="F183" s="278"/>
      <c r="G183" s="283" t="str">
        <f>IF(Inputs!$G$77="as generated","N/A",'Cash Flow'!G64)</f>
        <v>N/A</v>
      </c>
      <c r="H183" s="283" t="str">
        <f>IF(Inputs!$G$77="as generated","N/A",'Cash Flow'!H64)</f>
        <v>N/A</v>
      </c>
      <c r="I183" s="283" t="str">
        <f>IF(Inputs!$G$77="as generated","N/A",'Cash Flow'!I64)</f>
        <v>N/A</v>
      </c>
      <c r="J183" s="283" t="str">
        <f>IF(Inputs!$G$77="as generated","N/A",'Cash Flow'!J64)</f>
        <v>N/A</v>
      </c>
      <c r="K183" s="283" t="str">
        <f>IF(Inputs!$G$77="as generated","N/A",'Cash Flow'!K64)</f>
        <v>N/A</v>
      </c>
      <c r="L183" s="283" t="str">
        <f>IF(Inputs!$G$77="as generated","N/A",'Cash Flow'!L64)</f>
        <v>N/A</v>
      </c>
      <c r="M183" s="283" t="str">
        <f>IF(Inputs!$G$77="as generated","N/A",'Cash Flow'!M64)</f>
        <v>N/A</v>
      </c>
      <c r="N183" s="283" t="str">
        <f>IF(Inputs!$G$77="as generated","N/A",'Cash Flow'!N64)</f>
        <v>N/A</v>
      </c>
      <c r="O183" s="283" t="str">
        <f>IF(Inputs!$G$77="as generated","N/A",'Cash Flow'!O64)</f>
        <v>N/A</v>
      </c>
      <c r="P183" s="283" t="str">
        <f>IF(Inputs!$G$77="as generated","N/A",'Cash Flow'!P64)</f>
        <v>N/A</v>
      </c>
      <c r="Q183" s="283" t="str">
        <f>IF(Inputs!$G$77="as generated","N/A",'Cash Flow'!Q64)</f>
        <v>N/A</v>
      </c>
      <c r="R183" s="283" t="str">
        <f>IF(Inputs!$G$77="as generated","N/A",'Cash Flow'!R64)</f>
        <v>N/A</v>
      </c>
      <c r="S183" s="283" t="str">
        <f>IF(Inputs!$G$77="as generated","N/A",'Cash Flow'!S64)</f>
        <v>N/A</v>
      </c>
      <c r="T183" s="283" t="str">
        <f>IF(Inputs!$G$77="as generated","N/A",'Cash Flow'!T64)</f>
        <v>N/A</v>
      </c>
      <c r="U183" s="283" t="str">
        <f>IF(Inputs!$G$77="as generated","N/A",'Cash Flow'!U64)</f>
        <v>N/A</v>
      </c>
      <c r="V183" s="283" t="str">
        <f>IF(Inputs!$G$77="as generated","N/A",'Cash Flow'!V64)</f>
        <v>N/A</v>
      </c>
      <c r="W183" s="283" t="str">
        <f>IF(Inputs!$G$77="as generated","N/A",'Cash Flow'!W64)</f>
        <v>N/A</v>
      </c>
      <c r="X183" s="283" t="str">
        <f>IF(Inputs!$G$77="as generated","N/A",'Cash Flow'!X64)</f>
        <v>N/A</v>
      </c>
      <c r="Y183" s="283" t="str">
        <f>IF(Inputs!$G$77="as generated","N/A",'Cash Flow'!Y64)</f>
        <v>N/A</v>
      </c>
      <c r="Z183" s="283" t="str">
        <f>IF(Inputs!$G$77="as generated","N/A",'Cash Flow'!Z64)</f>
        <v>N/A</v>
      </c>
      <c r="AA183" s="283" t="str">
        <f>IF(Inputs!$G$77="as generated","N/A",'Cash Flow'!AA64)</f>
        <v>N/A</v>
      </c>
      <c r="AB183" s="283" t="str">
        <f>IF(Inputs!$G$77="as generated","N/A",'Cash Flow'!AB64)</f>
        <v>N/A</v>
      </c>
      <c r="AC183" s="283" t="str">
        <f>IF(Inputs!$G$77="as generated","N/A",'Cash Flow'!AC64)</f>
        <v>N/A</v>
      </c>
      <c r="AD183" s="283" t="str">
        <f>IF(Inputs!$G$77="as generated","N/A",'Cash Flow'!AD64)</f>
        <v>N/A</v>
      </c>
      <c r="AE183" s="283" t="str">
        <f>IF(Inputs!$G$77="as generated","N/A",'Cash Flow'!AE64)</f>
        <v>N/A</v>
      </c>
      <c r="AF183" s="283" t="str">
        <f>IF(Inputs!$G$77="as generated","N/A",'Cash Flow'!AF64)</f>
        <v>N/A</v>
      </c>
      <c r="AG183" s="283" t="str">
        <f>IF(Inputs!$G$77="as generated","N/A",'Cash Flow'!AG64)</f>
        <v>N/A</v>
      </c>
      <c r="AH183" s="283" t="str">
        <f>IF(Inputs!$G$77="as generated","N/A",'Cash Flow'!AH64)</f>
        <v>N/A</v>
      </c>
      <c r="AI183" s="283" t="str">
        <f>IF(Inputs!$G$77="as generated","N/A",'Cash Flow'!AI64)</f>
        <v>N/A</v>
      </c>
      <c r="AJ183" s="283" t="str">
        <f>IF(Inputs!$G$77="as generated","N/A",'Cash Flow'!AJ64)</f>
        <v>N/A</v>
      </c>
    </row>
    <row r="184" spans="2:36" s="28" customFormat="1" ht="16">
      <c r="B184" s="263"/>
      <c r="C184" s="263"/>
      <c r="D184" s="263"/>
      <c r="E184" s="263"/>
      <c r="F184" s="278"/>
      <c r="G184" s="283"/>
      <c r="H184" s="283"/>
      <c r="I184" s="283"/>
      <c r="J184" s="283"/>
      <c r="K184" s="283"/>
      <c r="L184" s="283"/>
      <c r="M184" s="283"/>
      <c r="N184" s="283"/>
      <c r="O184" s="283"/>
      <c r="P184" s="283"/>
      <c r="Q184" s="283"/>
      <c r="R184" s="283"/>
      <c r="S184" s="283"/>
      <c r="T184" s="283"/>
      <c r="U184" s="283"/>
      <c r="V184" s="283"/>
      <c r="W184" s="283"/>
      <c r="X184" s="283"/>
      <c r="Y184" s="283"/>
      <c r="Z184" s="283"/>
      <c r="AA184" s="283"/>
      <c r="AB184" s="283"/>
      <c r="AC184" s="283"/>
      <c r="AD184" s="283"/>
      <c r="AE184" s="283"/>
      <c r="AF184" s="283"/>
      <c r="AG184" s="283"/>
      <c r="AH184" s="283"/>
      <c r="AI184" s="283"/>
      <c r="AJ184" s="283"/>
    </row>
    <row r="185" spans="2:36" s="28" customFormat="1" ht="16">
      <c r="B185" s="263" t="s">
        <v>303</v>
      </c>
      <c r="C185" s="263"/>
      <c r="D185" s="263"/>
      <c r="E185" s="263"/>
      <c r="F185" s="278"/>
      <c r="G185" s="283">
        <v>0</v>
      </c>
      <c r="H185" s="283">
        <f>IF(Inputs!$G$77="as generated",0,G188)</f>
        <v>0</v>
      </c>
      <c r="I185" s="283">
        <f>IF(Inputs!$G$77="as generated",0,H188)</f>
        <v>0</v>
      </c>
      <c r="J185" s="283">
        <f>IF(Inputs!$G$77="as generated",0,I188)</f>
        <v>0</v>
      </c>
      <c r="K185" s="283">
        <f>IF(Inputs!$G$77="as generated",0,J188)</f>
        <v>0</v>
      </c>
      <c r="L185" s="283">
        <f>IF(Inputs!$G$77="as generated",0,K188)</f>
        <v>0</v>
      </c>
      <c r="M185" s="283">
        <f>IF(Inputs!$G$77="as generated",0,L188)</f>
        <v>0</v>
      </c>
      <c r="N185" s="283">
        <f>IF(Inputs!$G$77="as generated",0,M188)</f>
        <v>0</v>
      </c>
      <c r="O185" s="283">
        <f>IF(Inputs!$G$77="as generated",0,N188)</f>
        <v>0</v>
      </c>
      <c r="P185" s="283">
        <f>IF(Inputs!$G$77="as generated",0,O188)</f>
        <v>0</v>
      </c>
      <c r="Q185" s="283">
        <f>IF(Inputs!$G$77="as generated",0,P188)</f>
        <v>0</v>
      </c>
      <c r="R185" s="283">
        <f>IF(Inputs!$G$77="as generated",0,Q188)</f>
        <v>0</v>
      </c>
      <c r="S185" s="283">
        <f>IF(Inputs!$G$77="as generated",0,R188)</f>
        <v>0</v>
      </c>
      <c r="T185" s="283">
        <f>IF(Inputs!$G$77="as generated",0,S188)</f>
        <v>0</v>
      </c>
      <c r="U185" s="283">
        <f>IF(Inputs!$G$77="as generated",0,T188)</f>
        <v>0</v>
      </c>
      <c r="V185" s="283">
        <f>IF(Inputs!$G$77="as generated",0,U188)</f>
        <v>0</v>
      </c>
      <c r="W185" s="283">
        <f>IF(Inputs!$G$77="as generated",0,V188)</f>
        <v>0</v>
      </c>
      <c r="X185" s="283">
        <f>IF(Inputs!$G$77="as generated",0,W188)</f>
        <v>0</v>
      </c>
      <c r="Y185" s="283">
        <f>IF(Inputs!$G$77="as generated",0,X188)</f>
        <v>0</v>
      </c>
      <c r="Z185" s="283">
        <f>IF(Inputs!$G$77="as generated",0,Y188)</f>
        <v>0</v>
      </c>
      <c r="AA185" s="283">
        <f>IF(Inputs!$G$77="as generated",0,Z188)</f>
        <v>0</v>
      </c>
      <c r="AB185" s="283">
        <f>IF(Inputs!$G$77="as generated",0,AA188)</f>
        <v>0</v>
      </c>
      <c r="AC185" s="283">
        <f>IF(Inputs!$G$77="as generated",0,AB188)</f>
        <v>0</v>
      </c>
      <c r="AD185" s="283">
        <f>IF(Inputs!$G$77="as generated",0,AC188)</f>
        <v>0</v>
      </c>
      <c r="AE185" s="283">
        <f>IF(Inputs!$G$77="as generated",0,AD188)</f>
        <v>0</v>
      </c>
      <c r="AF185" s="283">
        <f>IF(Inputs!$G$77="as generated",0,AE188)</f>
        <v>0</v>
      </c>
      <c r="AG185" s="283">
        <f>IF(Inputs!$G$77="as generated",0,AF188)</f>
        <v>0</v>
      </c>
      <c r="AH185" s="283">
        <f>IF(Inputs!$G$77="as generated",0,AG188)</f>
        <v>0</v>
      </c>
      <c r="AI185" s="283">
        <f>IF(Inputs!$G$77="as generated",0,AH188)</f>
        <v>0</v>
      </c>
      <c r="AJ185" s="283">
        <f>IF(Inputs!$G$77="as generated",0,AI188)</f>
        <v>0</v>
      </c>
    </row>
    <row r="186" spans="2:36" s="28" customFormat="1" ht="16">
      <c r="B186" s="263" t="s">
        <v>304</v>
      </c>
      <c r="C186" s="263"/>
      <c r="D186" s="263"/>
      <c r="E186" s="263"/>
      <c r="F186" s="278"/>
      <c r="G186" s="283">
        <f>IF(Inputs!$G$77="as generated",0,IF(G183&lt;=0,G180,0))</f>
        <v>0</v>
      </c>
      <c r="H186" s="283">
        <f>IF(Inputs!$G$77="as generated",0,IF(H183&lt;=0,H180,0))</f>
        <v>0</v>
      </c>
      <c r="I186" s="283">
        <f>IF(Inputs!$G$77="as generated",0,IF(I183&lt;=0,I180,0))</f>
        <v>0</v>
      </c>
      <c r="J186" s="283">
        <f>IF(Inputs!$G$77="as generated",0,IF(J183&lt;=0,J180,0))</f>
        <v>0</v>
      </c>
      <c r="K186" s="283">
        <f>IF(Inputs!$G$77="as generated",0,IF(K183&lt;=0,K180,0))</f>
        <v>0</v>
      </c>
      <c r="L186" s="283">
        <f>IF(Inputs!$G$77="as generated",0,IF(L183&lt;=0,L180,0))</f>
        <v>0</v>
      </c>
      <c r="M186" s="283">
        <f>IF(Inputs!$G$77="as generated",0,IF(M183&lt;=0,M180,0))</f>
        <v>0</v>
      </c>
      <c r="N186" s="283">
        <f>IF(Inputs!$G$77="as generated",0,IF(N183&lt;=0,N180,0))</f>
        <v>0</v>
      </c>
      <c r="O186" s="283">
        <f>IF(Inputs!$G$77="as generated",0,IF(O183&lt;=0,O180,0))</f>
        <v>0</v>
      </c>
      <c r="P186" s="283">
        <f>IF(Inputs!$G$77="as generated",0,IF(P183&lt;=0,P180,0))</f>
        <v>0</v>
      </c>
      <c r="Q186" s="283">
        <f>IF(Inputs!$G$77="as generated",0,IF(Q183&lt;=0,Q180,0))</f>
        <v>0</v>
      </c>
      <c r="R186" s="283">
        <f>IF(Inputs!$G$77="as generated",0,IF(R183&lt;=0,R180,0))</f>
        <v>0</v>
      </c>
      <c r="S186" s="283">
        <f>IF(Inputs!$G$77="as generated",0,IF(S183&lt;=0,S180,0))</f>
        <v>0</v>
      </c>
      <c r="T186" s="283">
        <f>IF(Inputs!$G$77="as generated",0,IF(T183&lt;=0,T180,0))</f>
        <v>0</v>
      </c>
      <c r="U186" s="283">
        <f>IF(Inputs!$G$77="as generated",0,IF(U183&lt;=0,U180,0))</f>
        <v>0</v>
      </c>
      <c r="V186" s="283">
        <f>IF(Inputs!$G$77="as generated",0,IF(V183&lt;=0,V180,0))</f>
        <v>0</v>
      </c>
      <c r="W186" s="283">
        <f>IF(Inputs!$G$77="as generated",0,IF(W183&lt;=0,W180,0))</f>
        <v>0</v>
      </c>
      <c r="X186" s="283">
        <f>IF(Inputs!$G$77="as generated",0,IF(X183&lt;=0,X180,0))</f>
        <v>0</v>
      </c>
      <c r="Y186" s="283">
        <f>IF(Inputs!$G$77="as generated",0,IF(Y183&lt;=0,Y180,0))</f>
        <v>0</v>
      </c>
      <c r="Z186" s="283">
        <f>IF(Inputs!$G$77="as generated",0,IF(Z183&lt;=0,Z180,0))</f>
        <v>0</v>
      </c>
      <c r="AA186" s="283">
        <f>IF(Inputs!$G$77="as generated",0,IF(AA183&lt;=0,AA180,0))</f>
        <v>0</v>
      </c>
      <c r="AB186" s="283">
        <f>IF(Inputs!$G$77="as generated",0,IF(AB183&lt;=0,AB180,0))</f>
        <v>0</v>
      </c>
      <c r="AC186" s="283">
        <f>IF(Inputs!$G$77="as generated",0,IF(AC183&lt;=0,AC180,0))</f>
        <v>0</v>
      </c>
      <c r="AD186" s="283">
        <f>IF(Inputs!$G$77="as generated",0,IF(AD183&lt;=0,AD180,0))</f>
        <v>0</v>
      </c>
      <c r="AE186" s="283">
        <f>IF(Inputs!$G$77="as generated",0,IF(AE183&lt;=0,AE180,0))</f>
        <v>0</v>
      </c>
      <c r="AF186" s="283">
        <f>IF(Inputs!$G$77="as generated",0,IF(AF183&lt;=0,AF180,0))</f>
        <v>0</v>
      </c>
      <c r="AG186" s="283">
        <f>IF(Inputs!$G$77="as generated",0,IF(AG183&lt;=0,AG180,0))</f>
        <v>0</v>
      </c>
      <c r="AH186" s="283">
        <f>IF(Inputs!$G$77="as generated",0,IF(AH183&lt;=0,AH180,0))</f>
        <v>0</v>
      </c>
      <c r="AI186" s="283">
        <f>IF(Inputs!$G$77="as generated",0,IF(AI183&lt;=0,AI180,0))</f>
        <v>0</v>
      </c>
      <c r="AJ186" s="283">
        <f>IF(Inputs!$G$77="as generated",0,IF(AJ183&lt;=0,AJ180,0))</f>
        <v>0</v>
      </c>
    </row>
    <row r="187" spans="2:36" s="28" customFormat="1" ht="16">
      <c r="B187" s="263" t="s">
        <v>305</v>
      </c>
      <c r="C187" s="263"/>
      <c r="D187" s="263"/>
      <c r="E187" s="263"/>
      <c r="F187" s="278"/>
      <c r="G187" s="283">
        <f>IF(Inputs!$G$77="as generated",0,IF(G$183&lt;0,MAX(G$183,-F$188),0))</f>
        <v>0</v>
      </c>
      <c r="H187" s="283">
        <f>IF(Inputs!$G$77="as generated",0,IF(H$183&lt;0,MAX(H$183,-G$188),0))</f>
        <v>0</v>
      </c>
      <c r="I187" s="283">
        <f>IF(Inputs!$G$77="as generated",0,IF(I$183&lt;0,MAX(I$183,-H$188),0))</f>
        <v>0</v>
      </c>
      <c r="J187" s="283">
        <f>IF(Inputs!$G$77="as generated",0,IF(J$183&lt;0,MAX(J$183,-I$188),0))</f>
        <v>0</v>
      </c>
      <c r="K187" s="283">
        <f>IF(Inputs!$G$77="as generated",0,IF(K$183&lt;0,MAX(K$183,-J$188),0))</f>
        <v>0</v>
      </c>
      <c r="L187" s="283">
        <f>IF(Inputs!$G$77="as generated",0,IF(L$183&lt;0,MAX(L$183,-K$188),0))</f>
        <v>0</v>
      </c>
      <c r="M187" s="283">
        <f>IF(Inputs!$G$77="as generated",0,IF(M$183&lt;0,MAX(M$183,-L$188),0))</f>
        <v>0</v>
      </c>
      <c r="N187" s="283">
        <f>IF(Inputs!$G$77="as generated",0,IF(N$183&lt;0,MAX(N$183,-M$188),0))</f>
        <v>0</v>
      </c>
      <c r="O187" s="283">
        <f>IF(Inputs!$G$77="as generated",0,IF(O$183&lt;0,MAX(O$183,-N$188),0))</f>
        <v>0</v>
      </c>
      <c r="P187" s="283">
        <f>IF(Inputs!$G$77="as generated",0,IF(P$183&lt;0,MAX(P$183,-O$188),0))</f>
        <v>0</v>
      </c>
      <c r="Q187" s="283">
        <f>IF(Inputs!$G$77="as generated",0,IF(Q$183&lt;0,MAX(Q$183,-P$188),0))</f>
        <v>0</v>
      </c>
      <c r="R187" s="283">
        <f>IF(Inputs!$G$77="as generated",0,IF(R$183&lt;0,MAX(R$183,-Q$188),0))</f>
        <v>0</v>
      </c>
      <c r="S187" s="283">
        <f>IF(Inputs!$G$77="as generated",0,IF(S$183&lt;0,MAX(S$183,-R$188),0))</f>
        <v>0</v>
      </c>
      <c r="T187" s="283">
        <f>IF(Inputs!$G$77="as generated",0,IF(T$183&lt;0,MAX(T$183,-S$188),0))</f>
        <v>0</v>
      </c>
      <c r="U187" s="283">
        <f>IF(Inputs!$G$77="as generated",0,IF(U$183&lt;0,MAX(U$183,-T$188),0))</f>
        <v>0</v>
      </c>
      <c r="V187" s="283">
        <f>IF(Inputs!$G$77="as generated",0,IF(V$183&lt;0,MAX(V$183,-U$188),0))</f>
        <v>0</v>
      </c>
      <c r="W187" s="283">
        <f>IF(Inputs!$G$77="as generated",0,IF(W$183&lt;0,MAX(W$183,-V$188),0))</f>
        <v>0</v>
      </c>
      <c r="X187" s="283">
        <f>IF(Inputs!$G$77="as generated",0,IF(X$183&lt;0,MAX(X$183,-W$188),0))</f>
        <v>0</v>
      </c>
      <c r="Y187" s="283">
        <f>IF(Inputs!$G$77="as generated",0,IF(Y$183&lt;0,MAX(Y$183,-X$188),0))</f>
        <v>0</v>
      </c>
      <c r="Z187" s="283">
        <f>IF(Inputs!$G$77="as generated",0,IF(Z$183&lt;0,MAX(Z$183,-Y$188),0))</f>
        <v>0</v>
      </c>
      <c r="AA187" s="283">
        <f>IF(Inputs!$G$77="as generated",0,IF(AA$183&lt;0,MAX(AA$183,-Z$188),0))</f>
        <v>0</v>
      </c>
      <c r="AB187" s="283">
        <f>IF(Inputs!$G$77="as generated",0,IF(AB$183&lt;0,MAX(AB$183,-AA$188),0))</f>
        <v>0</v>
      </c>
      <c r="AC187" s="283">
        <f>IF(Inputs!$G$77="as generated",0,IF(AC$183&lt;0,MAX(AC$183,-AB$188),0))</f>
        <v>0</v>
      </c>
      <c r="AD187" s="283">
        <f>IF(Inputs!$G$77="as generated",0,IF(AD$183&lt;0,MAX(AD$183,-AC$188),0))</f>
        <v>0</v>
      </c>
      <c r="AE187" s="283">
        <f>IF(Inputs!$G$77="as generated",0,IF(AE$183&lt;0,MAX(AE$183,-AD$188),0))</f>
        <v>0</v>
      </c>
      <c r="AF187" s="283">
        <f>IF(Inputs!$G$77="as generated",0,IF(AF$183&lt;0,MAX(AF$183,-AE$188),0))</f>
        <v>0</v>
      </c>
      <c r="AG187" s="283">
        <f>IF(Inputs!$G$77="as generated",0,IF(AG$183&lt;0,MAX(AG$183,-AF$188),0))</f>
        <v>0</v>
      </c>
      <c r="AH187" s="283">
        <f>IF(Inputs!$G$77="as generated",0,IF(AH$183&lt;0,MAX(AH$183,-AG$188),0))</f>
        <v>0</v>
      </c>
      <c r="AI187" s="283">
        <f>IF(Inputs!$G$77="as generated",0,IF(AI$183&lt;0,MAX(AI$183,-AH$188),0))</f>
        <v>0</v>
      </c>
      <c r="AJ187" s="283">
        <f>IF(Inputs!$G$77="as generated",0,IF(AJ$183&lt;0,MAX(AJ$183,-AI$188),0))</f>
        <v>0</v>
      </c>
    </row>
    <row r="188" spans="2:36" s="28" customFormat="1" ht="16">
      <c r="B188" s="263" t="s">
        <v>306</v>
      </c>
      <c r="C188" s="263"/>
      <c r="D188" s="263"/>
      <c r="E188" s="263"/>
      <c r="F188" s="283">
        <v>0</v>
      </c>
      <c r="G188" s="283">
        <f>SUM(G185:G187)</f>
        <v>0</v>
      </c>
      <c r="H188" s="283">
        <f t="shared" ref="H188:AJ188" si="57">SUM(H185:H187)</f>
        <v>0</v>
      </c>
      <c r="I188" s="283">
        <f t="shared" si="57"/>
        <v>0</v>
      </c>
      <c r="J188" s="283">
        <f t="shared" si="57"/>
        <v>0</v>
      </c>
      <c r="K188" s="283">
        <f t="shared" si="57"/>
        <v>0</v>
      </c>
      <c r="L188" s="283">
        <f t="shared" si="57"/>
        <v>0</v>
      </c>
      <c r="M188" s="283">
        <f t="shared" si="57"/>
        <v>0</v>
      </c>
      <c r="N188" s="283">
        <f t="shared" si="57"/>
        <v>0</v>
      </c>
      <c r="O188" s="283">
        <f t="shared" si="57"/>
        <v>0</v>
      </c>
      <c r="P188" s="283">
        <f t="shared" si="57"/>
        <v>0</v>
      </c>
      <c r="Q188" s="283">
        <f t="shared" si="57"/>
        <v>0</v>
      </c>
      <c r="R188" s="283">
        <f t="shared" si="57"/>
        <v>0</v>
      </c>
      <c r="S188" s="283">
        <f t="shared" si="57"/>
        <v>0</v>
      </c>
      <c r="T188" s="283">
        <f t="shared" si="57"/>
        <v>0</v>
      </c>
      <c r="U188" s="283">
        <f t="shared" si="57"/>
        <v>0</v>
      </c>
      <c r="V188" s="283">
        <f t="shared" si="57"/>
        <v>0</v>
      </c>
      <c r="W188" s="283">
        <f t="shared" si="57"/>
        <v>0</v>
      </c>
      <c r="X188" s="283">
        <f t="shared" si="57"/>
        <v>0</v>
      </c>
      <c r="Y188" s="283">
        <f t="shared" si="57"/>
        <v>0</v>
      </c>
      <c r="Z188" s="283">
        <f t="shared" si="57"/>
        <v>0</v>
      </c>
      <c r="AA188" s="283">
        <f t="shared" si="57"/>
        <v>0</v>
      </c>
      <c r="AB188" s="283">
        <f t="shared" si="57"/>
        <v>0</v>
      </c>
      <c r="AC188" s="283">
        <f t="shared" si="57"/>
        <v>0</v>
      </c>
      <c r="AD188" s="283">
        <f t="shared" si="57"/>
        <v>0</v>
      </c>
      <c r="AE188" s="283">
        <f t="shared" si="57"/>
        <v>0</v>
      </c>
      <c r="AF188" s="283">
        <f t="shared" si="57"/>
        <v>0</v>
      </c>
      <c r="AG188" s="283">
        <f t="shared" si="57"/>
        <v>0</v>
      </c>
      <c r="AH188" s="283">
        <f t="shared" si="57"/>
        <v>0</v>
      </c>
      <c r="AI188" s="283">
        <f t="shared" si="57"/>
        <v>0</v>
      </c>
      <c r="AJ188" s="283">
        <f t="shared" si="57"/>
        <v>0</v>
      </c>
    </row>
    <row r="189" spans="2:36" s="28" customFormat="1" ht="17" thickBot="1">
      <c r="B189" s="285"/>
      <c r="C189" s="285"/>
      <c r="D189" s="285"/>
      <c r="E189" s="285"/>
      <c r="F189" s="285"/>
      <c r="G189" s="286"/>
      <c r="H189" s="287"/>
      <c r="I189" s="285"/>
      <c r="J189" s="285"/>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row>
    <row r="190" spans="2:36">
      <c r="B190" s="307"/>
      <c r="C190" s="307"/>
      <c r="D190" s="307"/>
      <c r="E190" s="307"/>
      <c r="F190" s="307"/>
      <c r="G190" s="307"/>
      <c r="H190" s="307"/>
      <c r="I190" s="307"/>
      <c r="J190" s="307"/>
      <c r="K190" s="307"/>
      <c r="L190" s="307"/>
      <c r="M190" s="307"/>
      <c r="N190" s="307"/>
      <c r="O190" s="307"/>
      <c r="P190" s="307"/>
      <c r="Q190" s="307"/>
      <c r="R190" s="307"/>
      <c r="S190" s="307"/>
      <c r="T190" s="307"/>
      <c r="U190" s="307"/>
      <c r="V190" s="307"/>
      <c r="W190" s="307"/>
      <c r="X190" s="307"/>
      <c r="Y190" s="307"/>
      <c r="Z190" s="307"/>
      <c r="AA190" s="307"/>
      <c r="AB190" s="307"/>
      <c r="AC190" s="307"/>
      <c r="AD190" s="307"/>
      <c r="AE190" s="307"/>
      <c r="AF190" s="307"/>
      <c r="AG190" s="307"/>
      <c r="AH190" s="307"/>
      <c r="AI190" s="307"/>
      <c r="AJ190" s="307"/>
    </row>
    <row r="191" spans="2:36" ht="16">
      <c r="B191" s="262" t="s">
        <v>152</v>
      </c>
      <c r="C191" s="262"/>
      <c r="D191" s="262"/>
      <c r="E191" s="307"/>
      <c r="F191" s="307"/>
      <c r="G191" s="307"/>
      <c r="H191" s="307"/>
      <c r="I191" s="307"/>
      <c r="J191" s="307"/>
      <c r="K191" s="307"/>
      <c r="L191" s="307"/>
      <c r="M191" s="307"/>
      <c r="N191" s="307"/>
      <c r="O191" s="307"/>
      <c r="P191" s="307"/>
      <c r="Q191" s="307"/>
      <c r="R191" s="307"/>
      <c r="S191" s="307"/>
      <c r="T191" s="307"/>
      <c r="U191" s="307"/>
      <c r="V191" s="307"/>
      <c r="W191" s="307"/>
      <c r="X191" s="307"/>
      <c r="Y191" s="307"/>
      <c r="Z191" s="307"/>
      <c r="AA191" s="307"/>
      <c r="AB191" s="307"/>
      <c r="AC191" s="307"/>
      <c r="AD191" s="307"/>
      <c r="AE191" s="307"/>
      <c r="AF191" s="307"/>
      <c r="AG191" s="307"/>
      <c r="AH191" s="307"/>
      <c r="AI191" s="307"/>
      <c r="AJ191" s="307"/>
    </row>
    <row r="192" spans="2:36" ht="16">
      <c r="B192" s="282" t="s">
        <v>93</v>
      </c>
      <c r="C192" s="282"/>
      <c r="D192" s="282"/>
      <c r="E192" s="307"/>
      <c r="F192" s="324">
        <v>0</v>
      </c>
      <c r="G192" s="300">
        <f>F197</f>
        <v>207914.23927504188</v>
      </c>
      <c r="H192" s="300">
        <f t="shared" ref="H192:AJ192" si="58">G197</f>
        <v>260136.4614972641</v>
      </c>
      <c r="I192" s="300">
        <f t="shared" si="58"/>
        <v>312358.68371948635</v>
      </c>
      <c r="J192" s="300">
        <f t="shared" si="58"/>
        <v>364580.9059417086</v>
      </c>
      <c r="K192" s="300">
        <f t="shared" si="58"/>
        <v>416803.12816393084</v>
      </c>
      <c r="L192" s="300">
        <f t="shared" si="58"/>
        <v>469025.35038615309</v>
      </c>
      <c r="M192" s="300">
        <f t="shared" si="58"/>
        <v>521247.57260837534</v>
      </c>
      <c r="N192" s="300">
        <f t="shared" si="58"/>
        <v>573469.79483059759</v>
      </c>
      <c r="O192" s="300">
        <f t="shared" si="58"/>
        <v>625692.01705281984</v>
      </c>
      <c r="P192" s="300">
        <f t="shared" si="58"/>
        <v>677914.23927504208</v>
      </c>
      <c r="Q192" s="300">
        <f t="shared" si="58"/>
        <v>207914.23927504208</v>
      </c>
      <c r="R192" s="300">
        <f t="shared" si="58"/>
        <v>260136.4614972643</v>
      </c>
      <c r="S192" s="300">
        <f t="shared" si="58"/>
        <v>312358.68371948652</v>
      </c>
      <c r="T192" s="300">
        <f t="shared" si="58"/>
        <v>364580.90594170871</v>
      </c>
      <c r="U192" s="300">
        <f t="shared" si="58"/>
        <v>416803.12816393096</v>
      </c>
      <c r="V192" s="300">
        <f t="shared" si="58"/>
        <v>469025.35038615321</v>
      </c>
      <c r="W192" s="300">
        <f t="shared" si="58"/>
        <v>521247.57260837546</v>
      </c>
      <c r="X192" s="300">
        <f t="shared" si="58"/>
        <v>573469.7948305977</v>
      </c>
      <c r="Y192" s="300">
        <f t="shared" si="58"/>
        <v>625692.01705281995</v>
      </c>
      <c r="Z192" s="300">
        <f t="shared" si="58"/>
        <v>521339.39166312199</v>
      </c>
      <c r="AA192" s="300">
        <f t="shared" si="58"/>
        <v>51339.391663121991</v>
      </c>
      <c r="AB192" s="300">
        <f t="shared" si="58"/>
        <v>51339.391663121991</v>
      </c>
      <c r="AC192" s="300">
        <f t="shared" si="58"/>
        <v>51339.391663121991</v>
      </c>
      <c r="AD192" s="300">
        <f t="shared" si="58"/>
        <v>51339.391663121991</v>
      </c>
      <c r="AE192" s="300">
        <f t="shared" si="58"/>
        <v>51339.391663121991</v>
      </c>
      <c r="AF192" s="300">
        <f t="shared" si="58"/>
        <v>2.6193447411060333E-10</v>
      </c>
      <c r="AG192" s="300">
        <f t="shared" si="58"/>
        <v>0</v>
      </c>
      <c r="AH192" s="300">
        <f t="shared" si="58"/>
        <v>0</v>
      </c>
      <c r="AI192" s="300">
        <f t="shared" si="58"/>
        <v>0</v>
      </c>
      <c r="AJ192" s="300">
        <f t="shared" si="58"/>
        <v>0</v>
      </c>
    </row>
    <row r="193" spans="2:36" ht="16">
      <c r="B193" s="282" t="s">
        <v>42</v>
      </c>
      <c r="C193" s="282"/>
      <c r="D193" s="282"/>
      <c r="E193" s="307"/>
      <c r="F193" s="300">
        <f>Inputs!$Q$63</f>
        <v>156574.84761192015</v>
      </c>
      <c r="G193" s="300">
        <f>IF(G$2=Inputs!$G$52+1,-$F$193,0)</f>
        <v>0</v>
      </c>
      <c r="H193" s="300">
        <f>IF(H$2=Inputs!$G$52+1,-$F$193,0)</f>
        <v>0</v>
      </c>
      <c r="I193" s="300">
        <f>IF(I$2=Inputs!$G$52+1,-$F$193,0)</f>
        <v>0</v>
      </c>
      <c r="J193" s="300">
        <f>IF(J$2=Inputs!$G$52+1,-$F$193,0)</f>
        <v>0</v>
      </c>
      <c r="K193" s="300">
        <f>IF(K$2=Inputs!$G$52+1,-$F$193,0)</f>
        <v>0</v>
      </c>
      <c r="L193" s="300">
        <f>IF(L$2=Inputs!$G$52+1,-$F$193,0)</f>
        <v>0</v>
      </c>
      <c r="M193" s="300">
        <f>IF(M$2=Inputs!$G$52+1,-$F$193,0)</f>
        <v>0</v>
      </c>
      <c r="N193" s="300">
        <f>IF(N$2=Inputs!$G$52+1,-$F$193,0)</f>
        <v>0</v>
      </c>
      <c r="O193" s="300">
        <f>IF(O$2=Inputs!$G$52+1,-$F$193,0)</f>
        <v>0</v>
      </c>
      <c r="P193" s="300">
        <f>IF(P$2=Inputs!$G$52+1,-$F$193,0)</f>
        <v>0</v>
      </c>
      <c r="Q193" s="300">
        <f>IF(Q$2=Inputs!$G$52+1,-$F$193,0)</f>
        <v>0</v>
      </c>
      <c r="R193" s="300">
        <f>IF(R$2=Inputs!$G$52+1,-$F$193,0)</f>
        <v>0</v>
      </c>
      <c r="S193" s="300">
        <f>IF(S$2=Inputs!$G$52+1,-$F$193,0)</f>
        <v>0</v>
      </c>
      <c r="T193" s="300">
        <f>IF(T$2=Inputs!$G$52+1,-$F$193,0)</f>
        <v>0</v>
      </c>
      <c r="U193" s="300">
        <f>IF(U$2=Inputs!$G$52+1,-$F$193,0)</f>
        <v>0</v>
      </c>
      <c r="V193" s="300">
        <f>IF(V$2=Inputs!$G$52+1,-$F$193,0)</f>
        <v>0</v>
      </c>
      <c r="W193" s="300">
        <f>IF(W$2=Inputs!$G$52+1,-$F$193,0)</f>
        <v>0</v>
      </c>
      <c r="X193" s="300">
        <f>IF(X$2=Inputs!$G$52+1,-$F$193,0)</f>
        <v>0</v>
      </c>
      <c r="Y193" s="300">
        <f>IF(Y$2=Inputs!$G$52+1,-$F$193,0)</f>
        <v>-156574.84761192015</v>
      </c>
      <c r="Z193" s="300">
        <f>IF(Z$2=Inputs!$G$52+1,-$F$193,0)</f>
        <v>0</v>
      </c>
      <c r="AA193" s="300">
        <f>IF(AA$2=Inputs!$G$52+1,-$F$193,0)</f>
        <v>0</v>
      </c>
      <c r="AB193" s="300">
        <f>IF(AB$2=Inputs!$G$52+1,-$F$193,0)</f>
        <v>0</v>
      </c>
      <c r="AC193" s="300">
        <f>IF(AC$2=Inputs!$G$52+1,-$F$193,0)</f>
        <v>0</v>
      </c>
      <c r="AD193" s="300">
        <f>IF(AD$2=Inputs!$G$52+1,-$F$193,0)</f>
        <v>0</v>
      </c>
      <c r="AE193" s="300">
        <f>IF(AE$2=Inputs!$G$52+1,-$F$193,0)</f>
        <v>0</v>
      </c>
      <c r="AF193" s="300">
        <f>IF(AF$2=Inputs!$G$52+1,-$F$193,0)</f>
        <v>0</v>
      </c>
      <c r="AG193" s="300">
        <f>IF(AG$2=Inputs!$G$52+1,-$F$193,0)</f>
        <v>0</v>
      </c>
      <c r="AH193" s="300">
        <f>IF(AH$2=Inputs!$G$52+1,-$F$193,0)</f>
        <v>0</v>
      </c>
      <c r="AI193" s="300">
        <f>IF(AI$2=Inputs!$G$52+1,-$F$193,0)</f>
        <v>0</v>
      </c>
      <c r="AJ193" s="300">
        <f>IF(AJ$2=Inputs!$G$52+1,-$F$193,0)</f>
        <v>0</v>
      </c>
    </row>
    <row r="194" spans="2:36" ht="16">
      <c r="B194" s="282" t="s">
        <v>207</v>
      </c>
      <c r="C194" s="282"/>
      <c r="D194" s="282"/>
      <c r="E194" s="307"/>
      <c r="F194" s="300">
        <f>Inputs!$Q$66</f>
        <v>51339.391663121729</v>
      </c>
      <c r="G194" s="300">
        <f>IF(G$2=Inputs!$G$15,-$F$194,0)</f>
        <v>0</v>
      </c>
      <c r="H194" s="300">
        <f>IF(H$2=Inputs!$G$15,-$F$194,0)</f>
        <v>0</v>
      </c>
      <c r="I194" s="300">
        <f>IF(I$2=Inputs!$G$15,-$F$194,0)</f>
        <v>0</v>
      </c>
      <c r="J194" s="300">
        <f>IF(J$2=Inputs!$G$15,-$F$194,0)</f>
        <v>0</v>
      </c>
      <c r="K194" s="300">
        <f>IF(K$2=Inputs!$G$15,-$F$194,0)</f>
        <v>0</v>
      </c>
      <c r="L194" s="300">
        <f>IF(L$2=Inputs!$G$15,-$F$194,0)</f>
        <v>0</v>
      </c>
      <c r="M194" s="300">
        <f>IF(M$2=Inputs!$G$15,-$F$194,0)</f>
        <v>0</v>
      </c>
      <c r="N194" s="300">
        <f>IF(N$2=Inputs!$G$15,-$F$194,0)</f>
        <v>0</v>
      </c>
      <c r="O194" s="300">
        <f>IF(O$2=Inputs!$G$15,-$F$194,0)</f>
        <v>0</v>
      </c>
      <c r="P194" s="300">
        <f>IF(P$2=Inputs!$G$15,-$F$194,0)</f>
        <v>0</v>
      </c>
      <c r="Q194" s="300">
        <f>IF(Q$2=Inputs!$G$15,-$F$194,0)</f>
        <v>0</v>
      </c>
      <c r="R194" s="300">
        <f>IF(R$2=Inputs!$G$15,-$F$194,0)</f>
        <v>0</v>
      </c>
      <c r="S194" s="300">
        <f>IF(S$2=Inputs!$G$15,-$F$194,0)</f>
        <v>0</v>
      </c>
      <c r="T194" s="300">
        <f>IF(T$2=Inputs!$G$15,-$F$194,0)</f>
        <v>0</v>
      </c>
      <c r="U194" s="300">
        <f>IF(U$2=Inputs!$G$15,-$F$194,0)</f>
        <v>0</v>
      </c>
      <c r="V194" s="300">
        <f>IF(V$2=Inputs!$G$15,-$F$194,0)</f>
        <v>0</v>
      </c>
      <c r="W194" s="300">
        <f>IF(W$2=Inputs!$G$15,-$F$194,0)</f>
        <v>0</v>
      </c>
      <c r="X194" s="300">
        <f>IF(X$2=Inputs!$G$15,-$F$194,0)</f>
        <v>0</v>
      </c>
      <c r="Y194" s="300">
        <f>IF(Y$2=Inputs!$G$15,-$F$194,0)</f>
        <v>0</v>
      </c>
      <c r="Z194" s="300">
        <f>IF(Z$2=Inputs!$G$15,-$F$194,0)</f>
        <v>0</v>
      </c>
      <c r="AA194" s="300">
        <f>IF(AA$2=Inputs!$G$15,-$F$194,0)</f>
        <v>0</v>
      </c>
      <c r="AB194" s="300">
        <f>IF(AB$2=Inputs!$G$15,-$F$194,0)</f>
        <v>0</v>
      </c>
      <c r="AC194" s="300">
        <f>IF(AC$2=Inputs!$G$15,-$F$194,0)</f>
        <v>0</v>
      </c>
      <c r="AD194" s="300">
        <f>IF(AD$2=Inputs!$G$15,-$F$194,0)</f>
        <v>0</v>
      </c>
      <c r="AE194" s="300">
        <f>IF(AE$2=Inputs!$G$15,-$F$194,0)</f>
        <v>-51339.391663121729</v>
      </c>
      <c r="AF194" s="300">
        <f>IF(AF$2=Inputs!$G$15,-$F$194,0)</f>
        <v>0</v>
      </c>
      <c r="AG194" s="300">
        <f>IF(AG$2=Inputs!$G$15,-$F$194,0)</f>
        <v>0</v>
      </c>
      <c r="AH194" s="300">
        <f>IF(AH$2=Inputs!$G$15,-$F$194,0)</f>
        <v>0</v>
      </c>
      <c r="AI194" s="300">
        <f>IF(AI$2=Inputs!$G$15,-$F$194,0)</f>
        <v>0</v>
      </c>
      <c r="AJ194" s="300">
        <f>IF(AJ$2=Inputs!$G$15,-$F$194,0)</f>
        <v>0</v>
      </c>
    </row>
    <row r="195" spans="2:36" ht="16">
      <c r="B195" s="282" t="s">
        <v>212</v>
      </c>
      <c r="C195" s="282"/>
      <c r="D195" s="282"/>
      <c r="E195" s="307"/>
      <c r="F195" s="324">
        <v>0</v>
      </c>
      <c r="G195" s="300">
        <f>IF(G$2&lt;Inputs!$Q$50,$E$129/(Inputs!$Q$50-1),IF(G$2=Inputs!$Q$50,-($E$129),IF(AND(G$2&gt;Inputs!$Q$50,G$2&lt;Inputs!$Q$52),($E$132)/(Inputs!$Q$52-Inputs!$Q$50-1),IF(G$2=Inputs!$Q$52,-($E$132),0))))</f>
        <v>52222.222222222219</v>
      </c>
      <c r="H195" s="300">
        <f>IF(H$2&lt;Inputs!$Q$50,$E$129/(Inputs!$Q$50-1),IF(H$2=Inputs!$Q$50,-($E$129),IF(AND(H$2&gt;Inputs!$Q$50,H$2&lt;Inputs!$Q$52),($E$132)/(Inputs!$Q$52-Inputs!$Q$50-1),IF(H$2=Inputs!$Q$52,-($E$132),0))))</f>
        <v>52222.222222222219</v>
      </c>
      <c r="I195" s="300">
        <f>IF(I$2&lt;Inputs!$Q$50,$E$129/(Inputs!$Q$50-1),IF(I$2=Inputs!$Q$50,-($E$129),IF(AND(I$2&gt;Inputs!$Q$50,I$2&lt;Inputs!$Q$52),($E$132)/(Inputs!$Q$52-Inputs!$Q$50-1),IF(I$2=Inputs!$Q$52,-($E$132),0))))</f>
        <v>52222.222222222219</v>
      </c>
      <c r="J195" s="300">
        <f>IF(J$2&lt;Inputs!$Q$50,$E$129/(Inputs!$Q$50-1),IF(J$2=Inputs!$Q$50,-($E$129),IF(AND(J$2&gt;Inputs!$Q$50,J$2&lt;Inputs!$Q$52),($E$132)/(Inputs!$Q$52-Inputs!$Q$50-1),IF(J$2=Inputs!$Q$52,-($E$132),0))))</f>
        <v>52222.222222222219</v>
      </c>
      <c r="K195" s="300">
        <f>IF(K$2&lt;Inputs!$Q$50,$E$129/(Inputs!$Q$50-1),IF(K$2=Inputs!$Q$50,-($E$129),IF(AND(K$2&gt;Inputs!$Q$50,K$2&lt;Inputs!$Q$52),($E$132)/(Inputs!$Q$52-Inputs!$Q$50-1),IF(K$2=Inputs!$Q$52,-($E$132),0))))</f>
        <v>52222.222222222219</v>
      </c>
      <c r="L195" s="300">
        <f>IF(L$2&lt;Inputs!$Q$50,$E$129/(Inputs!$Q$50-1),IF(L$2=Inputs!$Q$50,-($E$129),IF(AND(L$2&gt;Inputs!$Q$50,L$2&lt;Inputs!$Q$52),($E$132)/(Inputs!$Q$52-Inputs!$Q$50-1),IF(L$2=Inputs!$Q$52,-($E$132),0))))</f>
        <v>52222.222222222219</v>
      </c>
      <c r="M195" s="300">
        <f>IF(M$2&lt;Inputs!$Q$50,$E$129/(Inputs!$Q$50-1),IF(M$2=Inputs!$Q$50,-($E$129),IF(AND(M$2&gt;Inputs!$Q$50,M$2&lt;Inputs!$Q$52),($E$132)/(Inputs!$Q$52-Inputs!$Q$50-1),IF(M$2=Inputs!$Q$52,-($E$132),0))))</f>
        <v>52222.222222222219</v>
      </c>
      <c r="N195" s="300">
        <f>IF(N$2&lt;Inputs!$Q$50,$E$129/(Inputs!$Q$50-1),IF(N$2=Inputs!$Q$50,-($E$129),IF(AND(N$2&gt;Inputs!$Q$50,N$2&lt;Inputs!$Q$52),($E$132)/(Inputs!$Q$52-Inputs!$Q$50-1),IF(N$2=Inputs!$Q$52,-($E$132),0))))</f>
        <v>52222.222222222219</v>
      </c>
      <c r="O195" s="300">
        <f>IF(O$2&lt;Inputs!$Q$50,$E$129/(Inputs!$Q$50-1),IF(O$2=Inputs!$Q$50,-($E$129),IF(AND(O$2&gt;Inputs!$Q$50,O$2&lt;Inputs!$Q$52),($E$132)/(Inputs!$Q$52-Inputs!$Q$50-1),IF(O$2=Inputs!$Q$52,-($E$132),0))))</f>
        <v>52222.222222222219</v>
      </c>
      <c r="P195" s="300">
        <f>IF(P$2&lt;Inputs!$Q$50,$E$129/(Inputs!$Q$50-1),IF(P$2=Inputs!$Q$50,-($E$129),IF(AND(P$2&gt;Inputs!$Q$50,P$2&lt;Inputs!$Q$52),($E$132)/(Inputs!$Q$52-Inputs!$Q$50-1),IF(P$2=Inputs!$Q$52,-($E$132),0))))</f>
        <v>-470000</v>
      </c>
      <c r="Q195" s="300">
        <f>IF(Q$2&lt;Inputs!$Q$50,$E$129/(Inputs!$Q$50-1),IF(Q$2=Inputs!$Q$50,-($E$129),IF(AND(Q$2&gt;Inputs!$Q$50,Q$2&lt;Inputs!$Q$52),($E$132)/(Inputs!$Q$52-Inputs!$Q$50-1),IF(Q$2=Inputs!$Q$52,-($E$132),0))))</f>
        <v>52222.222222222219</v>
      </c>
      <c r="R195" s="300">
        <f>IF(R$2&lt;Inputs!$Q$50,$E$129/(Inputs!$Q$50-1),IF(R$2=Inputs!$Q$50,-($E$129),IF(AND(R$2&gt;Inputs!$Q$50,R$2&lt;Inputs!$Q$52),($E$132)/(Inputs!$Q$52-Inputs!$Q$50-1),IF(R$2=Inputs!$Q$52,-($E$132),0))))</f>
        <v>52222.222222222219</v>
      </c>
      <c r="S195" s="300">
        <f>IF(S$2&lt;Inputs!$Q$50,$E$129/(Inputs!$Q$50-1),IF(S$2=Inputs!$Q$50,-($E$129),IF(AND(S$2&gt;Inputs!$Q$50,S$2&lt;Inputs!$Q$52),($E$132)/(Inputs!$Q$52-Inputs!$Q$50-1),IF(S$2=Inputs!$Q$52,-($E$132),0))))</f>
        <v>52222.222222222219</v>
      </c>
      <c r="T195" s="300">
        <f>IF(T$2&lt;Inputs!$Q$50,$E$129/(Inputs!$Q$50-1),IF(T$2=Inputs!$Q$50,-($E$129),IF(AND(T$2&gt;Inputs!$Q$50,T$2&lt;Inputs!$Q$52),($E$132)/(Inputs!$Q$52-Inputs!$Q$50-1),IF(T$2=Inputs!$Q$52,-($E$132),0))))</f>
        <v>52222.222222222219</v>
      </c>
      <c r="U195" s="300">
        <f>IF(U$2&lt;Inputs!$Q$50,$E$129/(Inputs!$Q$50-1),IF(U$2=Inputs!$Q$50,-($E$129),IF(AND(U$2&gt;Inputs!$Q$50,U$2&lt;Inputs!$Q$52),($E$132)/(Inputs!$Q$52-Inputs!$Q$50-1),IF(U$2=Inputs!$Q$52,-($E$132),0))))</f>
        <v>52222.222222222219</v>
      </c>
      <c r="V195" s="300">
        <f>IF(V$2&lt;Inputs!$Q$50,$E$129/(Inputs!$Q$50-1),IF(V$2=Inputs!$Q$50,-($E$129),IF(AND(V$2&gt;Inputs!$Q$50,V$2&lt;Inputs!$Q$52),($E$132)/(Inputs!$Q$52-Inputs!$Q$50-1),IF(V$2=Inputs!$Q$52,-($E$132),0))))</f>
        <v>52222.222222222219</v>
      </c>
      <c r="W195" s="300">
        <f>IF(W$2&lt;Inputs!$Q$50,$E$129/(Inputs!$Q$50-1),IF(W$2=Inputs!$Q$50,-($E$129),IF(AND(W$2&gt;Inputs!$Q$50,W$2&lt;Inputs!$Q$52),($E$132)/(Inputs!$Q$52-Inputs!$Q$50-1),IF(W$2=Inputs!$Q$52,-($E$132),0))))</f>
        <v>52222.222222222219</v>
      </c>
      <c r="X195" s="300">
        <f>IF(X$2&lt;Inputs!$Q$50,$E$129/(Inputs!$Q$50-1),IF(X$2=Inputs!$Q$50,-($E$129),IF(AND(X$2&gt;Inputs!$Q$50,X$2&lt;Inputs!$Q$52),($E$132)/(Inputs!$Q$52-Inputs!$Q$50-1),IF(X$2=Inputs!$Q$52,-($E$132),0))))</f>
        <v>52222.222222222219</v>
      </c>
      <c r="Y195" s="300">
        <f>IF(Y$2&lt;Inputs!$Q$50,$E$129/(Inputs!$Q$50-1),IF(Y$2=Inputs!$Q$50,-($E$129),IF(AND(Y$2&gt;Inputs!$Q$50,Y$2&lt;Inputs!$Q$52),($E$132)/(Inputs!$Q$52-Inputs!$Q$50-1),IF(Y$2=Inputs!$Q$52,-($E$132),0))))</f>
        <v>52222.222222222219</v>
      </c>
      <c r="Z195" s="300">
        <f>IF(Z$2&lt;Inputs!$Q$50,$E$129/(Inputs!$Q$50-1),IF(Z$2=Inputs!$Q$50,-($E$129),IF(AND(Z$2&gt;Inputs!$Q$50,Z$2&lt;Inputs!$Q$52),($E$132)/(Inputs!$Q$52-Inputs!$Q$50-1),IF(Z$2=Inputs!$Q$52,-($E$132),0))))</f>
        <v>-470000</v>
      </c>
      <c r="AA195" s="300">
        <f>IF(AA$2&lt;Inputs!$Q$50,$E$129/(Inputs!$Q$50-1),IF(AA$2=Inputs!$Q$50,-($E$129),IF(AND(AA$2&gt;Inputs!$Q$50,AA$2&lt;Inputs!$Q$52),($E$132)/(Inputs!$Q$52-Inputs!$Q$50-1),IF(AA$2=Inputs!$Q$52,-($E$132),0))))</f>
        <v>0</v>
      </c>
      <c r="AB195" s="300">
        <f>IF(AB$2&lt;Inputs!$Q$50,$E$129/(Inputs!$Q$50-1),IF(AB$2=Inputs!$Q$50,-($E$129),IF(AND(AB$2&gt;Inputs!$Q$50,AB$2&lt;Inputs!$Q$52),($E$132)/(Inputs!$Q$52-Inputs!$Q$50-1),IF(AB$2=Inputs!$Q$52,-($E$132),0))))</f>
        <v>0</v>
      </c>
      <c r="AC195" s="300">
        <f>IF(AC$2&lt;Inputs!$Q$50,$E$129/(Inputs!$Q$50-1),IF(AC$2=Inputs!$Q$50,-($E$129),IF(AND(AC$2&gt;Inputs!$Q$50,AC$2&lt;Inputs!$Q$52),($E$132)/(Inputs!$Q$52-Inputs!$Q$50-1),IF(AC$2=Inputs!$Q$52,-($E$132),0))))</f>
        <v>0</v>
      </c>
      <c r="AD195" s="300">
        <f>IF(AD$2&lt;Inputs!$Q$50,$E$129/(Inputs!$Q$50-1),IF(AD$2=Inputs!$Q$50,-($E$129),IF(AND(AD$2&gt;Inputs!$Q$50,AD$2&lt;Inputs!$Q$52),($E$132)/(Inputs!$Q$52-Inputs!$Q$50-1),IF(AD$2=Inputs!$Q$52,-($E$132),0))))</f>
        <v>0</v>
      </c>
      <c r="AE195" s="300">
        <f>IF(AE$2&lt;Inputs!$Q$50,$E$129/(Inputs!$Q$50-1),IF(AE$2=Inputs!$Q$50,-($E$129),IF(AND(AE$2&gt;Inputs!$Q$50,AE$2&lt;Inputs!$Q$52),($E$132)/(Inputs!$Q$52-Inputs!$Q$50-1),IF(AE$2=Inputs!$Q$52,-($E$132),0))))</f>
        <v>0</v>
      </c>
      <c r="AF195" s="300">
        <f>IF(AF$2&lt;Inputs!$Q$50,$E$129/(Inputs!$Q$50-1),IF(AF$2=Inputs!$Q$50,-($E$129),IF(AND(AF$2&gt;Inputs!$Q$50,AF$2&lt;Inputs!$Q$52),($E$132)/(Inputs!$Q$52-Inputs!$Q$50-1),IF(AF$2=Inputs!$Q$52,-($E$132),0))))</f>
        <v>0</v>
      </c>
      <c r="AG195" s="300">
        <f>IF(AG$2&lt;Inputs!$Q$50,$E$129/(Inputs!$Q$50-1),IF(AG$2=Inputs!$Q$50,-($E$129),IF(AND(AG$2&gt;Inputs!$Q$50,AG$2&lt;Inputs!$Q$52),($E$132)/(Inputs!$Q$52-Inputs!$Q$50-1),IF(AG$2=Inputs!$Q$52,-($E$132),0))))</f>
        <v>0</v>
      </c>
      <c r="AH195" s="300">
        <f>IF(AH$2&lt;Inputs!$Q$50,$E$129/(Inputs!$Q$50-1),IF(AH$2=Inputs!$Q$50,-($E$129),IF(AND(AH$2&gt;Inputs!$Q$50,AH$2&lt;Inputs!$Q$52),($E$132)/(Inputs!$Q$52-Inputs!$Q$50-1),IF(AH$2=Inputs!$Q$52,-($E$132),0))))</f>
        <v>0</v>
      </c>
      <c r="AI195" s="300">
        <f>IF(AI$2&lt;Inputs!$Q$50,$E$129/(Inputs!$Q$50-1),IF(AI$2=Inputs!$Q$50,-($E$129),IF(AND(AI$2&gt;Inputs!$Q$50,AI$2&lt;Inputs!$Q$52),($E$132)/(Inputs!$Q$52-Inputs!$Q$50-1),IF(AI$2=Inputs!$Q$52,-($E$132),0))))</f>
        <v>0</v>
      </c>
      <c r="AJ195" s="300">
        <f>IF(AJ$2&lt;Inputs!$Q$50,$E$129/(Inputs!$Q$50-1),IF(AJ$2=Inputs!$Q$50,-($E$129),IF(AND(AJ$2&gt;Inputs!$Q$50,AJ$2&lt;Inputs!$Q$52),($E$132)/(Inputs!$Q$52-Inputs!$Q$50-1),IF(AJ$2=Inputs!$Q$52,-($E$132),0))))</f>
        <v>0</v>
      </c>
    </row>
    <row r="196" spans="2:36" ht="16">
      <c r="B196" s="282" t="s">
        <v>47</v>
      </c>
      <c r="C196" s="282"/>
      <c r="D196" s="282"/>
      <c r="E196" s="307"/>
      <c r="F196" s="324">
        <v>0</v>
      </c>
      <c r="G196" s="300">
        <f>IF(OR(G$2&gt;Inputs!$G$15,Inputs!$Q$57="salvage"),0,Inputs!$Q$58/Inputs!$Q$8)</f>
        <v>0</v>
      </c>
      <c r="H196" s="300">
        <f>IF(OR(H$2&gt;Inputs!$G$15,Inputs!$Q$57="salvage"),0,Inputs!$Q$58/Inputs!$Q$8)</f>
        <v>0</v>
      </c>
      <c r="I196" s="300">
        <f>IF(OR(I$2&gt;Inputs!$G$15,Inputs!$Q$57="salvage"),0,Inputs!$Q$58/Inputs!$Q$8)</f>
        <v>0</v>
      </c>
      <c r="J196" s="300">
        <f>IF(OR(J$2&gt;Inputs!$G$15,Inputs!$Q$57="salvage"),0,Inputs!$Q$58/Inputs!$Q$8)</f>
        <v>0</v>
      </c>
      <c r="K196" s="300">
        <f>IF(OR(K$2&gt;Inputs!$G$15,Inputs!$Q$57="salvage"),0,Inputs!$Q$58/Inputs!$Q$8)</f>
        <v>0</v>
      </c>
      <c r="L196" s="300">
        <f>IF(OR(L$2&gt;Inputs!$G$15,Inputs!$Q$57="salvage"),0,Inputs!$Q$58/Inputs!$Q$8)</f>
        <v>0</v>
      </c>
      <c r="M196" s="300">
        <f>IF(OR(M$2&gt;Inputs!$G$15,Inputs!$Q$57="salvage"),0,Inputs!$Q$58/Inputs!$Q$8)</f>
        <v>0</v>
      </c>
      <c r="N196" s="300">
        <f>IF(OR(N$2&gt;Inputs!$G$15,Inputs!$Q$57="salvage"),0,Inputs!$Q$58/Inputs!$Q$8)</f>
        <v>0</v>
      </c>
      <c r="O196" s="300">
        <f>IF(OR(O$2&gt;Inputs!$G$15,Inputs!$Q$57="salvage"),0,Inputs!$Q$58/Inputs!$Q$8)</f>
        <v>0</v>
      </c>
      <c r="P196" s="300">
        <f>IF(OR(P$2&gt;Inputs!$G$15,Inputs!$Q$57="salvage"),0,Inputs!$Q$58/Inputs!$Q$8)</f>
        <v>0</v>
      </c>
      <c r="Q196" s="300">
        <f>IF(OR(Q$2&gt;Inputs!$G$15,Inputs!$Q$57="salvage"),0,Inputs!$Q$58/Inputs!$Q$8)</f>
        <v>0</v>
      </c>
      <c r="R196" s="300">
        <f>IF(OR(R$2&gt;Inputs!$G$15,Inputs!$Q$57="salvage"),0,Inputs!$Q$58/Inputs!$Q$8)</f>
        <v>0</v>
      </c>
      <c r="S196" s="300">
        <f>IF(OR(S$2&gt;Inputs!$G$15,Inputs!$Q$57="salvage"),0,Inputs!$Q$58/Inputs!$Q$8)</f>
        <v>0</v>
      </c>
      <c r="T196" s="300">
        <f>IF(OR(T$2&gt;Inputs!$G$15,Inputs!$Q$57="salvage"),0,Inputs!$Q$58/Inputs!$Q$8)</f>
        <v>0</v>
      </c>
      <c r="U196" s="300">
        <f>IF(OR(U$2&gt;Inputs!$G$15,Inputs!$Q$57="salvage"),0,Inputs!$Q$58/Inputs!$Q$8)</f>
        <v>0</v>
      </c>
      <c r="V196" s="300">
        <f>IF(OR(V$2&gt;Inputs!$G$15,Inputs!$Q$57="salvage"),0,Inputs!$Q$58/Inputs!$Q$8)</f>
        <v>0</v>
      </c>
      <c r="W196" s="300">
        <f>IF(OR(W$2&gt;Inputs!$G$15,Inputs!$Q$57="salvage"),0,Inputs!$Q$58/Inputs!$Q$8)</f>
        <v>0</v>
      </c>
      <c r="X196" s="300">
        <f>IF(OR(X$2&gt;Inputs!$G$15,Inputs!$Q$57="salvage"),0,Inputs!$Q$58/Inputs!$Q$8)</f>
        <v>0</v>
      </c>
      <c r="Y196" s="300">
        <f>IF(OR(Y$2&gt;Inputs!$G$15,Inputs!$Q$57="salvage"),0,Inputs!$Q$58/Inputs!$Q$8)</f>
        <v>0</v>
      </c>
      <c r="Z196" s="300">
        <f>IF(OR(Z$2&gt;Inputs!$G$15,Inputs!$Q$57="salvage"),0,Inputs!$Q$58/Inputs!$Q$8)</f>
        <v>0</v>
      </c>
      <c r="AA196" s="300">
        <f>IF(OR(AA$2&gt;Inputs!$G$15,Inputs!$Q$57="salvage"),0,Inputs!$Q$58/Inputs!$Q$8)</f>
        <v>0</v>
      </c>
      <c r="AB196" s="300">
        <f>IF(OR(AB$2&gt;Inputs!$G$15,Inputs!$Q$57="salvage"),0,Inputs!$Q$58/Inputs!$Q$8)</f>
        <v>0</v>
      </c>
      <c r="AC196" s="300">
        <f>IF(OR(AC$2&gt;Inputs!$G$15,Inputs!$Q$57="salvage"),0,Inputs!$Q$58/Inputs!$Q$8)</f>
        <v>0</v>
      </c>
      <c r="AD196" s="300">
        <f>IF(OR(AD$2&gt;Inputs!$G$15,Inputs!$Q$57="salvage"),0,Inputs!$Q$58/Inputs!$Q$8)</f>
        <v>0</v>
      </c>
      <c r="AE196" s="300">
        <f>IF(OR(AE$2&gt;Inputs!$G$15,Inputs!$Q$57="salvage"),0,Inputs!$Q$58/Inputs!$Q$8)</f>
        <v>0</v>
      </c>
      <c r="AF196" s="300">
        <f>IF(OR(AF$2&gt;Inputs!$G$15,Inputs!$Q$57="salvage"),0,Inputs!$Q$58/Inputs!$Q$8)</f>
        <v>0</v>
      </c>
      <c r="AG196" s="300">
        <f>IF(OR(AG$2&gt;Inputs!$G$15,Inputs!$Q$57="salvage"),0,Inputs!$Q$58/Inputs!$Q$8)</f>
        <v>0</v>
      </c>
      <c r="AH196" s="300">
        <f>IF(OR(AH$2&gt;Inputs!$G$15,Inputs!$Q$57="salvage"),0,Inputs!$Q$58/Inputs!$Q$8)</f>
        <v>0</v>
      </c>
      <c r="AI196" s="300">
        <f>IF(OR(AI$2&gt;Inputs!$G$15,Inputs!$Q$57="salvage"),0,Inputs!$Q$58/Inputs!$Q$8)</f>
        <v>0</v>
      </c>
      <c r="AJ196" s="300">
        <f>IF(OR(AJ$2&gt;Inputs!$G$15,Inputs!$Q$57="salvage"),0,Inputs!$Q$58/Inputs!$Q$8)</f>
        <v>0</v>
      </c>
    </row>
    <row r="197" spans="2:36" ht="16">
      <c r="B197" s="263" t="s">
        <v>95</v>
      </c>
      <c r="C197" s="263"/>
      <c r="D197" s="263"/>
      <c r="E197" s="307"/>
      <c r="F197" s="300">
        <f>IF(F$2&gt;Inputs!$G$15,0,SUM(F192:F196))</f>
        <v>207914.23927504188</v>
      </c>
      <c r="G197" s="300">
        <f>IF(G$2&gt;Inputs!$G$15,0,SUM(G192:G196))</f>
        <v>260136.4614972641</v>
      </c>
      <c r="H197" s="300">
        <f>IF(H$2&gt;Inputs!$G$15,0,SUM(H192:H196))</f>
        <v>312358.68371948635</v>
      </c>
      <c r="I197" s="300">
        <f>IF(I$2&gt;Inputs!$G$15,0,SUM(I192:I196))</f>
        <v>364580.9059417086</v>
      </c>
      <c r="J197" s="300">
        <f>IF(J$2&gt;Inputs!$G$15,0,SUM(J192:J196))</f>
        <v>416803.12816393084</v>
      </c>
      <c r="K197" s="300">
        <f>IF(K$2&gt;Inputs!$G$15,0,SUM(K192:K196))</f>
        <v>469025.35038615309</v>
      </c>
      <c r="L197" s="300">
        <f>IF(L$2&gt;Inputs!$G$15,0,SUM(L192:L196))</f>
        <v>521247.57260837534</v>
      </c>
      <c r="M197" s="300">
        <f>IF(M$2&gt;Inputs!$G$15,0,SUM(M192:M196))</f>
        <v>573469.79483059759</v>
      </c>
      <c r="N197" s="300">
        <f>IF(N$2&gt;Inputs!$G$15,0,SUM(N192:N196))</f>
        <v>625692.01705281984</v>
      </c>
      <c r="O197" s="300">
        <f>IF(O$2&gt;Inputs!$G$15,0,SUM(O192:O196))</f>
        <v>677914.23927504208</v>
      </c>
      <c r="P197" s="300">
        <f>IF(P$2&gt;Inputs!$G$15,0,SUM(P192:P196))</f>
        <v>207914.23927504208</v>
      </c>
      <c r="Q197" s="300">
        <f>IF(Q$2&gt;Inputs!$G$15,0,SUM(Q192:Q196))</f>
        <v>260136.4614972643</v>
      </c>
      <c r="R197" s="300">
        <f>IF(R$2&gt;Inputs!$G$15,0,SUM(R192:R196))</f>
        <v>312358.68371948652</v>
      </c>
      <c r="S197" s="300">
        <f>IF(S$2&gt;Inputs!$G$15,0,SUM(S192:S196))</f>
        <v>364580.90594170871</v>
      </c>
      <c r="T197" s="300">
        <f>IF(T$2&gt;Inputs!$G$15,0,SUM(T192:T196))</f>
        <v>416803.12816393096</v>
      </c>
      <c r="U197" s="300">
        <f>IF(U$2&gt;Inputs!$G$15,0,SUM(U192:U196))</f>
        <v>469025.35038615321</v>
      </c>
      <c r="V197" s="300">
        <f>IF(V$2&gt;Inputs!$G$15,0,SUM(V192:V196))</f>
        <v>521247.57260837546</v>
      </c>
      <c r="W197" s="300">
        <f>IF(W$2&gt;Inputs!$G$15,0,SUM(W192:W196))</f>
        <v>573469.7948305977</v>
      </c>
      <c r="X197" s="300">
        <f>IF(X$2&gt;Inputs!$G$15,0,SUM(X192:X196))</f>
        <v>625692.01705281995</v>
      </c>
      <c r="Y197" s="300">
        <f>IF(Y$2&gt;Inputs!$G$15,0,SUM(Y192:Y196))</f>
        <v>521339.39166312199</v>
      </c>
      <c r="Z197" s="300">
        <f>IF(Z$2&gt;Inputs!$G$15,0,SUM(Z192:Z196))</f>
        <v>51339.391663121991</v>
      </c>
      <c r="AA197" s="300">
        <f>IF(AA$2&gt;Inputs!$G$15,0,SUM(AA192:AA196))</f>
        <v>51339.391663121991</v>
      </c>
      <c r="AB197" s="300">
        <f>IF(AB$2&gt;Inputs!$G$15,0,SUM(AB192:AB196))</f>
        <v>51339.391663121991</v>
      </c>
      <c r="AC197" s="300">
        <f>IF(AC$2&gt;Inputs!$G$15,0,SUM(AC192:AC196))</f>
        <v>51339.391663121991</v>
      </c>
      <c r="AD197" s="300">
        <f>IF(AD$2&gt;Inputs!$G$15,0,SUM(AD192:AD196))</f>
        <v>51339.391663121991</v>
      </c>
      <c r="AE197" s="300">
        <f>IF(AE$2&gt;Inputs!$G$15,0,SUM(AE192:AE196))</f>
        <v>2.6193447411060333E-10</v>
      </c>
      <c r="AF197" s="300">
        <f>IF(AF$2&gt;Inputs!$G$15,0,SUM(AF192:AF196))</f>
        <v>0</v>
      </c>
      <c r="AG197" s="300">
        <f>IF(AG$2&gt;Inputs!$G$15,0,SUM(AG192:AG196))</f>
        <v>0</v>
      </c>
      <c r="AH197" s="300">
        <f>IF(AH$2&gt;Inputs!$G$15,0,SUM(AH192:AH196))</f>
        <v>0</v>
      </c>
      <c r="AI197" s="300">
        <f>IF(AI$2&gt;Inputs!$G$15,0,SUM(AI192:AI196))</f>
        <v>0</v>
      </c>
      <c r="AJ197" s="300">
        <f>IF(AJ$2&gt;Inputs!$G$15,0,SUM(AJ192:AJ196))</f>
        <v>0</v>
      </c>
    </row>
    <row r="198" spans="2:36" ht="16">
      <c r="B198" s="262"/>
      <c r="C198" s="262"/>
      <c r="D198" s="262"/>
      <c r="E198" s="307"/>
      <c r="F198" s="300"/>
      <c r="G198" s="300"/>
      <c r="H198" s="300"/>
      <c r="I198" s="300"/>
      <c r="J198" s="300"/>
      <c r="K198" s="300"/>
      <c r="L198" s="300"/>
      <c r="M198" s="300"/>
      <c r="N198" s="307"/>
      <c r="O198" s="307"/>
      <c r="P198" s="307"/>
      <c r="Q198" s="307"/>
      <c r="R198" s="307"/>
      <c r="S198" s="307"/>
      <c r="T198" s="307"/>
      <c r="U198" s="307"/>
      <c r="V198" s="307"/>
      <c r="W198" s="307"/>
      <c r="X198" s="307"/>
      <c r="Y198" s="307"/>
      <c r="Z198" s="307"/>
      <c r="AA198" s="307"/>
      <c r="AB198" s="307"/>
      <c r="AC198" s="307"/>
      <c r="AD198" s="307"/>
      <c r="AE198" s="307"/>
      <c r="AF198" s="307"/>
      <c r="AG198" s="307"/>
      <c r="AH198" s="307"/>
      <c r="AI198" s="307"/>
      <c r="AJ198" s="307"/>
    </row>
    <row r="199" spans="2:36" ht="16">
      <c r="B199" s="263" t="s">
        <v>208</v>
      </c>
      <c r="C199" s="263"/>
      <c r="D199" s="263"/>
      <c r="E199" s="307"/>
      <c r="F199" s="300"/>
      <c r="G199" s="300">
        <f>AVERAGE(G192,G197)*Inputs!$Q$67</f>
        <v>4680.5070077230594</v>
      </c>
      <c r="H199" s="300">
        <f>AVERAGE(H192,H197)*Inputs!$Q$67</f>
        <v>5724.9514521675046</v>
      </c>
      <c r="I199" s="300">
        <f>AVERAGE(I192,I197)*Inputs!$Q$67</f>
        <v>6769.3958966119499</v>
      </c>
      <c r="J199" s="300">
        <f>AVERAGE(J192,J197)*Inputs!$Q$67</f>
        <v>7813.8403410563942</v>
      </c>
      <c r="K199" s="300">
        <f>AVERAGE(K192,K197)*Inputs!$Q$67</f>
        <v>8858.2847855008404</v>
      </c>
      <c r="L199" s="300">
        <f>AVERAGE(L192,L197)*Inputs!$Q$67</f>
        <v>9902.7292299452838</v>
      </c>
      <c r="M199" s="300">
        <f>AVERAGE(M192,M197)*Inputs!$Q$67</f>
        <v>10947.173674389729</v>
      </c>
      <c r="N199" s="300">
        <f>AVERAGE(N192,N197)*Inputs!$Q$67</f>
        <v>11991.618118834174</v>
      </c>
      <c r="O199" s="300">
        <f>AVERAGE(O192,O197)*Inputs!$Q$67</f>
        <v>13036.06256327862</v>
      </c>
      <c r="P199" s="300">
        <f>AVERAGE(P192,P197)*Inputs!$Q$67</f>
        <v>8858.2847855008422</v>
      </c>
      <c r="Q199" s="300">
        <f>AVERAGE(Q192,Q197)*Inputs!$Q$67</f>
        <v>4680.5070077230639</v>
      </c>
      <c r="R199" s="300">
        <f>AVERAGE(R192,R197)*Inputs!$Q$67</f>
        <v>5724.9514521675083</v>
      </c>
      <c r="S199" s="300">
        <f>AVERAGE(S192,S197)*Inputs!$Q$67</f>
        <v>6769.3958966119517</v>
      </c>
      <c r="T199" s="300">
        <f>AVERAGE(T192,T197)*Inputs!$Q$67</f>
        <v>7813.8403410563969</v>
      </c>
      <c r="U199" s="300">
        <f>AVERAGE(U192,U197)*Inputs!$Q$67</f>
        <v>8858.2847855008422</v>
      </c>
      <c r="V199" s="300">
        <f>AVERAGE(V192,V197)*Inputs!$Q$67</f>
        <v>9902.7292299452874</v>
      </c>
      <c r="W199" s="300">
        <f>AVERAGE(W192,W197)*Inputs!$Q$67</f>
        <v>10947.173674389733</v>
      </c>
      <c r="X199" s="300">
        <f>AVERAGE(X192,X197)*Inputs!$Q$67</f>
        <v>11991.618118834176</v>
      </c>
      <c r="Y199" s="300">
        <f>AVERAGE(Y192,Y197)*Inputs!$Q$67</f>
        <v>11470.314087159421</v>
      </c>
      <c r="Z199" s="300">
        <f>AVERAGE(Z192,Z197)*Inputs!$Q$67</f>
        <v>5726.7878332624396</v>
      </c>
      <c r="AA199" s="300">
        <f>AVERAGE(AA192,AA197)*Inputs!$Q$67</f>
        <v>1026.7878332624398</v>
      </c>
      <c r="AB199" s="300">
        <f>AVERAGE(AB192,AB197)*Inputs!$Q$67</f>
        <v>1026.7878332624398</v>
      </c>
      <c r="AC199" s="300">
        <f>AVERAGE(AC192,AC197)*Inputs!$Q$67</f>
        <v>1026.7878332624398</v>
      </c>
      <c r="AD199" s="300">
        <f>AVERAGE(AD192,AD197)*Inputs!$Q$67</f>
        <v>1026.7878332624398</v>
      </c>
      <c r="AE199" s="300">
        <f>AVERAGE(AE192,AE197)*Inputs!$Q$67</f>
        <v>513.39391663122251</v>
      </c>
      <c r="AF199" s="300">
        <f>AVERAGE(AF192,AF197)*Inputs!$Q$67</f>
        <v>2.6193447411060332E-12</v>
      </c>
      <c r="AG199" s="300">
        <f>AVERAGE(AG192,AG197)*Inputs!$Q$67</f>
        <v>0</v>
      </c>
      <c r="AH199" s="300">
        <f>AVERAGE(AH192,AH197)*Inputs!$Q$67</f>
        <v>0</v>
      </c>
      <c r="AI199" s="300">
        <f>AVERAGE(AI192,AI197)*Inputs!$Q$67</f>
        <v>0</v>
      </c>
      <c r="AJ199" s="300">
        <f>AVERAGE(AJ192,AJ197)*Inputs!$Q$67</f>
        <v>0</v>
      </c>
    </row>
    <row r="200" spans="2:36" ht="16">
      <c r="B200" s="263" t="s">
        <v>209</v>
      </c>
      <c r="C200" s="263"/>
      <c r="D200" s="263"/>
      <c r="E200" s="307"/>
      <c r="F200" s="307"/>
      <c r="G200" s="300">
        <f>SUM(G193:G196)</f>
        <v>52222.222222222219</v>
      </c>
      <c r="H200" s="300">
        <f t="shared" ref="H200:AJ200" si="59">SUM(H193:H196)</f>
        <v>52222.222222222219</v>
      </c>
      <c r="I200" s="300">
        <f t="shared" si="59"/>
        <v>52222.222222222219</v>
      </c>
      <c r="J200" s="300">
        <f t="shared" si="59"/>
        <v>52222.222222222219</v>
      </c>
      <c r="K200" s="300">
        <f t="shared" si="59"/>
        <v>52222.222222222219</v>
      </c>
      <c r="L200" s="300">
        <f t="shared" si="59"/>
        <v>52222.222222222219</v>
      </c>
      <c r="M200" s="300">
        <f t="shared" si="59"/>
        <v>52222.222222222219</v>
      </c>
      <c r="N200" s="300">
        <f t="shared" si="59"/>
        <v>52222.222222222219</v>
      </c>
      <c r="O200" s="300">
        <f t="shared" si="59"/>
        <v>52222.222222222219</v>
      </c>
      <c r="P200" s="300">
        <f t="shared" si="59"/>
        <v>-470000</v>
      </c>
      <c r="Q200" s="300">
        <f t="shared" si="59"/>
        <v>52222.222222222219</v>
      </c>
      <c r="R200" s="300">
        <f t="shared" si="59"/>
        <v>52222.222222222219</v>
      </c>
      <c r="S200" s="300">
        <f t="shared" si="59"/>
        <v>52222.222222222219</v>
      </c>
      <c r="T200" s="300">
        <f t="shared" si="59"/>
        <v>52222.222222222219</v>
      </c>
      <c r="U200" s="300">
        <f t="shared" si="59"/>
        <v>52222.222222222219</v>
      </c>
      <c r="V200" s="300">
        <f t="shared" si="59"/>
        <v>52222.222222222219</v>
      </c>
      <c r="W200" s="300">
        <f t="shared" si="59"/>
        <v>52222.222222222219</v>
      </c>
      <c r="X200" s="300">
        <f t="shared" si="59"/>
        <v>52222.222222222219</v>
      </c>
      <c r="Y200" s="300">
        <f t="shared" si="59"/>
        <v>-104352.62538969793</v>
      </c>
      <c r="Z200" s="300">
        <f t="shared" si="59"/>
        <v>-470000</v>
      </c>
      <c r="AA200" s="300">
        <f t="shared" si="59"/>
        <v>0</v>
      </c>
      <c r="AB200" s="300">
        <f t="shared" si="59"/>
        <v>0</v>
      </c>
      <c r="AC200" s="300">
        <f t="shared" si="59"/>
        <v>0</v>
      </c>
      <c r="AD200" s="300">
        <f t="shared" si="59"/>
        <v>0</v>
      </c>
      <c r="AE200" s="300">
        <f t="shared" si="59"/>
        <v>-51339.391663121729</v>
      </c>
      <c r="AF200" s="300">
        <f t="shared" si="59"/>
        <v>0</v>
      </c>
      <c r="AG200" s="300">
        <f t="shared" si="59"/>
        <v>0</v>
      </c>
      <c r="AH200" s="300">
        <f t="shared" si="59"/>
        <v>0</v>
      </c>
      <c r="AI200" s="300">
        <f t="shared" si="59"/>
        <v>0</v>
      </c>
      <c r="AJ200" s="300">
        <f t="shared" si="59"/>
        <v>0</v>
      </c>
    </row>
    <row r="201" spans="2:36" ht="17" thickBot="1">
      <c r="B201" s="308"/>
      <c r="C201" s="308"/>
      <c r="D201" s="308"/>
      <c r="E201" s="309"/>
      <c r="F201" s="310"/>
      <c r="G201" s="310"/>
      <c r="H201" s="310"/>
      <c r="I201" s="310"/>
      <c r="J201" s="310"/>
      <c r="K201" s="310"/>
      <c r="L201" s="310"/>
      <c r="M201" s="310"/>
      <c r="N201" s="310"/>
      <c r="O201" s="310"/>
      <c r="P201" s="310"/>
      <c r="Q201" s="310"/>
      <c r="R201" s="310"/>
      <c r="S201" s="310"/>
      <c r="T201" s="310"/>
      <c r="U201" s="310"/>
      <c r="V201" s="310"/>
      <c r="W201" s="310"/>
      <c r="X201" s="310"/>
      <c r="Y201" s="310"/>
      <c r="Z201" s="310"/>
      <c r="AA201" s="310"/>
      <c r="AB201" s="310"/>
      <c r="AC201" s="310"/>
      <c r="AD201" s="310"/>
      <c r="AE201" s="310"/>
      <c r="AF201" s="310"/>
      <c r="AG201" s="310"/>
      <c r="AH201" s="310"/>
      <c r="AI201" s="310"/>
      <c r="AJ201" s="310"/>
    </row>
    <row r="202" spans="2:36" ht="16">
      <c r="B202" s="298"/>
      <c r="C202" s="298"/>
      <c r="D202" s="298"/>
      <c r="E202" s="307"/>
      <c r="F202" s="300"/>
      <c r="G202" s="414"/>
      <c r="H202" s="300"/>
      <c r="I202" s="300"/>
      <c r="J202" s="300"/>
      <c r="K202" s="300"/>
      <c r="L202" s="300"/>
      <c r="M202" s="300"/>
      <c r="N202" s="300"/>
      <c r="O202" s="300"/>
      <c r="P202" s="300"/>
      <c r="Q202" s="300"/>
      <c r="R202" s="300"/>
      <c r="S202" s="300"/>
      <c r="T202" s="300"/>
      <c r="U202" s="300"/>
      <c r="V202" s="300"/>
      <c r="W202" s="300"/>
      <c r="X202" s="300"/>
      <c r="Y202" s="300"/>
      <c r="Z202" s="300"/>
      <c r="AA202" s="300"/>
      <c r="AB202" s="300"/>
      <c r="AC202" s="300"/>
      <c r="AD202" s="300"/>
      <c r="AE202" s="300"/>
      <c r="AF202" s="300"/>
      <c r="AG202" s="300"/>
      <c r="AH202" s="300"/>
      <c r="AI202" s="300"/>
      <c r="AJ202" s="300"/>
    </row>
    <row r="203" spans="2:36" ht="17">
      <c r="B203" s="422" t="s">
        <v>295</v>
      </c>
      <c r="C203" s="422"/>
      <c r="D203" s="422"/>
      <c r="E203" s="307"/>
      <c r="F203" s="300"/>
      <c r="G203" s="415" t="s">
        <v>296</v>
      </c>
      <c r="H203" s="300"/>
      <c r="I203" s="300"/>
      <c r="J203" s="307"/>
      <c r="K203" s="415" t="s">
        <v>296</v>
      </c>
      <c r="L203" s="300"/>
      <c r="M203" s="300"/>
      <c r="N203" s="307"/>
      <c r="O203" s="415" t="s">
        <v>296</v>
      </c>
      <c r="P203" s="300"/>
      <c r="Q203" s="300"/>
      <c r="R203" s="415" t="s">
        <v>298</v>
      </c>
      <c r="S203" s="415" t="s">
        <v>299</v>
      </c>
      <c r="T203" s="307"/>
      <c r="U203" s="307"/>
      <c r="V203" s="300"/>
      <c r="W203" s="300"/>
      <c r="X203" s="300"/>
      <c r="Y203" s="300"/>
      <c r="Z203" s="300"/>
      <c r="AA203" s="300"/>
      <c r="AB203" s="300"/>
      <c r="AC203" s="300"/>
      <c r="AD203" s="300"/>
      <c r="AE203" s="300"/>
      <c r="AF203" s="300"/>
      <c r="AG203" s="300"/>
      <c r="AH203" s="300"/>
      <c r="AI203" s="300"/>
      <c r="AJ203" s="300"/>
    </row>
    <row r="204" spans="2:36" ht="16">
      <c r="B204" s="298" t="s">
        <v>300</v>
      </c>
      <c r="C204" s="298"/>
      <c r="D204" s="298"/>
      <c r="E204" s="307"/>
      <c r="F204" s="300"/>
      <c r="G204" s="300">
        <f>$D$72</f>
        <v>-3081.4092713228902</v>
      </c>
      <c r="H204" s="300"/>
      <c r="I204" s="300"/>
      <c r="J204" s="307"/>
      <c r="K204" s="300">
        <f>$D$72</f>
        <v>-3081.4092713228902</v>
      </c>
      <c r="L204" s="300"/>
      <c r="M204" s="300"/>
      <c r="N204" s="307"/>
      <c r="O204" s="300">
        <f>$D$72</f>
        <v>-3081.4092713228902</v>
      </c>
      <c r="P204" s="300"/>
      <c r="Q204" s="300"/>
      <c r="R204" s="416">
        <f>LOOKUP(MIN($P$205:$P$215),$O$205:$O$215,$N$205:$N$215)</f>
        <v>32</v>
      </c>
      <c r="S204" s="416">
        <f>LOOKUP(MAX($Q$205:$Q$215),$O$205:$O$215,$N$205:$N$215)</f>
        <v>32.1</v>
      </c>
      <c r="T204" s="458"/>
      <c r="U204" s="307"/>
      <c r="V204" s="300"/>
      <c r="W204" s="300"/>
      <c r="X204" s="300"/>
      <c r="Y204" s="300"/>
      <c r="Z204" s="300"/>
      <c r="AA204" s="300"/>
      <c r="AB204" s="300"/>
      <c r="AC204" s="300"/>
      <c r="AD204" s="300"/>
      <c r="AE204" s="300"/>
      <c r="AF204" s="300"/>
      <c r="AG204" s="300"/>
      <c r="AH204" s="300"/>
      <c r="AI204" s="300"/>
      <c r="AJ204" s="300"/>
    </row>
    <row r="205" spans="2:36" ht="16">
      <c r="B205" s="298"/>
      <c r="C205" s="298"/>
      <c r="D205" s="298"/>
      <c r="E205" s="307"/>
      <c r="F205" s="417">
        <v>0</v>
      </c>
      <c r="G205" s="300">
        <f t="dataTable" ref="G205:G215" dt2D="0" dtr="0" r1="G72"/>
        <v>-3878576.1002422571</v>
      </c>
      <c r="H205" s="300"/>
      <c r="I205" s="300"/>
      <c r="J205" s="418">
        <f>LOOKUP(MIN($H$205:$H$215),$G$205:$G$215,$F$205:$F$215)</f>
        <v>30</v>
      </c>
      <c r="K205" s="300">
        <f t="dataTable" ref="K205:K215" dt2D="0" dtr="0" r1="G72" ca="1"/>
        <v>-250967.96516806027</v>
      </c>
      <c r="L205" s="300"/>
      <c r="M205" s="300"/>
      <c r="N205" s="418">
        <f>LOOKUP(MIN($L$205:$L$215),$K$205:$K$215,$J$205:$J$215)</f>
        <v>32</v>
      </c>
      <c r="O205" s="300">
        <f t="dataTable" ref="O205:O215" dt2D="0" dtr="0" r1="G72" ca="1"/>
        <v>-9127.4228297793816</v>
      </c>
      <c r="P205" s="300"/>
      <c r="Q205" s="300"/>
      <c r="R205" s="300"/>
      <c r="S205" s="300"/>
      <c r="T205" s="300"/>
      <c r="U205" s="300"/>
      <c r="V205" s="300"/>
      <c r="W205" s="300"/>
      <c r="X205" s="300"/>
      <c r="Y205" s="300"/>
      <c r="Z205" s="300"/>
      <c r="AA205" s="300"/>
      <c r="AB205" s="300"/>
      <c r="AC205" s="300"/>
      <c r="AD205" s="300"/>
      <c r="AE205" s="300"/>
      <c r="AF205" s="300"/>
      <c r="AG205" s="300"/>
      <c r="AH205" s="300"/>
      <c r="AI205" s="300"/>
      <c r="AJ205" s="300"/>
    </row>
    <row r="206" spans="2:36" ht="17">
      <c r="B206" s="307"/>
      <c r="C206" s="307"/>
      <c r="D206" s="307"/>
      <c r="E206" s="307"/>
      <c r="F206" s="417">
        <v>10</v>
      </c>
      <c r="G206" s="300">
        <v>-2669373.388550858</v>
      </c>
      <c r="H206" s="300" t="str">
        <f t="shared" ref="H206:H215" si="60">IF(AND($G206&lt;0,$G207&gt;0),$G206,"")</f>
        <v/>
      </c>
      <c r="I206" s="300" t="str">
        <f t="shared" ref="I206:I215" si="61">IF(AND($G206&gt;0,$G205&lt;0),$G206,"")</f>
        <v/>
      </c>
      <c r="J206" s="418">
        <f>J205+1</f>
        <v>31</v>
      </c>
      <c r="K206" s="300">
        <v>-130047.69399891938</v>
      </c>
      <c r="L206" s="300" t="str">
        <f t="shared" ref="L206:L215" si="62">IF(AND($K206&lt;0,$K207&gt;0),$K206,"")</f>
        <v/>
      </c>
      <c r="M206" s="300" t="str">
        <f t="shared" ref="M206:M215" si="63">IF(AND($K206&gt;0,$K205&lt;0),$K206,"")</f>
        <v/>
      </c>
      <c r="N206" s="418">
        <f>N205+0.1</f>
        <v>32.1</v>
      </c>
      <c r="O206" s="300">
        <v>2964.6042871349173</v>
      </c>
      <c r="P206" s="300" t="str">
        <f>IF(AND($O206&lt;0,$O207&gt;0),$O206,"")</f>
        <v/>
      </c>
      <c r="Q206" s="300">
        <f>IF(AND($O206&gt;0,$O205&lt;0),$O206,"")</f>
        <v>2964.6042871349173</v>
      </c>
      <c r="R206" s="300"/>
      <c r="S206" s="300"/>
      <c r="T206" s="300"/>
      <c r="U206" s="300"/>
      <c r="V206" s="300"/>
      <c r="W206" s="300"/>
      <c r="X206" s="300"/>
      <c r="Y206" s="300"/>
      <c r="Z206" s="300"/>
      <c r="AA206" s="300"/>
      <c r="AB206" s="300"/>
      <c r="AC206" s="300"/>
      <c r="AD206" s="300"/>
      <c r="AE206" s="300"/>
      <c r="AF206" s="300"/>
      <c r="AG206" s="300"/>
      <c r="AH206" s="300"/>
      <c r="AI206" s="300"/>
      <c r="AJ206" s="300"/>
    </row>
    <row r="207" spans="2:36" ht="17">
      <c r="B207" s="307"/>
      <c r="C207" s="307"/>
      <c r="D207" s="307"/>
      <c r="E207" s="307"/>
      <c r="F207" s="417">
        <v>20</v>
      </c>
      <c r="G207" s="300">
        <v>-1460170.6768594582</v>
      </c>
      <c r="H207" s="300" t="str">
        <f t="shared" si="60"/>
        <v/>
      </c>
      <c r="I207" s="300" t="str">
        <f t="shared" si="61"/>
        <v/>
      </c>
      <c r="J207" s="418">
        <f t="shared" ref="J207:J214" si="64">J206+1</f>
        <v>32</v>
      </c>
      <c r="K207" s="300">
        <v>-9127.4228297793816</v>
      </c>
      <c r="L207" s="300">
        <f t="shared" si="62"/>
        <v>-9127.4228297793816</v>
      </c>
      <c r="M207" s="300" t="str">
        <f t="shared" si="63"/>
        <v/>
      </c>
      <c r="N207" s="418">
        <f t="shared" ref="N207:N214" si="65">N206+0.1</f>
        <v>32.200000000000003</v>
      </c>
      <c r="O207" s="300">
        <v>15056.631404049132</v>
      </c>
      <c r="P207" s="300" t="str">
        <f t="shared" ref="P207:P215" si="66">IF(AND($O207&lt;0,$O208&gt;0),$O207,"")</f>
        <v/>
      </c>
      <c r="Q207" s="300" t="str">
        <f t="shared" ref="Q207:Q215" si="67">IF(AND($O207&gt;0,$O206&lt;0),$O207,"")</f>
        <v/>
      </c>
      <c r="R207" s="300"/>
      <c r="S207" s="300"/>
      <c r="T207" s="300"/>
      <c r="U207" s="300"/>
      <c r="V207" s="300"/>
      <c r="W207" s="300"/>
      <c r="X207" s="300"/>
      <c r="Y207" s="300"/>
      <c r="Z207" s="300"/>
      <c r="AA207" s="300"/>
      <c r="AB207" s="300"/>
      <c r="AC207" s="300"/>
      <c r="AD207" s="300"/>
      <c r="AE207" s="300"/>
      <c r="AF207" s="300"/>
      <c r="AG207" s="300"/>
      <c r="AH207" s="300"/>
      <c r="AI207" s="300"/>
      <c r="AJ207" s="300"/>
    </row>
    <row r="208" spans="2:36" ht="17">
      <c r="B208" s="307"/>
      <c r="C208" s="307"/>
      <c r="D208" s="307"/>
      <c r="E208" s="307"/>
      <c r="F208" s="417">
        <v>30</v>
      </c>
      <c r="G208" s="300">
        <v>-250967.96516806027</v>
      </c>
      <c r="H208" s="300">
        <f t="shared" si="60"/>
        <v>-250967.96516806027</v>
      </c>
      <c r="I208" s="300" t="str">
        <f t="shared" si="61"/>
        <v/>
      </c>
      <c r="J208" s="418">
        <f t="shared" si="64"/>
        <v>33</v>
      </c>
      <c r="K208" s="300">
        <v>111792.84833936111</v>
      </c>
      <c r="L208" s="300" t="str">
        <f t="shared" si="62"/>
        <v/>
      </c>
      <c r="M208" s="300">
        <f t="shared" si="63"/>
        <v>111792.84833936111</v>
      </c>
      <c r="N208" s="418">
        <f t="shared" si="65"/>
        <v>32.300000000000004</v>
      </c>
      <c r="O208" s="300">
        <v>27148.658520962974</v>
      </c>
      <c r="P208" s="300" t="str">
        <f t="shared" si="66"/>
        <v/>
      </c>
      <c r="Q208" s="300" t="str">
        <f t="shared" si="67"/>
        <v/>
      </c>
      <c r="R208" s="300"/>
      <c r="S208" s="300"/>
      <c r="T208" s="300"/>
      <c r="U208" s="300"/>
      <c r="V208" s="300"/>
      <c r="W208" s="300"/>
      <c r="X208" s="300"/>
      <c r="Y208" s="300"/>
      <c r="Z208" s="300"/>
      <c r="AA208" s="300"/>
      <c r="AB208" s="300"/>
      <c r="AC208" s="300"/>
      <c r="AD208" s="300"/>
      <c r="AE208" s="300"/>
      <c r="AF208" s="300"/>
      <c r="AG208" s="300"/>
      <c r="AH208" s="300"/>
      <c r="AI208" s="300"/>
      <c r="AJ208" s="300"/>
    </row>
    <row r="209" spans="2:36" ht="17">
      <c r="B209" s="307"/>
      <c r="C209" s="307"/>
      <c r="D209" s="307"/>
      <c r="E209" s="307"/>
      <c r="F209" s="417">
        <v>40</v>
      </c>
      <c r="G209" s="300">
        <v>958234.74652333942</v>
      </c>
      <c r="H209" s="300" t="str">
        <f t="shared" si="60"/>
        <v/>
      </c>
      <c r="I209" s="300">
        <f t="shared" si="61"/>
        <v>958234.74652333942</v>
      </c>
      <c r="J209" s="418">
        <f t="shared" si="64"/>
        <v>34</v>
      </c>
      <c r="K209" s="300">
        <v>232713.11950850068</v>
      </c>
      <c r="L209" s="300" t="str">
        <f t="shared" si="62"/>
        <v/>
      </c>
      <c r="M209" s="300" t="str">
        <f t="shared" si="63"/>
        <v/>
      </c>
      <c r="N209" s="418">
        <f t="shared" si="65"/>
        <v>32.400000000000006</v>
      </c>
      <c r="O209" s="300">
        <v>39240.685637877788</v>
      </c>
      <c r="P209" s="300" t="str">
        <f t="shared" si="66"/>
        <v/>
      </c>
      <c r="Q209" s="300" t="str">
        <f t="shared" si="67"/>
        <v/>
      </c>
      <c r="R209" s="300"/>
      <c r="S209" s="300"/>
      <c r="T209" s="300"/>
      <c r="U209" s="300"/>
      <c r="V209" s="300"/>
      <c r="W209" s="300"/>
      <c r="X209" s="300"/>
      <c r="Y209" s="300"/>
      <c r="Z209" s="300"/>
      <c r="AA209" s="300"/>
      <c r="AB209" s="300"/>
      <c r="AC209" s="300"/>
      <c r="AD209" s="300"/>
      <c r="AE209" s="300"/>
      <c r="AF209" s="300"/>
      <c r="AG209" s="300"/>
      <c r="AH209" s="300"/>
      <c r="AI209" s="300"/>
      <c r="AJ209" s="300"/>
    </row>
    <row r="210" spans="2:36" ht="17">
      <c r="B210" s="307"/>
      <c r="C210" s="307"/>
      <c r="D210" s="307"/>
      <c r="E210" s="307"/>
      <c r="F210" s="417">
        <v>50</v>
      </c>
      <c r="G210" s="300">
        <v>2167437.4582147393</v>
      </c>
      <c r="H210" s="300" t="str">
        <f t="shared" si="60"/>
        <v/>
      </c>
      <c r="I210" s="300" t="str">
        <f t="shared" si="61"/>
        <v/>
      </c>
      <c r="J210" s="418">
        <f t="shared" si="64"/>
        <v>35</v>
      </c>
      <c r="K210" s="300">
        <v>353633.39067764051</v>
      </c>
      <c r="L210" s="300" t="str">
        <f t="shared" si="62"/>
        <v/>
      </c>
      <c r="M210" s="300" t="str">
        <f t="shared" si="63"/>
        <v/>
      </c>
      <c r="N210" s="418">
        <f t="shared" si="65"/>
        <v>32.500000000000007</v>
      </c>
      <c r="O210" s="300">
        <v>51332.712754791202</v>
      </c>
      <c r="P210" s="300" t="str">
        <f t="shared" si="66"/>
        <v/>
      </c>
      <c r="Q210" s="300" t="str">
        <f t="shared" si="67"/>
        <v/>
      </c>
      <c r="R210" s="300"/>
      <c r="S210" s="300"/>
      <c r="T210" s="300"/>
      <c r="U210" s="300"/>
      <c r="V210" s="300"/>
      <c r="W210" s="300"/>
      <c r="X210" s="300"/>
      <c r="Y210" s="300"/>
      <c r="Z210" s="300"/>
      <c r="AA210" s="300"/>
      <c r="AB210" s="300"/>
      <c r="AC210" s="300"/>
      <c r="AD210" s="300"/>
      <c r="AE210" s="300"/>
      <c r="AF210" s="300"/>
      <c r="AG210" s="300"/>
      <c r="AH210" s="300"/>
      <c r="AI210" s="300"/>
      <c r="AJ210" s="300"/>
    </row>
    <row r="211" spans="2:36" ht="17">
      <c r="B211" s="307"/>
      <c r="C211" s="307"/>
      <c r="D211" s="307"/>
      <c r="E211" s="307"/>
      <c r="F211" s="417">
        <v>60</v>
      </c>
      <c r="G211" s="300">
        <v>3376640.1699061389</v>
      </c>
      <c r="H211" s="300" t="str">
        <f t="shared" si="60"/>
        <v/>
      </c>
      <c r="I211" s="300" t="str">
        <f t="shared" si="61"/>
        <v/>
      </c>
      <c r="J211" s="418">
        <f t="shared" si="64"/>
        <v>36</v>
      </c>
      <c r="K211" s="300">
        <v>474553.66184678086</v>
      </c>
      <c r="L211" s="300" t="str">
        <f t="shared" si="62"/>
        <v/>
      </c>
      <c r="M211" s="300" t="str">
        <f t="shared" si="63"/>
        <v/>
      </c>
      <c r="N211" s="418">
        <f t="shared" si="65"/>
        <v>32.600000000000009</v>
      </c>
      <c r="O211" s="300">
        <v>63424.739871705497</v>
      </c>
      <c r="P211" s="300" t="str">
        <f t="shared" si="66"/>
        <v/>
      </c>
      <c r="Q211" s="300" t="str">
        <f t="shared" si="67"/>
        <v/>
      </c>
      <c r="R211" s="300"/>
      <c r="S211" s="300"/>
      <c r="T211" s="300"/>
      <c r="U211" s="300"/>
      <c r="V211" s="300"/>
      <c r="W211" s="300"/>
      <c r="X211" s="300"/>
      <c r="Y211" s="300"/>
      <c r="Z211" s="300"/>
      <c r="AA211" s="300"/>
      <c r="AB211" s="300"/>
      <c r="AC211" s="300"/>
      <c r="AD211" s="300"/>
      <c r="AE211" s="300"/>
      <c r="AF211" s="300"/>
      <c r="AG211" s="300"/>
      <c r="AH211" s="300"/>
      <c r="AI211" s="300"/>
      <c r="AJ211" s="300"/>
    </row>
    <row r="212" spans="2:36" ht="17">
      <c r="B212" s="307"/>
      <c r="C212" s="307"/>
      <c r="D212" s="307"/>
      <c r="E212" s="307"/>
      <c r="F212" s="417">
        <v>70</v>
      </c>
      <c r="G212" s="300">
        <v>4585842.8815975385</v>
      </c>
      <c r="H212" s="300" t="str">
        <f t="shared" si="60"/>
        <v/>
      </c>
      <c r="I212" s="300" t="str">
        <f t="shared" si="61"/>
        <v/>
      </c>
      <c r="J212" s="418">
        <f t="shared" si="64"/>
        <v>37</v>
      </c>
      <c r="K212" s="300">
        <v>595473.93301591987</v>
      </c>
      <c r="L212" s="300" t="str">
        <f t="shared" si="62"/>
        <v/>
      </c>
      <c r="M212" s="300" t="str">
        <f t="shared" si="63"/>
        <v/>
      </c>
      <c r="N212" s="418">
        <f t="shared" si="65"/>
        <v>32.70000000000001</v>
      </c>
      <c r="O212" s="300">
        <v>75516.766988618969</v>
      </c>
      <c r="P212" s="300" t="str">
        <f t="shared" si="66"/>
        <v/>
      </c>
      <c r="Q212" s="300" t="str">
        <f t="shared" si="67"/>
        <v/>
      </c>
      <c r="R212" s="300"/>
      <c r="S212" s="300"/>
      <c r="T212" s="300"/>
      <c r="U212" s="300"/>
      <c r="V212" s="300"/>
      <c r="W212" s="300"/>
      <c r="X212" s="300"/>
      <c r="Y212" s="300"/>
      <c r="Z212" s="300"/>
      <c r="AA212" s="300"/>
      <c r="AB212" s="300"/>
      <c r="AC212" s="300"/>
      <c r="AD212" s="300"/>
      <c r="AE212" s="300"/>
      <c r="AF212" s="300"/>
      <c r="AG212" s="300"/>
      <c r="AH212" s="300"/>
      <c r="AI212" s="300"/>
      <c r="AJ212" s="300"/>
    </row>
    <row r="213" spans="2:36" ht="17">
      <c r="B213" s="307"/>
      <c r="C213" s="307"/>
      <c r="D213" s="307"/>
      <c r="E213" s="307"/>
      <c r="F213" s="417">
        <v>80</v>
      </c>
      <c r="G213" s="300">
        <v>5795045.5932889357</v>
      </c>
      <c r="H213" s="300" t="str">
        <f t="shared" si="60"/>
        <v/>
      </c>
      <c r="I213" s="300" t="str">
        <f t="shared" si="61"/>
        <v/>
      </c>
      <c r="J213" s="418">
        <f t="shared" si="64"/>
        <v>38</v>
      </c>
      <c r="K213" s="300">
        <v>716394.20418505918</v>
      </c>
      <c r="L213" s="300" t="str">
        <f t="shared" si="62"/>
        <v/>
      </c>
      <c r="M213" s="300" t="str">
        <f t="shared" si="63"/>
        <v/>
      </c>
      <c r="N213" s="418">
        <f t="shared" si="65"/>
        <v>32.800000000000011</v>
      </c>
      <c r="O213" s="300">
        <v>87608.79410553351</v>
      </c>
      <c r="P213" s="300" t="str">
        <f t="shared" si="66"/>
        <v/>
      </c>
      <c r="Q213" s="300" t="str">
        <f t="shared" si="67"/>
        <v/>
      </c>
      <c r="R213" s="300"/>
      <c r="S213" s="300"/>
      <c r="T213" s="300"/>
      <c r="U213" s="300"/>
      <c r="V213" s="300"/>
      <c r="W213" s="300"/>
      <c r="X213" s="300"/>
      <c r="Y213" s="300"/>
      <c r="Z213" s="300"/>
      <c r="AA213" s="300"/>
      <c r="AB213" s="300"/>
      <c r="AC213" s="300"/>
      <c r="AD213" s="300"/>
      <c r="AE213" s="300"/>
      <c r="AF213" s="300"/>
      <c r="AG213" s="300"/>
      <c r="AH213" s="300"/>
      <c r="AI213" s="300"/>
      <c r="AJ213" s="300"/>
    </row>
    <row r="214" spans="2:36" ht="17">
      <c r="B214" s="307"/>
      <c r="C214" s="307"/>
      <c r="D214" s="307"/>
      <c r="E214" s="307"/>
      <c r="F214" s="417">
        <v>90</v>
      </c>
      <c r="G214" s="300">
        <v>7004248.3049803358</v>
      </c>
      <c r="H214" s="300" t="str">
        <f t="shared" si="60"/>
        <v/>
      </c>
      <c r="I214" s="300" t="str">
        <f t="shared" si="61"/>
        <v/>
      </c>
      <c r="J214" s="418">
        <f t="shared" si="64"/>
        <v>39</v>
      </c>
      <c r="K214" s="300">
        <v>837314.47535419976</v>
      </c>
      <c r="L214" s="300" t="str">
        <f t="shared" si="62"/>
        <v/>
      </c>
      <c r="M214" s="300" t="str">
        <f t="shared" si="63"/>
        <v/>
      </c>
      <c r="N214" s="418">
        <f t="shared" si="65"/>
        <v>32.900000000000013</v>
      </c>
      <c r="O214" s="300">
        <v>99700.821222447776</v>
      </c>
      <c r="P214" s="300" t="str">
        <f t="shared" si="66"/>
        <v/>
      </c>
      <c r="Q214" s="300" t="str">
        <f t="shared" si="67"/>
        <v/>
      </c>
      <c r="R214" s="300"/>
      <c r="S214" s="300"/>
      <c r="T214" s="300"/>
      <c r="U214" s="300"/>
      <c r="V214" s="300"/>
      <c r="W214" s="300"/>
      <c r="X214" s="300"/>
      <c r="Y214" s="300"/>
      <c r="Z214" s="300"/>
      <c r="AA214" s="300"/>
      <c r="AB214" s="300"/>
      <c r="AC214" s="300"/>
      <c r="AD214" s="300"/>
      <c r="AE214" s="300"/>
      <c r="AF214" s="300"/>
      <c r="AG214" s="300"/>
      <c r="AH214" s="300"/>
      <c r="AI214" s="300"/>
      <c r="AJ214" s="300"/>
    </row>
    <row r="215" spans="2:36" ht="17">
      <c r="B215" s="307"/>
      <c r="C215" s="307"/>
      <c r="D215" s="307"/>
      <c r="E215" s="307"/>
      <c r="F215" s="417">
        <v>100</v>
      </c>
      <c r="G215" s="300">
        <v>8213451.0166717339</v>
      </c>
      <c r="H215" s="300" t="str">
        <f t="shared" si="60"/>
        <v/>
      </c>
      <c r="I215" s="300" t="str">
        <f t="shared" si="61"/>
        <v/>
      </c>
      <c r="J215" s="418">
        <f>LOOKUP(MAX($I$205:$I$215),$G$205:$G$215,$F$205:$F$215)</f>
        <v>40</v>
      </c>
      <c r="K215" s="300">
        <v>958234.74652333942</v>
      </c>
      <c r="L215" s="300" t="str">
        <f t="shared" si="62"/>
        <v/>
      </c>
      <c r="M215" s="300" t="str">
        <f t="shared" si="63"/>
        <v/>
      </c>
      <c r="N215" s="418">
        <f>LOOKUP(MAX($M$205:$M$215),$K$205:$K$215,$J$205:$J$215)</f>
        <v>33</v>
      </c>
      <c r="O215" s="300">
        <v>111792.84833936111</v>
      </c>
      <c r="P215" s="300" t="str">
        <f t="shared" si="66"/>
        <v/>
      </c>
      <c r="Q215" s="300" t="str">
        <f t="shared" si="67"/>
        <v/>
      </c>
      <c r="R215" s="300"/>
      <c r="S215" s="300"/>
      <c r="T215" s="300"/>
      <c r="U215" s="300"/>
      <c r="V215" s="300"/>
      <c r="W215" s="300"/>
      <c r="X215" s="300"/>
      <c r="Y215" s="300"/>
      <c r="Z215" s="300"/>
      <c r="AA215" s="300"/>
      <c r="AB215" s="300"/>
      <c r="AC215" s="300"/>
      <c r="AD215" s="300"/>
      <c r="AE215" s="300"/>
      <c r="AF215" s="300"/>
      <c r="AG215" s="300"/>
      <c r="AH215" s="300"/>
      <c r="AI215" s="300"/>
      <c r="AJ215" s="300"/>
    </row>
    <row r="216" spans="2:36" ht="16" thickBot="1">
      <c r="B216" s="309"/>
      <c r="C216" s="309"/>
      <c r="D216" s="309"/>
      <c r="E216" s="309"/>
      <c r="F216" s="421"/>
      <c r="G216" s="309"/>
      <c r="H216" s="309"/>
      <c r="I216" s="309"/>
      <c r="J216" s="309"/>
      <c r="K216" s="309"/>
      <c r="L216" s="309"/>
      <c r="M216" s="309"/>
      <c r="N216" s="309"/>
      <c r="O216" s="309"/>
      <c r="P216" s="309"/>
      <c r="Q216" s="309"/>
      <c r="R216" s="309"/>
      <c r="S216" s="309"/>
      <c r="T216" s="309"/>
      <c r="U216" s="309"/>
      <c r="V216" s="309"/>
      <c r="W216" s="309"/>
      <c r="X216" s="309"/>
      <c r="Y216" s="309"/>
      <c r="Z216" s="309"/>
      <c r="AA216" s="309"/>
      <c r="AB216" s="309"/>
      <c r="AC216" s="309"/>
      <c r="AD216" s="309"/>
      <c r="AE216" s="309"/>
      <c r="AF216" s="309"/>
      <c r="AG216" s="309"/>
      <c r="AH216" s="309"/>
      <c r="AI216" s="309"/>
      <c r="AJ216" s="309"/>
    </row>
    <row r="217" spans="2:36" s="419" customFormat="1">
      <c r="F217" s="420"/>
    </row>
    <row r="218" spans="2:36">
      <c r="F218" s="413"/>
    </row>
    <row r="219" spans="2:36">
      <c r="F219" s="413"/>
    </row>
    <row r="220" spans="2:36">
      <c r="F220" s="413"/>
    </row>
    <row r="221" spans="2:36">
      <c r="F221" s="413"/>
    </row>
    <row r="222" spans="2:36">
      <c r="F222" s="413"/>
    </row>
    <row r="223" spans="2:36">
      <c r="F223" s="413"/>
    </row>
    <row r="224" spans="2:36">
      <c r="F224" s="413"/>
    </row>
    <row r="225" spans="6:6">
      <c r="F225" s="413"/>
    </row>
    <row r="226" spans="6:6">
      <c r="F226" s="413"/>
    </row>
    <row r="227" spans="6:6">
      <c r="F227" s="413"/>
    </row>
    <row r="228" spans="6:6">
      <c r="F228" s="413"/>
    </row>
  </sheetData>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xr:uid="{00000000-0002-0000-0400-000000000000}">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N159"/>
  <sheetViews>
    <sheetView showGridLines="0" zoomScale="70" zoomScaleNormal="70" workbookViewId="0">
      <pane xSplit="1" ySplit="3" topLeftCell="B4" activePane="bottomRight" state="frozen"/>
      <selection pane="topRight" activeCell="B1" sqref="B1"/>
      <selection pane="bottomLeft" activeCell="A4" sqref="A4"/>
      <selection pane="bottomRight" activeCell="E5" sqref="E5"/>
    </sheetView>
  </sheetViews>
  <sheetFormatPr baseColWidth="10" defaultColWidth="9.6640625" defaultRowHeight="15"/>
  <cols>
    <col min="1" max="1" width="2.6640625" customWidth="1"/>
    <col min="2" max="2" width="69.6640625" customWidth="1"/>
    <col min="3" max="4" width="15.6640625" customWidth="1"/>
    <col min="5" max="5" width="48.1640625" customWidth="1"/>
    <col min="6" max="7" width="13.6640625" customWidth="1"/>
    <col min="8" max="11" width="25.83203125" customWidth="1"/>
    <col min="12" max="14" width="13.6640625" customWidth="1"/>
  </cols>
  <sheetData>
    <row r="1" spans="2:11" ht="16" thickBot="1">
      <c r="D1" s="65"/>
      <c r="F1" s="66"/>
    </row>
    <row r="2" spans="2:11" ht="30" customHeight="1" thickBot="1">
      <c r="B2" s="95" t="s">
        <v>243</v>
      </c>
      <c r="C2" s="69"/>
      <c r="D2" s="96"/>
      <c r="E2" s="70"/>
      <c r="F2" s="66"/>
      <c r="G2" s="330"/>
      <c r="H2" s="330"/>
      <c r="I2" s="330"/>
      <c r="J2" s="330"/>
      <c r="K2" s="330"/>
    </row>
    <row r="3" spans="2:11" ht="19" thickBot="1">
      <c r="B3" s="97" t="s">
        <v>173</v>
      </c>
      <c r="C3" s="98"/>
      <c r="D3" s="99"/>
      <c r="E3" s="106"/>
      <c r="F3" s="66"/>
      <c r="G3" s="330"/>
      <c r="H3" s="330"/>
      <c r="I3" s="330"/>
      <c r="J3" s="330"/>
      <c r="K3" s="330"/>
    </row>
    <row r="4" spans="2:11" ht="16" thickBot="1">
      <c r="D4" s="65"/>
      <c r="F4" s="66"/>
    </row>
    <row r="5" spans="2:11" ht="35" thickBot="1">
      <c r="B5" s="121" t="str">
        <f>Inputs!E20</f>
        <v>Generation Equipment</v>
      </c>
      <c r="C5" s="111" t="s">
        <v>0</v>
      </c>
      <c r="D5" s="112" t="s">
        <v>100</v>
      </c>
      <c r="E5" s="101" t="s">
        <v>169</v>
      </c>
    </row>
    <row r="6" spans="2:11" ht="16">
      <c r="B6" s="144" t="s">
        <v>182</v>
      </c>
      <c r="C6" s="145">
        <v>3500000</v>
      </c>
      <c r="D6" s="146">
        <v>1</v>
      </c>
      <c r="E6" s="320" t="s">
        <v>22</v>
      </c>
    </row>
    <row r="7" spans="2:11" ht="16">
      <c r="B7" s="147" t="s">
        <v>193</v>
      </c>
      <c r="C7" s="148">
        <v>500000</v>
      </c>
      <c r="D7" s="146">
        <v>1</v>
      </c>
      <c r="E7" s="320" t="s">
        <v>22</v>
      </c>
    </row>
    <row r="8" spans="2:11" ht="16">
      <c r="B8" s="147" t="s">
        <v>194</v>
      </c>
      <c r="C8" s="148">
        <v>800000</v>
      </c>
      <c r="D8" s="146">
        <v>1</v>
      </c>
      <c r="E8" s="320" t="s">
        <v>22</v>
      </c>
    </row>
    <row r="9" spans="2:11" ht="16">
      <c r="B9" s="147" t="s">
        <v>183</v>
      </c>
      <c r="C9" s="148">
        <v>200000</v>
      </c>
      <c r="D9" s="146">
        <v>1</v>
      </c>
      <c r="E9" s="320" t="s">
        <v>24</v>
      </c>
    </row>
    <row r="10" spans="2:11" ht="16">
      <c r="B10" s="147" t="s">
        <v>184</v>
      </c>
      <c r="C10" s="148">
        <v>1000000</v>
      </c>
      <c r="D10" s="146">
        <v>1</v>
      </c>
      <c r="E10" s="320" t="s">
        <v>22</v>
      </c>
    </row>
    <row r="11" spans="2:11" ht="16">
      <c r="B11" s="147" t="s">
        <v>101</v>
      </c>
      <c r="C11" s="148">
        <v>0</v>
      </c>
      <c r="D11" s="146">
        <v>1</v>
      </c>
      <c r="E11" s="320" t="s">
        <v>22</v>
      </c>
    </row>
    <row r="12" spans="2:11" ht="16">
      <c r="B12" s="147" t="s">
        <v>101</v>
      </c>
      <c r="C12" s="148">
        <v>0</v>
      </c>
      <c r="D12" s="146">
        <v>1</v>
      </c>
      <c r="E12" s="320" t="s">
        <v>22</v>
      </c>
    </row>
    <row r="13" spans="2:11" ht="16">
      <c r="B13" s="147" t="s">
        <v>101</v>
      </c>
      <c r="C13" s="148">
        <v>0</v>
      </c>
      <c r="D13" s="146">
        <v>1</v>
      </c>
      <c r="E13" s="320" t="s">
        <v>22</v>
      </c>
    </row>
    <row r="14" spans="2:11" ht="16">
      <c r="B14" s="147" t="s">
        <v>101</v>
      </c>
      <c r="C14" s="148">
        <v>0</v>
      </c>
      <c r="D14" s="146">
        <v>1</v>
      </c>
      <c r="E14" s="320" t="s">
        <v>22</v>
      </c>
    </row>
    <row r="15" spans="2:11" ht="16">
      <c r="B15" s="147" t="s">
        <v>101</v>
      </c>
      <c r="C15" s="148">
        <v>0</v>
      </c>
      <c r="D15" s="146">
        <v>1</v>
      </c>
      <c r="E15" s="320" t="s">
        <v>22</v>
      </c>
    </row>
    <row r="16" spans="2:11" ht="16">
      <c r="B16" s="147" t="s">
        <v>101</v>
      </c>
      <c r="C16" s="148">
        <v>0</v>
      </c>
      <c r="D16" s="146">
        <v>1</v>
      </c>
      <c r="E16" s="320" t="s">
        <v>22</v>
      </c>
    </row>
    <row r="17" spans="2:5" ht="16">
      <c r="B17" s="147" t="s">
        <v>101</v>
      </c>
      <c r="C17" s="148">
        <v>0</v>
      </c>
      <c r="D17" s="146">
        <v>1</v>
      </c>
      <c r="E17" s="320" t="s">
        <v>22</v>
      </c>
    </row>
    <row r="18" spans="2:5" ht="16">
      <c r="B18" s="147" t="s">
        <v>101</v>
      </c>
      <c r="C18" s="148">
        <v>0</v>
      </c>
      <c r="D18" s="146">
        <v>1</v>
      </c>
      <c r="E18" s="320" t="s">
        <v>22</v>
      </c>
    </row>
    <row r="19" spans="2:5" ht="16">
      <c r="B19" s="147" t="s">
        <v>101</v>
      </c>
      <c r="C19" s="148">
        <v>0</v>
      </c>
      <c r="D19" s="146">
        <v>1</v>
      </c>
      <c r="E19" s="320" t="s">
        <v>22</v>
      </c>
    </row>
    <row r="20" spans="2:5" ht="16">
      <c r="B20" s="147" t="s">
        <v>101</v>
      </c>
      <c r="C20" s="148">
        <v>0</v>
      </c>
      <c r="D20" s="146">
        <v>1</v>
      </c>
      <c r="E20" s="320" t="s">
        <v>22</v>
      </c>
    </row>
    <row r="21" spans="2:5" ht="16">
      <c r="B21" s="147" t="s">
        <v>101</v>
      </c>
      <c r="C21" s="148">
        <v>0</v>
      </c>
      <c r="D21" s="146">
        <v>1</v>
      </c>
      <c r="E21" s="320" t="s">
        <v>22</v>
      </c>
    </row>
    <row r="22" spans="2:5" ht="16">
      <c r="B22" s="147" t="s">
        <v>101</v>
      </c>
      <c r="C22" s="148">
        <v>0</v>
      </c>
      <c r="D22" s="146">
        <v>1</v>
      </c>
      <c r="E22" s="320" t="s">
        <v>22</v>
      </c>
    </row>
    <row r="23" spans="2:5" ht="16">
      <c r="B23" s="147" t="s">
        <v>101</v>
      </c>
      <c r="C23" s="148">
        <v>0</v>
      </c>
      <c r="D23" s="146">
        <v>1</v>
      </c>
      <c r="E23" s="320" t="s">
        <v>22</v>
      </c>
    </row>
    <row r="24" spans="2:5" ht="16">
      <c r="B24" s="147" t="s">
        <v>101</v>
      </c>
      <c r="C24" s="148">
        <v>0</v>
      </c>
      <c r="D24" s="146">
        <v>1</v>
      </c>
      <c r="E24" s="320" t="s">
        <v>22</v>
      </c>
    </row>
    <row r="25" spans="2:5" ht="17" thickBot="1">
      <c r="B25" s="149" t="s">
        <v>101</v>
      </c>
      <c r="C25" s="150">
        <v>0</v>
      </c>
      <c r="D25" s="151">
        <v>1</v>
      </c>
      <c r="E25" s="320" t="s">
        <v>22</v>
      </c>
    </row>
    <row r="26" spans="2:5" ht="30" customHeight="1" thickTop="1">
      <c r="B26" s="107" t="s">
        <v>174</v>
      </c>
      <c r="C26" s="108">
        <f>SUM(C6:C25)</f>
        <v>6000000</v>
      </c>
      <c r="D26" s="77">
        <f>SUMPRODUCT(C6:C25,D6:D25)/C26</f>
        <v>1</v>
      </c>
      <c r="E26" s="109"/>
    </row>
    <row r="27" spans="2:5" ht="16.5" customHeight="1">
      <c r="B27" s="116"/>
      <c r="C27" s="117"/>
      <c r="D27" s="102"/>
      <c r="E27" s="26"/>
    </row>
    <row r="28" spans="2:5" ht="30" customHeight="1">
      <c r="B28" s="74" t="s">
        <v>102</v>
      </c>
      <c r="C28" s="117"/>
      <c r="D28" s="102"/>
      <c r="E28" s="26"/>
    </row>
    <row r="29" spans="2:5" s="15" customFormat="1" ht="17" thickBot="1">
      <c r="B29" s="118"/>
      <c r="C29" s="119"/>
      <c r="D29" s="120"/>
      <c r="E29" s="115"/>
    </row>
    <row r="30" spans="2:5" ht="30" customHeight="1" thickBot="1">
      <c r="B30" s="121" t="str">
        <f>Inputs!E21</f>
        <v>Balance of Plant</v>
      </c>
      <c r="C30" s="111" t="s">
        <v>0</v>
      </c>
      <c r="D30" s="112" t="s">
        <v>100</v>
      </c>
      <c r="E30" s="101" t="s">
        <v>169</v>
      </c>
    </row>
    <row r="31" spans="2:5" ht="16">
      <c r="B31" s="144" t="s">
        <v>195</v>
      </c>
      <c r="C31" s="145">
        <v>175000</v>
      </c>
      <c r="D31" s="146">
        <v>1</v>
      </c>
      <c r="E31" s="320" t="s">
        <v>25</v>
      </c>
    </row>
    <row r="32" spans="2:5" ht="16">
      <c r="B32" s="147" t="s">
        <v>233</v>
      </c>
      <c r="C32" s="148">
        <v>2150000</v>
      </c>
      <c r="D32" s="146">
        <v>1</v>
      </c>
      <c r="E32" s="320" t="s">
        <v>22</v>
      </c>
    </row>
    <row r="33" spans="2:5" ht="16">
      <c r="B33" s="147" t="s">
        <v>185</v>
      </c>
      <c r="C33" s="148">
        <v>0</v>
      </c>
      <c r="D33" s="146">
        <v>0</v>
      </c>
      <c r="E33" s="320" t="s">
        <v>25</v>
      </c>
    </row>
    <row r="34" spans="2:5" ht="16">
      <c r="B34" s="147" t="s">
        <v>186</v>
      </c>
      <c r="C34" s="148">
        <v>100000</v>
      </c>
      <c r="D34" s="146">
        <v>1</v>
      </c>
      <c r="E34" s="320" t="s">
        <v>25</v>
      </c>
    </row>
    <row r="35" spans="2:5" ht="16">
      <c r="B35" s="147" t="s">
        <v>75</v>
      </c>
      <c r="C35" s="148">
        <v>25000</v>
      </c>
      <c r="D35" s="146">
        <v>1</v>
      </c>
      <c r="E35" s="320" t="s">
        <v>22</v>
      </c>
    </row>
    <row r="36" spans="2:5" ht="16">
      <c r="B36" s="147" t="s">
        <v>196</v>
      </c>
      <c r="C36" s="148">
        <v>50000</v>
      </c>
      <c r="D36" s="146">
        <v>1</v>
      </c>
      <c r="E36" s="320" t="s">
        <v>22</v>
      </c>
    </row>
    <row r="37" spans="2:5" ht="16">
      <c r="B37" s="147" t="s">
        <v>101</v>
      </c>
      <c r="C37" s="148">
        <v>0</v>
      </c>
      <c r="D37" s="146">
        <v>1</v>
      </c>
      <c r="E37" s="320" t="s">
        <v>22</v>
      </c>
    </row>
    <row r="38" spans="2:5" ht="16">
      <c r="B38" s="147" t="s">
        <v>101</v>
      </c>
      <c r="C38" s="148">
        <v>0</v>
      </c>
      <c r="D38" s="146">
        <v>1</v>
      </c>
      <c r="E38" s="320" t="s">
        <v>22</v>
      </c>
    </row>
    <row r="39" spans="2:5" ht="16">
      <c r="B39" s="147" t="s">
        <v>101</v>
      </c>
      <c r="C39" s="148">
        <v>0</v>
      </c>
      <c r="D39" s="146">
        <v>1</v>
      </c>
      <c r="E39" s="320" t="s">
        <v>22</v>
      </c>
    </row>
    <row r="40" spans="2:5" ht="16">
      <c r="B40" s="147" t="s">
        <v>101</v>
      </c>
      <c r="C40" s="148">
        <v>0</v>
      </c>
      <c r="D40" s="146">
        <v>1</v>
      </c>
      <c r="E40" s="320" t="s">
        <v>22</v>
      </c>
    </row>
    <row r="41" spans="2:5" ht="16">
      <c r="B41" s="147" t="s">
        <v>101</v>
      </c>
      <c r="C41" s="148">
        <v>0</v>
      </c>
      <c r="D41" s="146">
        <v>1</v>
      </c>
      <c r="E41" s="320" t="s">
        <v>22</v>
      </c>
    </row>
    <row r="42" spans="2:5" ht="16">
      <c r="B42" s="147" t="s">
        <v>101</v>
      </c>
      <c r="C42" s="148">
        <v>0</v>
      </c>
      <c r="D42" s="146">
        <v>1</v>
      </c>
      <c r="E42" s="320" t="s">
        <v>22</v>
      </c>
    </row>
    <row r="43" spans="2:5" ht="16">
      <c r="B43" s="147" t="s">
        <v>101</v>
      </c>
      <c r="C43" s="148">
        <v>0</v>
      </c>
      <c r="D43" s="146">
        <v>1</v>
      </c>
      <c r="E43" s="320" t="s">
        <v>22</v>
      </c>
    </row>
    <row r="44" spans="2:5" ht="16">
      <c r="B44" s="147" t="s">
        <v>101</v>
      </c>
      <c r="C44" s="148">
        <v>0</v>
      </c>
      <c r="D44" s="146">
        <v>1</v>
      </c>
      <c r="E44" s="320" t="s">
        <v>22</v>
      </c>
    </row>
    <row r="45" spans="2:5" ht="16">
      <c r="B45" s="147" t="s">
        <v>101</v>
      </c>
      <c r="C45" s="148">
        <v>0</v>
      </c>
      <c r="D45" s="146">
        <v>1</v>
      </c>
      <c r="E45" s="320" t="s">
        <v>22</v>
      </c>
    </row>
    <row r="46" spans="2:5" ht="16">
      <c r="B46" s="147" t="s">
        <v>101</v>
      </c>
      <c r="C46" s="148">
        <v>0</v>
      </c>
      <c r="D46" s="146">
        <v>1</v>
      </c>
      <c r="E46" s="320" t="s">
        <v>22</v>
      </c>
    </row>
    <row r="47" spans="2:5" ht="16">
      <c r="B47" s="147" t="s">
        <v>101</v>
      </c>
      <c r="C47" s="148">
        <v>0</v>
      </c>
      <c r="D47" s="146">
        <v>1</v>
      </c>
      <c r="E47" s="320" t="s">
        <v>22</v>
      </c>
    </row>
    <row r="48" spans="2:5" ht="16">
      <c r="B48" s="147" t="s">
        <v>101</v>
      </c>
      <c r="C48" s="148">
        <v>0</v>
      </c>
      <c r="D48" s="146">
        <v>1</v>
      </c>
      <c r="E48" s="320" t="s">
        <v>22</v>
      </c>
    </row>
    <row r="49" spans="2:5" ht="16">
      <c r="B49" s="147" t="s">
        <v>101</v>
      </c>
      <c r="C49" s="148">
        <v>0</v>
      </c>
      <c r="D49" s="146">
        <v>1</v>
      </c>
      <c r="E49" s="320" t="s">
        <v>22</v>
      </c>
    </row>
    <row r="50" spans="2:5" ht="17" thickBot="1">
      <c r="B50" s="149" t="s">
        <v>101</v>
      </c>
      <c r="C50" s="150">
        <v>0</v>
      </c>
      <c r="D50" s="151">
        <v>1</v>
      </c>
      <c r="E50" s="320" t="s">
        <v>22</v>
      </c>
    </row>
    <row r="51" spans="2:5" ht="30" customHeight="1" thickTop="1">
      <c r="B51" s="107" t="s">
        <v>176</v>
      </c>
      <c r="C51" s="108">
        <f>SUM(C31:C50)</f>
        <v>2500000</v>
      </c>
      <c r="D51" s="77">
        <f>SUMPRODUCT(C31:C50,D31:D50)/C51</f>
        <v>1</v>
      </c>
      <c r="E51" s="73"/>
    </row>
    <row r="53" spans="2:5" ht="30" customHeight="1">
      <c r="B53" s="74" t="s">
        <v>102</v>
      </c>
    </row>
    <row r="54" spans="2:5" ht="16" thickBot="1"/>
    <row r="55" spans="2:5" ht="35" thickBot="1">
      <c r="B55" s="67" t="str">
        <f>Inputs!E22</f>
        <v>Interconnection</v>
      </c>
      <c r="C55" s="111" t="s">
        <v>0</v>
      </c>
      <c r="D55" s="112" t="s">
        <v>100</v>
      </c>
      <c r="E55" s="101" t="s">
        <v>169</v>
      </c>
    </row>
    <row r="56" spans="2:5" ht="16">
      <c r="B56" s="144" t="s">
        <v>103</v>
      </c>
      <c r="C56" s="145">
        <v>200000</v>
      </c>
      <c r="D56" s="146">
        <v>0.5</v>
      </c>
      <c r="E56" s="320" t="s">
        <v>25</v>
      </c>
    </row>
    <row r="57" spans="2:5" ht="16">
      <c r="B57" s="147" t="s">
        <v>198</v>
      </c>
      <c r="C57" s="148">
        <v>50000</v>
      </c>
      <c r="D57" s="146">
        <v>0.5</v>
      </c>
      <c r="E57" s="320" t="s">
        <v>25</v>
      </c>
    </row>
    <row r="58" spans="2:5" ht="16">
      <c r="B58" s="147" t="s">
        <v>197</v>
      </c>
      <c r="C58" s="148">
        <v>25000</v>
      </c>
      <c r="D58" s="146">
        <v>0.5</v>
      </c>
      <c r="E58" s="320" t="s">
        <v>25</v>
      </c>
    </row>
    <row r="59" spans="2:5" ht="16">
      <c r="B59" s="147" t="s">
        <v>199</v>
      </c>
      <c r="C59" s="148">
        <v>0</v>
      </c>
      <c r="D59" s="146">
        <v>0.5</v>
      </c>
      <c r="E59" s="320" t="s">
        <v>25</v>
      </c>
    </row>
    <row r="60" spans="2:5" ht="16">
      <c r="B60" s="321" t="s">
        <v>101</v>
      </c>
      <c r="C60" s="322">
        <v>0</v>
      </c>
      <c r="D60" s="146">
        <v>0.5</v>
      </c>
      <c r="E60" s="320" t="s">
        <v>25</v>
      </c>
    </row>
    <row r="61" spans="2:5" ht="16">
      <c r="B61" s="321" t="s">
        <v>101</v>
      </c>
      <c r="C61" s="322">
        <v>0</v>
      </c>
      <c r="D61" s="146">
        <v>0.5</v>
      </c>
      <c r="E61" s="320" t="s">
        <v>25</v>
      </c>
    </row>
    <row r="62" spans="2:5" ht="16">
      <c r="B62" s="321" t="s">
        <v>101</v>
      </c>
      <c r="C62" s="322">
        <v>0</v>
      </c>
      <c r="D62" s="146">
        <v>0.5</v>
      </c>
      <c r="E62" s="320" t="s">
        <v>25</v>
      </c>
    </row>
    <row r="63" spans="2:5" ht="16">
      <c r="B63" s="321" t="s">
        <v>101</v>
      </c>
      <c r="C63" s="322">
        <v>0</v>
      </c>
      <c r="D63" s="146">
        <v>0.5</v>
      </c>
      <c r="E63" s="320" t="s">
        <v>25</v>
      </c>
    </row>
    <row r="64" spans="2:5" ht="16">
      <c r="B64" s="321" t="s">
        <v>101</v>
      </c>
      <c r="C64" s="322">
        <v>0</v>
      </c>
      <c r="D64" s="146">
        <v>0.5</v>
      </c>
      <c r="E64" s="320" t="s">
        <v>25</v>
      </c>
    </row>
    <row r="65" spans="2:5" ht="16">
      <c r="B65" s="321" t="s">
        <v>101</v>
      </c>
      <c r="C65" s="322">
        <v>0</v>
      </c>
      <c r="D65" s="146">
        <v>0.5</v>
      </c>
      <c r="E65" s="320" t="s">
        <v>25</v>
      </c>
    </row>
    <row r="66" spans="2:5" ht="16">
      <c r="B66" s="321" t="s">
        <v>101</v>
      </c>
      <c r="C66" s="322">
        <v>0</v>
      </c>
      <c r="D66" s="146">
        <v>0.5</v>
      </c>
      <c r="E66" s="320" t="s">
        <v>25</v>
      </c>
    </row>
    <row r="67" spans="2:5" ht="16">
      <c r="B67" s="321" t="s">
        <v>101</v>
      </c>
      <c r="C67" s="322">
        <v>0</v>
      </c>
      <c r="D67" s="146">
        <v>0.5</v>
      </c>
      <c r="E67" s="320" t="s">
        <v>25</v>
      </c>
    </row>
    <row r="68" spans="2:5" ht="16">
      <c r="B68" s="321" t="s">
        <v>101</v>
      </c>
      <c r="C68" s="322">
        <v>0</v>
      </c>
      <c r="D68" s="146">
        <v>0.5</v>
      </c>
      <c r="E68" s="320" t="s">
        <v>25</v>
      </c>
    </row>
    <row r="69" spans="2:5" ht="16">
      <c r="B69" s="321" t="s">
        <v>101</v>
      </c>
      <c r="C69" s="322">
        <v>0</v>
      </c>
      <c r="D69" s="146">
        <v>0.5</v>
      </c>
      <c r="E69" s="320" t="s">
        <v>25</v>
      </c>
    </row>
    <row r="70" spans="2:5" ht="16">
      <c r="B70" s="321" t="s">
        <v>101</v>
      </c>
      <c r="C70" s="322">
        <v>0</v>
      </c>
      <c r="D70" s="146">
        <v>0.5</v>
      </c>
      <c r="E70" s="320" t="s">
        <v>25</v>
      </c>
    </row>
    <row r="71" spans="2:5" ht="16">
      <c r="B71" s="321" t="s">
        <v>101</v>
      </c>
      <c r="C71" s="322">
        <v>0</v>
      </c>
      <c r="D71" s="146">
        <v>0.5</v>
      </c>
      <c r="E71" s="320" t="s">
        <v>25</v>
      </c>
    </row>
    <row r="72" spans="2:5" ht="16">
      <c r="B72" s="321" t="s">
        <v>101</v>
      </c>
      <c r="C72" s="322">
        <v>0</v>
      </c>
      <c r="D72" s="146">
        <v>0.5</v>
      </c>
      <c r="E72" s="320" t="s">
        <v>25</v>
      </c>
    </row>
    <row r="73" spans="2:5" ht="16">
      <c r="B73" s="321" t="s">
        <v>101</v>
      </c>
      <c r="C73" s="322">
        <v>0</v>
      </c>
      <c r="D73" s="146">
        <v>0.5</v>
      </c>
      <c r="E73" s="320" t="s">
        <v>25</v>
      </c>
    </row>
    <row r="74" spans="2:5" ht="16">
      <c r="B74" s="321" t="s">
        <v>101</v>
      </c>
      <c r="C74" s="322">
        <v>0</v>
      </c>
      <c r="D74" s="146">
        <v>0.5</v>
      </c>
      <c r="E74" s="320" t="s">
        <v>25</v>
      </c>
    </row>
    <row r="75" spans="2:5" ht="17" thickBot="1">
      <c r="B75" s="149" t="s">
        <v>101</v>
      </c>
      <c r="C75" s="150">
        <v>0</v>
      </c>
      <c r="D75" s="151">
        <v>0.5</v>
      </c>
      <c r="E75" s="320" t="s">
        <v>25</v>
      </c>
    </row>
    <row r="76" spans="2:5" ht="30" customHeight="1" thickTop="1">
      <c r="B76" s="107" t="s">
        <v>177</v>
      </c>
      <c r="C76" s="108">
        <f>SUM(C56:C75)</f>
        <v>275000</v>
      </c>
      <c r="D76" s="77">
        <f>SUMPRODUCT(C56:C75,D56:D75)/C76</f>
        <v>0.5</v>
      </c>
      <c r="E76" s="75"/>
    </row>
    <row r="77" spans="2:5" ht="15.75" customHeight="1"/>
    <row r="78" spans="2:5" ht="30" customHeight="1">
      <c r="B78" s="74" t="s">
        <v>102</v>
      </c>
    </row>
    <row r="79" spans="2:5" ht="15.75" customHeight="1" thickBot="1">
      <c r="B79" s="74"/>
    </row>
    <row r="80" spans="2:5" ht="35" thickBot="1">
      <c r="B80" s="67" t="str">
        <f>Inputs!E23</f>
        <v>Development Costs &amp; Fee</v>
      </c>
      <c r="C80" s="111" t="s">
        <v>0</v>
      </c>
      <c r="D80" s="112" t="s">
        <v>100</v>
      </c>
      <c r="E80" s="101" t="s">
        <v>169</v>
      </c>
    </row>
    <row r="81" spans="2:5" ht="16">
      <c r="B81" s="144" t="s">
        <v>187</v>
      </c>
      <c r="C81" s="145">
        <v>100000</v>
      </c>
      <c r="D81" s="146">
        <v>1</v>
      </c>
      <c r="E81" s="320" t="s">
        <v>24</v>
      </c>
    </row>
    <row r="82" spans="2:5" ht="16">
      <c r="B82" s="147" t="s">
        <v>190</v>
      </c>
      <c r="C82" s="148">
        <v>10000</v>
      </c>
      <c r="D82" s="146">
        <v>1</v>
      </c>
      <c r="E82" s="320" t="s">
        <v>25</v>
      </c>
    </row>
    <row r="83" spans="2:5" ht="16">
      <c r="B83" s="147" t="s">
        <v>188</v>
      </c>
      <c r="C83" s="148">
        <v>350000</v>
      </c>
      <c r="D83" s="146">
        <v>1</v>
      </c>
      <c r="E83" s="320" t="s">
        <v>22</v>
      </c>
    </row>
    <row r="84" spans="2:5" ht="16">
      <c r="B84" s="147" t="s">
        <v>189</v>
      </c>
      <c r="C84" s="148">
        <v>500000</v>
      </c>
      <c r="D84" s="146">
        <v>1</v>
      </c>
      <c r="E84" s="320" t="s">
        <v>22</v>
      </c>
    </row>
    <row r="85" spans="2:5" ht="16">
      <c r="B85" s="147" t="s">
        <v>192</v>
      </c>
      <c r="C85" s="148">
        <v>20000</v>
      </c>
      <c r="D85" s="146">
        <v>1</v>
      </c>
      <c r="E85" s="320" t="s">
        <v>25</v>
      </c>
    </row>
    <row r="86" spans="2:5" ht="16">
      <c r="B86" s="147" t="s">
        <v>191</v>
      </c>
      <c r="C86" s="148">
        <v>300000</v>
      </c>
      <c r="D86" s="146">
        <v>1</v>
      </c>
      <c r="E86" s="320" t="s">
        <v>22</v>
      </c>
    </row>
    <row r="87" spans="2:5" ht="16">
      <c r="B87" s="147" t="s">
        <v>101</v>
      </c>
      <c r="C87" s="148">
        <v>0</v>
      </c>
      <c r="D87" s="146">
        <v>1</v>
      </c>
      <c r="E87" s="320" t="s">
        <v>22</v>
      </c>
    </row>
    <row r="88" spans="2:5" ht="16">
      <c r="B88" s="147" t="s">
        <v>101</v>
      </c>
      <c r="C88" s="148">
        <v>0</v>
      </c>
      <c r="D88" s="146">
        <v>1</v>
      </c>
      <c r="E88" s="320" t="s">
        <v>22</v>
      </c>
    </row>
    <row r="89" spans="2:5" ht="16">
      <c r="B89" s="147" t="s">
        <v>101</v>
      </c>
      <c r="C89" s="148">
        <v>0</v>
      </c>
      <c r="D89" s="146">
        <v>1</v>
      </c>
      <c r="E89" s="320" t="s">
        <v>22</v>
      </c>
    </row>
    <row r="90" spans="2:5" ht="16">
      <c r="B90" s="147" t="s">
        <v>101</v>
      </c>
      <c r="C90" s="148">
        <v>0</v>
      </c>
      <c r="D90" s="146">
        <v>1</v>
      </c>
      <c r="E90" s="320" t="s">
        <v>22</v>
      </c>
    </row>
    <row r="91" spans="2:5" ht="16">
      <c r="B91" s="147" t="s">
        <v>101</v>
      </c>
      <c r="C91" s="148">
        <v>0</v>
      </c>
      <c r="D91" s="146">
        <v>1</v>
      </c>
      <c r="E91" s="320" t="s">
        <v>22</v>
      </c>
    </row>
    <row r="92" spans="2:5" ht="16">
      <c r="B92" s="147" t="s">
        <v>101</v>
      </c>
      <c r="C92" s="148">
        <v>0</v>
      </c>
      <c r="D92" s="146">
        <v>1</v>
      </c>
      <c r="E92" s="320" t="s">
        <v>22</v>
      </c>
    </row>
    <row r="93" spans="2:5" ht="16">
      <c r="B93" s="147" t="s">
        <v>101</v>
      </c>
      <c r="C93" s="148">
        <v>0</v>
      </c>
      <c r="D93" s="146">
        <v>1</v>
      </c>
      <c r="E93" s="320" t="s">
        <v>22</v>
      </c>
    </row>
    <row r="94" spans="2:5" ht="16">
      <c r="B94" s="147" t="s">
        <v>101</v>
      </c>
      <c r="C94" s="148">
        <v>0</v>
      </c>
      <c r="D94" s="146">
        <v>1</v>
      </c>
      <c r="E94" s="320" t="s">
        <v>22</v>
      </c>
    </row>
    <row r="95" spans="2:5" ht="16">
      <c r="B95" s="147" t="s">
        <v>101</v>
      </c>
      <c r="C95" s="148">
        <v>0</v>
      </c>
      <c r="D95" s="146">
        <v>1</v>
      </c>
      <c r="E95" s="320" t="s">
        <v>22</v>
      </c>
    </row>
    <row r="96" spans="2:5" ht="16">
      <c r="B96" s="147" t="s">
        <v>101</v>
      </c>
      <c r="C96" s="148">
        <v>0</v>
      </c>
      <c r="D96" s="146">
        <v>1</v>
      </c>
      <c r="E96" s="320" t="s">
        <v>22</v>
      </c>
    </row>
    <row r="97" spans="2:5" ht="16">
      <c r="B97" s="147" t="s">
        <v>101</v>
      </c>
      <c r="C97" s="148">
        <v>0</v>
      </c>
      <c r="D97" s="146">
        <v>1</v>
      </c>
      <c r="E97" s="320" t="s">
        <v>22</v>
      </c>
    </row>
    <row r="98" spans="2:5" ht="16">
      <c r="B98" s="147" t="s">
        <v>101</v>
      </c>
      <c r="C98" s="148">
        <v>0</v>
      </c>
      <c r="D98" s="146">
        <v>1</v>
      </c>
      <c r="E98" s="320" t="s">
        <v>22</v>
      </c>
    </row>
    <row r="99" spans="2:5" ht="16">
      <c r="B99" s="147" t="s">
        <v>101</v>
      </c>
      <c r="C99" s="148">
        <v>0</v>
      </c>
      <c r="D99" s="146">
        <v>1</v>
      </c>
      <c r="E99" s="320" t="s">
        <v>22</v>
      </c>
    </row>
    <row r="100" spans="2:5" ht="17" thickBot="1">
      <c r="B100" s="149" t="s">
        <v>101</v>
      </c>
      <c r="C100" s="150">
        <v>0</v>
      </c>
      <c r="D100" s="151">
        <v>1</v>
      </c>
      <c r="E100" s="320" t="s">
        <v>22</v>
      </c>
    </row>
    <row r="101" spans="2:5" ht="30" customHeight="1" thickTop="1">
      <c r="B101" s="107" t="s">
        <v>181</v>
      </c>
      <c r="C101" s="108">
        <f>SUM(C81:C100)</f>
        <v>1280000</v>
      </c>
      <c r="D101" s="77">
        <f>SUMPRODUCT(C81:C100,D81:D100)/C101</f>
        <v>1</v>
      </c>
      <c r="E101" s="75"/>
    </row>
    <row r="102" spans="2:5" ht="15.75" customHeight="1">
      <c r="B102" s="116"/>
      <c r="C102" s="117"/>
      <c r="D102" s="102"/>
      <c r="E102" s="130"/>
    </row>
    <row r="103" spans="2:5" ht="30" customHeight="1">
      <c r="B103" s="74" t="s">
        <v>102</v>
      </c>
      <c r="C103" s="117"/>
      <c r="D103" s="102"/>
      <c r="E103" s="130"/>
    </row>
    <row r="104" spans="2:5" ht="15.75" customHeight="1" thickBot="1">
      <c r="B104" s="116"/>
      <c r="C104" s="117"/>
      <c r="D104" s="102"/>
      <c r="E104" s="130"/>
    </row>
    <row r="105" spans="2:5" ht="30" customHeight="1" thickBot="1">
      <c r="B105" s="67" t="str">
        <f>Inputs!E24</f>
        <v>Reserves &amp; Financing Costs</v>
      </c>
      <c r="C105" s="111" t="s">
        <v>0</v>
      </c>
      <c r="D105" s="112" t="s">
        <v>100</v>
      </c>
      <c r="E105" s="101" t="s">
        <v>169</v>
      </c>
    </row>
    <row r="106" spans="2:5" ht="15.75" customHeight="1">
      <c r="B106" s="107" t="s">
        <v>179</v>
      </c>
      <c r="C106" s="108">
        <f>((C26+C51+C76+C101)*Inputs!$G$51*Inputs!$G$54)</f>
        <v>135742.5</v>
      </c>
      <c r="D106" s="146">
        <v>0</v>
      </c>
      <c r="E106" s="320" t="s">
        <v>26</v>
      </c>
    </row>
    <row r="107" spans="2:5" ht="15.75" customHeight="1">
      <c r="B107" s="71" t="s">
        <v>40</v>
      </c>
      <c r="C107" s="132">
        <f>(C26+C51+C76+C101)*(Inputs!$G$47/12)*(Inputs!$G$46/2)</f>
        <v>125687.5</v>
      </c>
      <c r="D107" s="146">
        <v>0</v>
      </c>
      <c r="E107" s="320" t="s">
        <v>25</v>
      </c>
    </row>
    <row r="108" spans="2:5" ht="15.75" customHeight="1">
      <c r="B108" s="9" t="s">
        <v>52</v>
      </c>
      <c r="C108" s="132">
        <f>Inputs!$G$64</f>
        <v>0</v>
      </c>
      <c r="D108" s="146">
        <v>0</v>
      </c>
      <c r="E108" s="320" t="s">
        <v>25</v>
      </c>
    </row>
    <row r="109" spans="2:5" ht="15.75" customHeight="1" thickBot="1">
      <c r="B109" s="133" t="s">
        <v>180</v>
      </c>
      <c r="C109" s="134">
        <f>Inputs!$Q$63+Inputs!$Q$66</f>
        <v>207914.23927504188</v>
      </c>
      <c r="D109" s="151">
        <v>0</v>
      </c>
      <c r="E109" s="320" t="s">
        <v>26</v>
      </c>
    </row>
    <row r="110" spans="2:5" ht="30.75" customHeight="1" thickTop="1">
      <c r="B110" s="124" t="s">
        <v>143</v>
      </c>
      <c r="C110" s="108">
        <f>SUM(C106:C109)</f>
        <v>469344.23927504185</v>
      </c>
      <c r="D110" s="77">
        <f>SUMPRODUCT(C106:C109,D106:D109)/C110</f>
        <v>0</v>
      </c>
      <c r="E110" s="100"/>
    </row>
    <row r="111" spans="2:5" ht="15.75" customHeight="1">
      <c r="B111" s="113"/>
      <c r="C111" s="131"/>
      <c r="D111" s="114"/>
      <c r="E111" s="115"/>
    </row>
    <row r="112" spans="2:5" ht="30" customHeight="1">
      <c r="B112" s="74" t="s">
        <v>102</v>
      </c>
      <c r="C112" s="131"/>
      <c r="D112" s="114"/>
      <c r="E112" s="115"/>
    </row>
    <row r="113" spans="2:14" ht="15.75" customHeight="1" thickBot="1">
      <c r="B113" s="113"/>
      <c r="C113" s="131"/>
      <c r="D113" s="114"/>
      <c r="E113" s="115"/>
    </row>
    <row r="114" spans="2:14" ht="17" thickBot="1">
      <c r="B114" s="67" t="s">
        <v>175</v>
      </c>
      <c r="C114" s="68"/>
      <c r="D114" s="68"/>
      <c r="E114" s="103" t="s">
        <v>99</v>
      </c>
      <c r="F114" s="104"/>
      <c r="G114" s="104"/>
      <c r="H114" s="104"/>
      <c r="I114" s="104"/>
      <c r="J114" s="104"/>
      <c r="K114" s="104"/>
      <c r="L114" s="104"/>
      <c r="M114" s="104"/>
      <c r="N114" s="105"/>
    </row>
    <row r="115" spans="2:14" ht="35" thickBot="1">
      <c r="B115" s="121" t="s">
        <v>29</v>
      </c>
      <c r="C115" s="111" t="s">
        <v>0</v>
      </c>
      <c r="D115" s="112" t="s">
        <v>178</v>
      </c>
      <c r="E115" s="112" t="s">
        <v>29</v>
      </c>
      <c r="F115" s="112" t="s">
        <v>22</v>
      </c>
      <c r="G115" s="112" t="s">
        <v>136</v>
      </c>
      <c r="H115" s="112" t="s">
        <v>23</v>
      </c>
      <c r="I115" s="112" t="s">
        <v>137</v>
      </c>
      <c r="J115" s="112" t="s">
        <v>138</v>
      </c>
      <c r="K115" s="112" t="s">
        <v>24</v>
      </c>
      <c r="L115" s="112" t="s">
        <v>25</v>
      </c>
      <c r="M115" s="112" t="s">
        <v>139</v>
      </c>
      <c r="N115" s="143" t="s">
        <v>26</v>
      </c>
    </row>
    <row r="116" spans="2:14" ht="15.75" customHeight="1">
      <c r="B116" s="124" t="s">
        <v>168</v>
      </c>
      <c r="C116" s="127">
        <f>C26</f>
        <v>6000000</v>
      </c>
      <c r="D116" s="141">
        <f>C26*D26</f>
        <v>6000000</v>
      </c>
      <c r="E116" s="142" t="s">
        <v>168</v>
      </c>
      <c r="F116" s="127">
        <f>SUMIF($E$5:$E$26,F$115,$C$5:$C$26)</f>
        <v>5800000</v>
      </c>
      <c r="G116" s="127">
        <f t="shared" ref="G116:N116" si="0">SUMIF($E$5:$E$26,G$115,$C$5:$C$26)</f>
        <v>0</v>
      </c>
      <c r="H116" s="127">
        <f t="shared" si="0"/>
        <v>0</v>
      </c>
      <c r="I116" s="127">
        <f t="shared" si="0"/>
        <v>0</v>
      </c>
      <c r="J116" s="127">
        <f t="shared" si="0"/>
        <v>0</v>
      </c>
      <c r="K116" s="127">
        <f t="shared" si="0"/>
        <v>200000</v>
      </c>
      <c r="L116" s="127">
        <f t="shared" si="0"/>
        <v>0</v>
      </c>
      <c r="M116" s="127">
        <f t="shared" si="0"/>
        <v>0</v>
      </c>
      <c r="N116" s="127">
        <f t="shared" si="0"/>
        <v>0</v>
      </c>
    </row>
    <row r="117" spans="2:14" ht="15.75" customHeight="1">
      <c r="B117" s="72" t="s">
        <v>170</v>
      </c>
      <c r="C117" s="122">
        <f>C51</f>
        <v>2500000</v>
      </c>
      <c r="D117" s="129">
        <f>C51*D51</f>
        <v>2500000</v>
      </c>
      <c r="E117" s="139" t="s">
        <v>170</v>
      </c>
      <c r="F117" s="122">
        <f>SUMIF($E$30:$E$51,F$115,$C$30:$C$51)</f>
        <v>2225000</v>
      </c>
      <c r="G117" s="122">
        <f t="shared" ref="G117:N117" si="1">SUMIF($E$30:$E$51,G$115,$C$30:$C$51)</f>
        <v>0</v>
      </c>
      <c r="H117" s="122">
        <f t="shared" si="1"/>
        <v>0</v>
      </c>
      <c r="I117" s="122">
        <f t="shared" si="1"/>
        <v>0</v>
      </c>
      <c r="J117" s="122">
        <f t="shared" si="1"/>
        <v>0</v>
      </c>
      <c r="K117" s="122">
        <f t="shared" si="1"/>
        <v>0</v>
      </c>
      <c r="L117" s="122">
        <f t="shared" si="1"/>
        <v>275000</v>
      </c>
      <c r="M117" s="122">
        <f t="shared" si="1"/>
        <v>0</v>
      </c>
      <c r="N117" s="122">
        <f t="shared" si="1"/>
        <v>0</v>
      </c>
    </row>
    <row r="118" spans="2:14" ht="15.75" customHeight="1">
      <c r="B118" s="72" t="s">
        <v>171</v>
      </c>
      <c r="C118" s="122">
        <f>C76</f>
        <v>275000</v>
      </c>
      <c r="D118" s="129">
        <f>C76*D76</f>
        <v>137500</v>
      </c>
      <c r="E118" s="139" t="s">
        <v>171</v>
      </c>
      <c r="F118" s="122">
        <f>SUMIF($E$55:$E$76,F$115,$C$55:$C$76)</f>
        <v>0</v>
      </c>
      <c r="G118" s="122">
        <f t="shared" ref="G118:N118" si="2">SUMIF($E$55:$E$76,G$115,$C$55:$C$76)</f>
        <v>0</v>
      </c>
      <c r="H118" s="122">
        <f t="shared" si="2"/>
        <v>0</v>
      </c>
      <c r="I118" s="122">
        <f t="shared" si="2"/>
        <v>0</v>
      </c>
      <c r="J118" s="122">
        <f t="shared" si="2"/>
        <v>0</v>
      </c>
      <c r="K118" s="122">
        <f t="shared" si="2"/>
        <v>0</v>
      </c>
      <c r="L118" s="122">
        <f t="shared" si="2"/>
        <v>275000</v>
      </c>
      <c r="M118" s="122">
        <f t="shared" si="2"/>
        <v>0</v>
      </c>
      <c r="N118" s="122">
        <f t="shared" si="2"/>
        <v>0</v>
      </c>
    </row>
    <row r="119" spans="2:14" ht="15.75" customHeight="1">
      <c r="B119" s="72" t="s">
        <v>172</v>
      </c>
      <c r="C119" s="122">
        <f>C101</f>
        <v>1280000</v>
      </c>
      <c r="D119" s="129">
        <f>C101*D101</f>
        <v>1280000</v>
      </c>
      <c r="E119" s="139" t="s">
        <v>172</v>
      </c>
      <c r="F119" s="122">
        <f>SUMIF($E$80:$E$101,F$115,$C$80:$C$101)</f>
        <v>1150000</v>
      </c>
      <c r="G119" s="122">
        <f t="shared" ref="G119:N119" si="3">SUMIF($E$80:$E$101,G$115,$C$80:$C$101)</f>
        <v>0</v>
      </c>
      <c r="H119" s="122">
        <f t="shared" si="3"/>
        <v>0</v>
      </c>
      <c r="I119" s="122">
        <f t="shared" si="3"/>
        <v>0</v>
      </c>
      <c r="J119" s="122">
        <f t="shared" si="3"/>
        <v>0</v>
      </c>
      <c r="K119" s="122">
        <f t="shared" si="3"/>
        <v>100000</v>
      </c>
      <c r="L119" s="122">
        <f t="shared" si="3"/>
        <v>30000</v>
      </c>
      <c r="M119" s="122">
        <f t="shared" si="3"/>
        <v>0</v>
      </c>
      <c r="N119" s="122">
        <f t="shared" si="3"/>
        <v>0</v>
      </c>
    </row>
    <row r="120" spans="2:14" ht="15.75" customHeight="1" thickBot="1">
      <c r="B120" s="125" t="s">
        <v>104</v>
      </c>
      <c r="C120" s="126">
        <f>C110</f>
        <v>469344.23927504185</v>
      </c>
      <c r="D120" s="135">
        <f>C110*D110</f>
        <v>0</v>
      </c>
      <c r="E120" s="140" t="s">
        <v>104</v>
      </c>
      <c r="F120" s="138">
        <f>SUMIF($E$105:$E$110,F$115,$C$105:$C$110)</f>
        <v>0</v>
      </c>
      <c r="G120" s="138">
        <f t="shared" ref="G120:N120" si="4">SUMIF($E$105:$E$110,G$115,$C$105:$C$110)</f>
        <v>0</v>
      </c>
      <c r="H120" s="138">
        <f t="shared" si="4"/>
        <v>0</v>
      </c>
      <c r="I120" s="138">
        <f t="shared" si="4"/>
        <v>0</v>
      </c>
      <c r="J120" s="138">
        <f t="shared" si="4"/>
        <v>0</v>
      </c>
      <c r="K120" s="138">
        <f t="shared" si="4"/>
        <v>0</v>
      </c>
      <c r="L120" s="138">
        <f t="shared" si="4"/>
        <v>125687.5</v>
      </c>
      <c r="M120" s="138">
        <f t="shared" si="4"/>
        <v>0</v>
      </c>
      <c r="N120" s="138">
        <f t="shared" si="4"/>
        <v>343656.73927504185</v>
      </c>
    </row>
    <row r="121" spans="2:14" ht="30" customHeight="1" thickTop="1">
      <c r="B121" s="123" t="s">
        <v>143</v>
      </c>
      <c r="C121" s="128">
        <f>SUM(C116:C120)</f>
        <v>10524344.239275042</v>
      </c>
      <c r="D121" s="128">
        <f>SUM(D116:D120)</f>
        <v>9917500</v>
      </c>
      <c r="E121" s="72"/>
      <c r="F121" s="128">
        <f>SUM(F116:F120)</f>
        <v>9175000</v>
      </c>
      <c r="G121" s="128">
        <f t="shared" ref="G121:N121" si="5">SUM(G116:G120)</f>
        <v>0</v>
      </c>
      <c r="H121" s="128">
        <f t="shared" si="5"/>
        <v>0</v>
      </c>
      <c r="I121" s="128">
        <f t="shared" si="5"/>
        <v>0</v>
      </c>
      <c r="J121" s="128">
        <f t="shared" si="5"/>
        <v>0</v>
      </c>
      <c r="K121" s="128">
        <f t="shared" si="5"/>
        <v>300000</v>
      </c>
      <c r="L121" s="128">
        <f t="shared" si="5"/>
        <v>705687.5</v>
      </c>
      <c r="M121" s="128">
        <f t="shared" si="5"/>
        <v>0</v>
      </c>
      <c r="N121" s="128">
        <f t="shared" si="5"/>
        <v>343656.73927504185</v>
      </c>
    </row>
    <row r="122" spans="2:14">
      <c r="B122" s="15"/>
      <c r="C122" s="15"/>
      <c r="D122" s="15"/>
      <c r="E122" s="15"/>
    </row>
    <row r="123" spans="2:14" ht="16">
      <c r="B123" s="258" t="s">
        <v>218</v>
      </c>
      <c r="C123" s="259" t="str">
        <f>Inputs!G73</f>
        <v>Yes</v>
      </c>
    </row>
    <row r="124" spans="2:14" ht="16" thickBot="1">
      <c r="B124" s="331"/>
      <c r="C124" s="331"/>
      <c r="D124" s="331"/>
      <c r="E124" s="331"/>
      <c r="F124" s="331"/>
      <c r="G124" s="331"/>
      <c r="H124" s="331"/>
      <c r="I124" s="331"/>
      <c r="J124" s="331"/>
      <c r="K124" s="331"/>
      <c r="L124" s="331"/>
      <c r="M124" s="331"/>
      <c r="N124" s="331"/>
    </row>
    <row r="125" spans="2:14" ht="16" thickBot="1">
      <c r="D125" s="319"/>
      <c r="E125" s="319"/>
    </row>
    <row r="126" spans="2:14" ht="30" customHeight="1" thickBot="1">
      <c r="B126" s="799" t="s">
        <v>242</v>
      </c>
      <c r="C126" s="800"/>
      <c r="D126" s="800"/>
      <c r="E126" s="801"/>
    </row>
    <row r="127" spans="2:14" ht="16" thickBot="1"/>
    <row r="128" spans="2:14" ht="69" thickBot="1">
      <c r="C128" s="328" t="s">
        <v>278</v>
      </c>
      <c r="D128" s="329" t="s">
        <v>281</v>
      </c>
    </row>
    <row r="129" spans="3:6" ht="16">
      <c r="C129" s="482">
        <f>'Cash Flow'!G2</f>
        <v>1</v>
      </c>
      <c r="D129" s="483">
        <v>5</v>
      </c>
      <c r="F129" s="380"/>
    </row>
    <row r="130" spans="3:6" ht="16">
      <c r="C130" s="484">
        <f>C129+1</f>
        <v>2</v>
      </c>
      <c r="D130" s="485">
        <v>5.0999999999999996</v>
      </c>
      <c r="F130" s="380"/>
    </row>
    <row r="131" spans="3:6" ht="16">
      <c r="C131" s="484">
        <f t="shared" ref="C131:C158" si="6">C130+1</f>
        <v>3</v>
      </c>
      <c r="D131" s="485">
        <v>5.202</v>
      </c>
      <c r="F131" s="380"/>
    </row>
    <row r="132" spans="3:6" ht="16">
      <c r="C132" s="484">
        <f t="shared" si="6"/>
        <v>4</v>
      </c>
      <c r="D132" s="485">
        <v>5.3060400000000003</v>
      </c>
      <c r="F132" s="380"/>
    </row>
    <row r="133" spans="3:6" ht="16">
      <c r="C133" s="484">
        <f t="shared" si="6"/>
        <v>5</v>
      </c>
      <c r="D133" s="485">
        <v>5.4121608000000005</v>
      </c>
      <c r="F133" s="380"/>
    </row>
    <row r="134" spans="3:6" ht="16">
      <c r="C134" s="484">
        <f t="shared" si="6"/>
        <v>6</v>
      </c>
      <c r="D134" s="485">
        <v>5.5204040160000005</v>
      </c>
      <c r="F134" s="380"/>
    </row>
    <row r="135" spans="3:6" ht="16">
      <c r="C135" s="484">
        <f t="shared" si="6"/>
        <v>7</v>
      </c>
      <c r="D135" s="485">
        <v>5.6308120963200006</v>
      </c>
      <c r="E135" s="26"/>
      <c r="F135" s="380"/>
    </row>
    <row r="136" spans="3:6" ht="16">
      <c r="C136" s="484">
        <f t="shared" si="6"/>
        <v>8</v>
      </c>
      <c r="D136" s="485">
        <v>5.7434283382464004</v>
      </c>
      <c r="E136" s="136"/>
      <c r="F136" s="380"/>
    </row>
    <row r="137" spans="3:6" ht="16">
      <c r="C137" s="484">
        <f t="shared" si="6"/>
        <v>9</v>
      </c>
      <c r="D137" s="485">
        <v>5.8582969050113283</v>
      </c>
      <c r="E137" s="137"/>
      <c r="F137" s="380"/>
    </row>
    <row r="138" spans="3:6" ht="16">
      <c r="C138" s="484">
        <f t="shared" si="6"/>
        <v>10</v>
      </c>
      <c r="D138" s="485">
        <v>5.9754628431115551</v>
      </c>
      <c r="E138" s="137"/>
      <c r="F138" s="380"/>
    </row>
    <row r="139" spans="3:6" ht="16">
      <c r="C139" s="484">
        <f t="shared" si="6"/>
        <v>11</v>
      </c>
      <c r="D139" s="485">
        <v>6.094972099973786</v>
      </c>
      <c r="E139" s="137"/>
      <c r="F139" s="380"/>
    </row>
    <row r="140" spans="3:6" ht="16">
      <c r="C140" s="484">
        <f t="shared" si="6"/>
        <v>12</v>
      </c>
      <c r="D140" s="485">
        <v>6.2168715419732621</v>
      </c>
      <c r="E140" s="137"/>
      <c r="F140" s="380"/>
    </row>
    <row r="141" spans="3:6" ht="16">
      <c r="C141" s="484">
        <f t="shared" si="6"/>
        <v>13</v>
      </c>
      <c r="D141" s="485">
        <v>6.3412089728127281</v>
      </c>
      <c r="E141" s="137"/>
      <c r="F141" s="380"/>
    </row>
    <row r="142" spans="3:6" ht="16">
      <c r="C142" s="484">
        <f t="shared" si="6"/>
        <v>14</v>
      </c>
      <c r="D142" s="485">
        <v>6.4680331522689825</v>
      </c>
      <c r="E142" s="137"/>
      <c r="F142" s="380"/>
    </row>
    <row r="143" spans="3:6" ht="16">
      <c r="C143" s="484">
        <f t="shared" si="6"/>
        <v>15</v>
      </c>
      <c r="D143" s="485">
        <v>6.5973938153143621</v>
      </c>
      <c r="E143" s="137"/>
      <c r="F143" s="380"/>
    </row>
    <row r="144" spans="3:6" ht="16">
      <c r="C144" s="484">
        <f t="shared" si="6"/>
        <v>16</v>
      </c>
      <c r="D144" s="485">
        <v>6.7293416916206494</v>
      </c>
      <c r="E144" s="137"/>
      <c r="F144" s="380"/>
    </row>
    <row r="145" spans="3:6" ht="16">
      <c r="C145" s="484">
        <f t="shared" si="6"/>
        <v>17</v>
      </c>
      <c r="D145" s="485">
        <v>6.8639285254530638</v>
      </c>
      <c r="E145" s="137"/>
      <c r="F145" s="380"/>
    </row>
    <row r="146" spans="3:6" ht="16">
      <c r="C146" s="484">
        <f t="shared" si="6"/>
        <v>18</v>
      </c>
      <c r="D146" s="485">
        <v>7.0012070959621253</v>
      </c>
      <c r="E146" s="26"/>
      <c r="F146" s="380"/>
    </row>
    <row r="147" spans="3:6" ht="16">
      <c r="C147" s="484">
        <f t="shared" si="6"/>
        <v>19</v>
      </c>
      <c r="D147" s="485">
        <v>7.1412312378813683</v>
      </c>
      <c r="E147" s="26"/>
      <c r="F147" s="380"/>
    </row>
    <row r="148" spans="3:6" ht="16">
      <c r="C148" s="484">
        <f t="shared" si="6"/>
        <v>20</v>
      </c>
      <c r="D148" s="485">
        <v>7.2840558626389953</v>
      </c>
      <c r="E148" s="26"/>
      <c r="F148" s="380"/>
    </row>
    <row r="149" spans="3:6" ht="16">
      <c r="C149" s="484">
        <f t="shared" si="6"/>
        <v>21</v>
      </c>
      <c r="D149" s="485">
        <v>7.4297369798917758</v>
      </c>
      <c r="F149" s="380"/>
    </row>
    <row r="150" spans="3:6" ht="16">
      <c r="C150" s="484">
        <f t="shared" si="6"/>
        <v>22</v>
      </c>
      <c r="D150" s="485">
        <v>7.5783317194896114</v>
      </c>
      <c r="F150" s="380"/>
    </row>
    <row r="151" spans="3:6" ht="16">
      <c r="C151" s="484">
        <f t="shared" si="6"/>
        <v>23</v>
      </c>
      <c r="D151" s="485">
        <v>7.7298983538794035</v>
      </c>
      <c r="F151" s="380"/>
    </row>
    <row r="152" spans="3:6" ht="16">
      <c r="C152" s="484">
        <f t="shared" si="6"/>
        <v>24</v>
      </c>
      <c r="D152" s="485">
        <v>7.8844963209569912</v>
      </c>
      <c r="F152" s="380"/>
    </row>
    <row r="153" spans="3:6" ht="16">
      <c r="C153" s="484">
        <f t="shared" si="6"/>
        <v>25</v>
      </c>
      <c r="D153" s="485">
        <v>8.0421862473761312</v>
      </c>
      <c r="F153" s="380"/>
    </row>
    <row r="154" spans="3:6" ht="16">
      <c r="C154" s="484">
        <f t="shared" si="6"/>
        <v>26</v>
      </c>
      <c r="D154" s="485">
        <v>8.2030299723236535</v>
      </c>
      <c r="F154" s="380"/>
    </row>
    <row r="155" spans="3:6" ht="16">
      <c r="C155" s="484">
        <f t="shared" si="6"/>
        <v>27</v>
      </c>
      <c r="D155" s="485">
        <v>8.3670905717701274</v>
      </c>
      <c r="F155" s="380"/>
    </row>
    <row r="156" spans="3:6" ht="16">
      <c r="C156" s="484">
        <f t="shared" si="6"/>
        <v>28</v>
      </c>
      <c r="D156" s="485">
        <v>8.5344323832055302</v>
      </c>
      <c r="F156" s="380"/>
    </row>
    <row r="157" spans="3:6" ht="16">
      <c r="C157" s="484">
        <f t="shared" si="6"/>
        <v>29</v>
      </c>
      <c r="D157" s="485">
        <v>8.7051210308696394</v>
      </c>
      <c r="F157" s="380"/>
    </row>
    <row r="158" spans="3:6" ht="16">
      <c r="C158" s="484">
        <f t="shared" si="6"/>
        <v>30</v>
      </c>
      <c r="D158" s="485">
        <v>8.8792234514870323</v>
      </c>
      <c r="F158" s="380"/>
    </row>
    <row r="159" spans="3:6" ht="30" customHeight="1">
      <c r="C159" s="802" t="s">
        <v>244</v>
      </c>
      <c r="D159" s="803"/>
    </row>
  </sheetData>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2" priority="1">
      <formula>$C$123="No"</formula>
    </cfRule>
  </conditionalFormatting>
  <conditionalFormatting sqref="B108">
    <cfRule type="expression" dxfId="1" priority="5">
      <formula>#REF!="100% Equity"</formula>
    </cfRule>
  </conditionalFormatting>
  <conditionalFormatting sqref="B108">
    <cfRule type="expression" dxfId="0" priority="6">
      <formula>#REF!="(use dropdown)"</formula>
    </cfRule>
  </conditionalFormatting>
  <dataValidations count="1">
    <dataValidation type="list" allowBlank="1" showInputMessage="1" showErrorMessage="1" sqref="E6:E25 E31:E50 E106:E109 E56:E75 E81:E100" xr:uid="{00000000-0002-0000-0500-000000000000}">
      <formula1>$F$115:$N$115</formula1>
    </dataValidation>
  </dataValidations>
  <hyperlinks>
    <hyperlink ref="B53" location="Inputs!A1" display="Click Here to Return to Inputs Worksheet" xr:uid="{00000000-0004-0000-0500-000000000000}"/>
    <hyperlink ref="B78" location="Inputs!A1" display="Click Here to Return to Inputs Worksheet" xr:uid="{00000000-0004-0000-0500-000001000000}"/>
    <hyperlink ref="B28" location="Inputs!A1" display="Click Here to Return to Inputs Worksheet" xr:uid="{00000000-0004-0000-0500-000002000000}"/>
    <hyperlink ref="B103" location="Inputs!A1" display="Click Here to Return to Inputs Worksheet" xr:uid="{00000000-0004-0000-0500-000003000000}"/>
    <hyperlink ref="B112" location="Inputs!A1" display="Click Here to Return to Inputs Worksheet" xr:uid="{00000000-0004-0000-0500-000004000000}"/>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 for Solar</dc:title>
  <dc:subject>A model to assess project economics, design cost-based incentives, and evaluate the impact of state and federal support structures on renewable energy</dc:subject>
  <dc:creator/>
  <cp:keywords/>
  <dc:description/>
  <cp:lastModifiedBy>Harrison Dreves</cp:lastModifiedBy>
  <cp:lastPrinted>2010-07-30T20:36:23Z</cp:lastPrinted>
  <dcterms:created xsi:type="dcterms:W3CDTF">2010-03-29T19:24:38Z</dcterms:created>
  <dcterms:modified xsi:type="dcterms:W3CDTF">2019-01-21T19:30:08Z</dcterms:modified>
  <cp:category/>
</cp:coreProperties>
</file>