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wsl$\Ubuntu\home\way\crest_model_solar\"/>
    </mc:Choice>
  </mc:AlternateContent>
  <xr:revisionPtr revIDLastSave="0" documentId="13_ncr:1_{FAD56132-8C02-43C4-85C6-F0E3C7183B0E}" xr6:coauthVersionLast="47" xr6:coauthVersionMax="47" xr10:uidLastSave="{00000000-0000-0000-0000-000000000000}"/>
  <bookViews>
    <workbookView xWindow="-120" yWindow="-120" windowWidth="28110" windowHeight="16440" tabRatio="725" activeTab="2" xr2:uid="{00000000-000D-0000-FFFF-FFFF00000000}"/>
  </bookViews>
  <sheets>
    <sheet name="Introduction" sheetId="6" r:id="rId1"/>
    <sheet name="Inputs" sheetId="7" r:id="rId2"/>
    <sheet name="Summary Results" sheetId="9" r:id="rId3"/>
    <sheet name="Annual Cash Flows &amp; Returns" sheetId="10" r:id="rId4"/>
    <sheet name="Cash Flow" sheetId="11" r:id="rId5"/>
    <sheet name="Complex Inputs" sheetId="12" r:id="rId6"/>
  </sheets>
  <definedNames>
    <definedName name="_ftn1" localSheetId="1">Inputs!$E$100</definedName>
    <definedName name="_ftnref1" localSheetId="1">Inputs!$E$88</definedName>
    <definedName name="_xlnm.Print_Area" localSheetId="0">Introduction!$B$2:$D$28</definedName>
    <definedName name="solver_adj" localSheetId="1" hidden="1">Inputs!$G$51</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Inputs!$G$56</definedName>
    <definedName name="solver_lhs2" localSheetId="1" hidden="1">Inputs!$G$59</definedName>
    <definedName name="solver_lin" localSheetId="1" hidden="1">2</definedName>
    <definedName name="solver_neg" localSheetId="1" hidden="1">2</definedName>
    <definedName name="solver_num" localSheetId="1" hidden="1">2</definedName>
    <definedName name="solver_nwt" localSheetId="1" hidden="1">1</definedName>
    <definedName name="solver_opt" localSheetId="1" hidden="1">Inputs!$U$59</definedName>
    <definedName name="solver_pre" localSheetId="1" hidden="1">0.000001</definedName>
    <definedName name="solver_rel1" localSheetId="1" hidden="1">3</definedName>
    <definedName name="solver_rel2" localSheetId="1" hidden="1">3</definedName>
    <definedName name="solver_rhs1" localSheetId="1" hidden="1">Inputs!$G$55</definedName>
    <definedName name="solver_rhs2" localSheetId="1" hidden="1">Inputs!$G$58</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7" l="1"/>
  <c r="N22" i="7"/>
  <c r="R22" i="7"/>
  <c r="G12" i="7" l="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G18" i="11"/>
  <c r="Q164" i="11"/>
  <c r="R164" i="11"/>
  <c r="S164" i="11"/>
  <c r="T164" i="11"/>
  <c r="U164" i="11"/>
  <c r="V164" i="11"/>
  <c r="W164" i="11"/>
  <c r="X164" i="11"/>
  <c r="Y164" i="11"/>
  <c r="Z164" i="11"/>
  <c r="AA164" i="11"/>
  <c r="AB164" i="11"/>
  <c r="AC164" i="11"/>
  <c r="AD164" i="11"/>
  <c r="AE164" i="11"/>
  <c r="AF164" i="11"/>
  <c r="AG164" i="11"/>
  <c r="AH164" i="11"/>
  <c r="AI164" i="11"/>
  <c r="AJ164" i="11"/>
  <c r="H163" i="11"/>
  <c r="I163" i="11"/>
  <c r="J163" i="11"/>
  <c r="K163" i="11"/>
  <c r="L163" i="11"/>
  <c r="M163" i="11"/>
  <c r="N163" i="11"/>
  <c r="O163" i="11"/>
  <c r="P163" i="11"/>
  <c r="Q163" i="11"/>
  <c r="R163" i="11"/>
  <c r="S163" i="11"/>
  <c r="T163" i="11"/>
  <c r="U163" i="11"/>
  <c r="V163" i="11"/>
  <c r="W163" i="11"/>
  <c r="X163" i="11"/>
  <c r="Y163" i="11"/>
  <c r="Z163" i="11"/>
  <c r="AA163" i="11"/>
  <c r="AB163" i="11"/>
  <c r="AC163" i="11"/>
  <c r="AD163" i="11"/>
  <c r="AE163" i="11"/>
  <c r="AF163" i="11"/>
  <c r="AG163" i="11"/>
  <c r="AH163" i="11"/>
  <c r="AI163" i="11"/>
  <c r="AJ163" i="11"/>
  <c r="Q178" i="11" l="1"/>
  <c r="R178" i="11"/>
  <c r="S178" i="11"/>
  <c r="T178" i="11"/>
  <c r="U178" i="11"/>
  <c r="V178" i="11"/>
  <c r="W178" i="11"/>
  <c r="X178" i="11"/>
  <c r="Y178" i="11"/>
  <c r="Z178" i="11"/>
  <c r="AA178" i="11"/>
  <c r="AB178" i="11"/>
  <c r="AC178" i="11"/>
  <c r="AD178" i="11"/>
  <c r="AE178" i="11"/>
  <c r="AF178" i="11"/>
  <c r="AG178" i="11"/>
  <c r="AH178" i="11"/>
  <c r="AI178" i="11"/>
  <c r="AJ178" i="11"/>
  <c r="G69" i="7"/>
  <c r="T41" i="7" l="1"/>
  <c r="R40" i="7"/>
  <c r="R38" i="7"/>
  <c r="R34" i="7"/>
  <c r="H20" i="11" l="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G20" i="11"/>
  <c r="L177" i="11"/>
  <c r="M177" i="11"/>
  <c r="N177" i="11"/>
  <c r="O177" i="11"/>
  <c r="P177" i="11"/>
  <c r="Q177" i="11"/>
  <c r="R177" i="11"/>
  <c r="S177" i="11"/>
  <c r="T177" i="11"/>
  <c r="U177" i="11"/>
  <c r="V177" i="11"/>
  <c r="W177" i="11"/>
  <c r="X177" i="11"/>
  <c r="Y177" i="11"/>
  <c r="Z177" i="11"/>
  <c r="AA177" i="11"/>
  <c r="AB177" i="11"/>
  <c r="AC177" i="11"/>
  <c r="AD177" i="11"/>
  <c r="AE177" i="11"/>
  <c r="AF177" i="11"/>
  <c r="AG177" i="11"/>
  <c r="AH177" i="11"/>
  <c r="AI177" i="11"/>
  <c r="AJ177" i="11"/>
  <c r="D45" i="9" l="1"/>
  <c r="D42" i="9"/>
  <c r="D43" i="9" s="1"/>
  <c r="D23" i="9" l="1"/>
  <c r="D21" i="9" l="1"/>
  <c r="G13" i="7" l="1"/>
  <c r="D20" i="9" s="1"/>
  <c r="F11" i="7"/>
  <c r="F8" i="7"/>
  <c r="C18" i="9" s="1"/>
  <c r="AF28" i="11"/>
  <c r="AG28" i="11"/>
  <c r="AH28" i="11"/>
  <c r="AI28" i="11"/>
  <c r="AJ28" i="11"/>
  <c r="G28" i="11"/>
  <c r="E132" i="11"/>
  <c r="E129" i="11"/>
  <c r="D18" i="9"/>
  <c r="N21" i="7"/>
  <c r="Y41" i="11"/>
  <c r="Z41" i="11"/>
  <c r="AA41" i="11"/>
  <c r="AB41" i="11"/>
  <c r="AC41" i="11"/>
  <c r="AD41" i="11"/>
  <c r="AE41" i="11"/>
  <c r="AF41" i="11"/>
  <c r="AG41" i="11"/>
  <c r="AH41" i="11"/>
  <c r="AI41" i="11"/>
  <c r="AJ41" i="11"/>
  <c r="AF33" i="11" l="1"/>
  <c r="AG33" i="11"/>
  <c r="AH33" i="11"/>
  <c r="AI33" i="11"/>
  <c r="AJ33" i="11"/>
  <c r="G33" i="11"/>
  <c r="D15" i="7" l="1"/>
  <c r="T13" i="7" l="1"/>
  <c r="N52" i="7" l="1"/>
  <c r="L75" i="7"/>
  <c r="L76" i="7"/>
  <c r="L77" i="7"/>
  <c r="L78" i="7"/>
  <c r="L73" i="7"/>
  <c r="N75" i="7"/>
  <c r="N76" i="7"/>
  <c r="N77" i="7"/>
  <c r="N78" i="7"/>
  <c r="N74" i="7"/>
  <c r="N73" i="7"/>
  <c r="O74" i="7"/>
  <c r="O75" i="7"/>
  <c r="O76" i="7"/>
  <c r="O77" i="7"/>
  <c r="O78" i="7"/>
  <c r="O73" i="7"/>
  <c r="N50" i="7"/>
  <c r="N43" i="7"/>
  <c r="N42" i="7"/>
  <c r="N36" i="7"/>
  <c r="N35" i="7"/>
  <c r="N34" i="7"/>
  <c r="N26" i="7"/>
  <c r="N27" i="7"/>
  <c r="N15" i="7"/>
  <c r="N14" i="7"/>
  <c r="D76" i="7"/>
  <c r="D74" i="7"/>
  <c r="D62" i="7"/>
  <c r="D54" i="7"/>
  <c r="D53" i="7"/>
  <c r="D52" i="7"/>
  <c r="D51" i="7"/>
  <c r="N8" i="7" l="1"/>
  <c r="D14" i="7"/>
  <c r="D12" i="7"/>
  <c r="G61" i="7" l="1"/>
  <c r="L79" i="7" l="1"/>
  <c r="F19" i="7"/>
  <c r="L74" i="7"/>
  <c r="D39" i="9" l="1"/>
  <c r="D40" i="9" s="1"/>
  <c r="T15" i="7"/>
  <c r="T14" i="7"/>
  <c r="T16" i="7"/>
  <c r="F61" i="11"/>
  <c r="Q207" i="11" l="1"/>
  <c r="Q208" i="11"/>
  <c r="Q209" i="11"/>
  <c r="Q210" i="11"/>
  <c r="Q211" i="11"/>
  <c r="Q212" i="11"/>
  <c r="Q213" i="11"/>
  <c r="Q214" i="11"/>
  <c r="Q215" i="11"/>
  <c r="Q206" i="11"/>
  <c r="P207" i="11"/>
  <c r="P208" i="11"/>
  <c r="P209" i="11"/>
  <c r="P210" i="11"/>
  <c r="P211" i="11"/>
  <c r="P212" i="11"/>
  <c r="P213" i="11"/>
  <c r="P214" i="11"/>
  <c r="P215" i="11"/>
  <c r="P206" i="11"/>
  <c r="M206" i="11"/>
  <c r="M207" i="11"/>
  <c r="M208" i="11"/>
  <c r="M209" i="11"/>
  <c r="M210" i="11"/>
  <c r="M211" i="11"/>
  <c r="M212" i="11"/>
  <c r="M213" i="11"/>
  <c r="M214" i="11"/>
  <c r="M215" i="11"/>
  <c r="L206" i="11"/>
  <c r="L207" i="11"/>
  <c r="L208" i="11"/>
  <c r="L209" i="11"/>
  <c r="L210" i="11"/>
  <c r="L211" i="11"/>
  <c r="L212" i="11"/>
  <c r="L213" i="11"/>
  <c r="L214" i="11"/>
  <c r="L215" i="11"/>
  <c r="I206" i="11"/>
  <c r="I207" i="11"/>
  <c r="I208" i="11"/>
  <c r="I209" i="11"/>
  <c r="I210" i="11"/>
  <c r="I211" i="11"/>
  <c r="I212" i="11"/>
  <c r="I213" i="11"/>
  <c r="I214" i="11"/>
  <c r="I215" i="11"/>
  <c r="H206" i="11"/>
  <c r="H207" i="11"/>
  <c r="H208" i="11"/>
  <c r="H209" i="11"/>
  <c r="H210" i="11"/>
  <c r="H211" i="11"/>
  <c r="H212" i="11"/>
  <c r="H213" i="11"/>
  <c r="H214" i="11"/>
  <c r="H215" i="11"/>
  <c r="F13" i="11"/>
  <c r="F12" i="11" s="1"/>
  <c r="AA195" i="11"/>
  <c r="AB195" i="11"/>
  <c r="AC195" i="11"/>
  <c r="AD195" i="11"/>
  <c r="AE195" i="11"/>
  <c r="AF195" i="11"/>
  <c r="AG195" i="11"/>
  <c r="AH195" i="11"/>
  <c r="AI195" i="11"/>
  <c r="AJ195" i="11"/>
  <c r="S195" i="11"/>
  <c r="I195" i="11"/>
  <c r="C129" i="12"/>
  <c r="G16" i="1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AI16" i="11" s="1"/>
  <c r="AJ16" i="11" s="1"/>
  <c r="G32" i="11"/>
  <c r="H32" i="11" s="1"/>
  <c r="I32" i="11" s="1"/>
  <c r="J32" i="11" s="1"/>
  <c r="K32" i="11" s="1"/>
  <c r="L32" i="11" s="1"/>
  <c r="M32" i="11" s="1"/>
  <c r="N32" i="11" s="1"/>
  <c r="O32" i="11" s="1"/>
  <c r="P32" i="11" s="1"/>
  <c r="Q32" i="11" s="1"/>
  <c r="R32" i="11" s="1"/>
  <c r="S32" i="11" s="1"/>
  <c r="T32" i="11" s="1"/>
  <c r="U32" i="11" s="1"/>
  <c r="V32" i="11" s="1"/>
  <c r="W32" i="11" s="1"/>
  <c r="X32" i="11" s="1"/>
  <c r="Y32" i="11" s="1"/>
  <c r="Z32" i="11" s="1"/>
  <c r="AA32" i="11" s="1"/>
  <c r="AB32" i="11" s="1"/>
  <c r="AC32" i="11" s="1"/>
  <c r="AD32" i="11" s="1"/>
  <c r="AE32" i="11" s="1"/>
  <c r="AF32" i="11" s="1"/>
  <c r="AG32" i="11" s="1"/>
  <c r="AH32" i="11" s="1"/>
  <c r="AI32" i="11" s="1"/>
  <c r="AJ32" i="11" s="1"/>
  <c r="J205" i="11" l="1"/>
  <c r="J206" i="11" s="1"/>
  <c r="J207" i="11" s="1"/>
  <c r="J208" i="11" s="1"/>
  <c r="J209" i="11" s="1"/>
  <c r="J210" i="11" s="1"/>
  <c r="J211" i="11" s="1"/>
  <c r="J212" i="11" s="1"/>
  <c r="J213" i="11" s="1"/>
  <c r="J214" i="11" s="1"/>
  <c r="Z195" i="11"/>
  <c r="X195" i="11"/>
  <c r="V195" i="11"/>
  <c r="T195" i="11"/>
  <c r="R195" i="11"/>
  <c r="P195" i="11"/>
  <c r="N195" i="11"/>
  <c r="L195" i="11"/>
  <c r="J195" i="11"/>
  <c r="H195" i="11"/>
  <c r="G195" i="11"/>
  <c r="Y195" i="11"/>
  <c r="W195" i="11"/>
  <c r="U195" i="11"/>
  <c r="Q195" i="11"/>
  <c r="O195" i="11"/>
  <c r="M195" i="11"/>
  <c r="K195" i="11"/>
  <c r="F31" i="7"/>
  <c r="B183" i="11"/>
  <c r="B169" i="11"/>
  <c r="F60" i="11"/>
  <c r="D8" i="9"/>
  <c r="AI166" i="11" l="1"/>
  <c r="AG166" i="11"/>
  <c r="AE166" i="11"/>
  <c r="AC166" i="11"/>
  <c r="AA166" i="11"/>
  <c r="Y166" i="11"/>
  <c r="W166" i="11"/>
  <c r="U166" i="11"/>
  <c r="S166" i="11"/>
  <c r="AJ180" i="11"/>
  <c r="AH180" i="11"/>
  <c r="AF180" i="11"/>
  <c r="AD180" i="11"/>
  <c r="AB180" i="11"/>
  <c r="Z180" i="11"/>
  <c r="X180" i="11"/>
  <c r="V180" i="11"/>
  <c r="T180" i="11"/>
  <c r="R180" i="11"/>
  <c r="AI180" i="11"/>
  <c r="AG180" i="11"/>
  <c r="AE180" i="11"/>
  <c r="AC180" i="11"/>
  <c r="AA180" i="11"/>
  <c r="Y180" i="11"/>
  <c r="W180" i="11"/>
  <c r="U180" i="11"/>
  <c r="S180" i="11"/>
  <c r="Q180" i="11"/>
  <c r="Q166" i="11"/>
  <c r="AJ166" i="11"/>
  <c r="AH166" i="11"/>
  <c r="AF166" i="11"/>
  <c r="AD166" i="11"/>
  <c r="AB166" i="11"/>
  <c r="Z166" i="11"/>
  <c r="X166" i="11"/>
  <c r="V166" i="11"/>
  <c r="T166" i="11"/>
  <c r="R166" i="11"/>
  <c r="H196" i="11"/>
  <c r="I196" i="11"/>
  <c r="J196" i="11"/>
  <c r="K196" i="11"/>
  <c r="L196" i="11"/>
  <c r="M196" i="11"/>
  <c r="N196" i="11"/>
  <c r="O196" i="11"/>
  <c r="P196" i="11"/>
  <c r="Q196" i="11"/>
  <c r="R196" i="11"/>
  <c r="S196" i="11"/>
  <c r="T196" i="11"/>
  <c r="U196" i="11"/>
  <c r="V196" i="11"/>
  <c r="W196" i="11"/>
  <c r="X196" i="11"/>
  <c r="Y196" i="11"/>
  <c r="Z196" i="11"/>
  <c r="AA196" i="11"/>
  <c r="AB196" i="11"/>
  <c r="AC196" i="11"/>
  <c r="AD196" i="11"/>
  <c r="AE196" i="11"/>
  <c r="AF196" i="11"/>
  <c r="AG196" i="11"/>
  <c r="AH196" i="11"/>
  <c r="AI196" i="11"/>
  <c r="AJ196" i="11"/>
  <c r="G196" i="11"/>
  <c r="H194" i="11"/>
  <c r="I194" i="11"/>
  <c r="J194" i="11"/>
  <c r="K194" i="11"/>
  <c r="L194" i="11"/>
  <c r="M194" i="11"/>
  <c r="N194" i="11"/>
  <c r="O194" i="11"/>
  <c r="P194" i="11"/>
  <c r="Q194" i="11"/>
  <c r="R194" i="11"/>
  <c r="S194" i="11"/>
  <c r="T194" i="11"/>
  <c r="U194" i="11"/>
  <c r="V194" i="11"/>
  <c r="W194" i="11"/>
  <c r="X194" i="11"/>
  <c r="Y194" i="11"/>
  <c r="AA194" i="11"/>
  <c r="AB194" i="11"/>
  <c r="AC194" i="11"/>
  <c r="AF194" i="11"/>
  <c r="AG194" i="11"/>
  <c r="AH194" i="11"/>
  <c r="AI194" i="11"/>
  <c r="I193" i="11"/>
  <c r="J193" i="11"/>
  <c r="K193" i="11"/>
  <c r="L193" i="11"/>
  <c r="M193" i="11"/>
  <c r="N193" i="11"/>
  <c r="O193" i="11"/>
  <c r="P193" i="11"/>
  <c r="Q193" i="11"/>
  <c r="R193" i="11"/>
  <c r="S193" i="11"/>
  <c r="T193" i="11"/>
  <c r="U193" i="11"/>
  <c r="V193" i="11"/>
  <c r="W193" i="11"/>
  <c r="X193" i="11"/>
  <c r="Z193" i="11"/>
  <c r="AB193" i="11"/>
  <c r="AC193" i="11"/>
  <c r="AD193" i="11"/>
  <c r="AE193" i="11"/>
  <c r="AH193" i="11"/>
  <c r="AI193" i="11"/>
  <c r="AJ193" i="11"/>
  <c r="G31" i="11"/>
  <c r="H17" i="11"/>
  <c r="I17" i="11"/>
  <c r="J17" i="11"/>
  <c r="K17" i="11"/>
  <c r="L17" i="11"/>
  <c r="M17" i="11"/>
  <c r="N17" i="11"/>
  <c r="O17" i="11"/>
  <c r="P17" i="11"/>
  <c r="Q17" i="11"/>
  <c r="R17" i="11"/>
  <c r="S17" i="11"/>
  <c r="T17" i="11"/>
  <c r="U17" i="11"/>
  <c r="G17" i="11"/>
  <c r="O16" i="7"/>
  <c r="G120" i="12"/>
  <c r="H120" i="12"/>
  <c r="I120" i="12"/>
  <c r="J120" i="12"/>
  <c r="K120" i="12"/>
  <c r="M120" i="12"/>
  <c r="G119" i="12"/>
  <c r="H119" i="12"/>
  <c r="I119" i="12"/>
  <c r="J119" i="12"/>
  <c r="K119" i="12"/>
  <c r="L119" i="12"/>
  <c r="M119" i="12"/>
  <c r="N119" i="12"/>
  <c r="G118" i="12"/>
  <c r="H118" i="12"/>
  <c r="I118" i="12"/>
  <c r="J118" i="12"/>
  <c r="K118" i="12"/>
  <c r="L118" i="12"/>
  <c r="M118" i="12"/>
  <c r="N118" i="12"/>
  <c r="G117" i="12"/>
  <c r="H117" i="12"/>
  <c r="I117" i="12"/>
  <c r="J117" i="12"/>
  <c r="K117" i="12"/>
  <c r="L117" i="12"/>
  <c r="M117" i="12"/>
  <c r="N117" i="12"/>
  <c r="G116" i="12"/>
  <c r="H116" i="12"/>
  <c r="I116" i="12"/>
  <c r="J116" i="12"/>
  <c r="K116" i="12"/>
  <c r="L116" i="12"/>
  <c r="M116" i="12"/>
  <c r="N116" i="12"/>
  <c r="K121" i="12" l="1"/>
  <c r="I121" i="12"/>
  <c r="G121" i="12"/>
  <c r="M121" i="12"/>
  <c r="J121" i="12"/>
  <c r="H121" i="12"/>
  <c r="D9" i="9"/>
  <c r="B32" i="9" l="1"/>
  <c r="C123" i="12"/>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AG48" i="11"/>
  <c r="AH48" i="11"/>
  <c r="AI48" i="11"/>
  <c r="AJ48" i="11"/>
  <c r="G48" i="11"/>
  <c r="P35" i="10" l="1"/>
  <c r="P33" i="10"/>
  <c r="P36" i="10"/>
  <c r="P34" i="10"/>
  <c r="AI200" i="11"/>
  <c r="AI47" i="11" s="1"/>
  <c r="G35" i="10" s="1"/>
  <c r="AB200" i="11"/>
  <c r="AB47" i="11" s="1"/>
  <c r="G28" i="10" s="1"/>
  <c r="X200" i="11"/>
  <c r="X47" i="11" s="1"/>
  <c r="G24" i="10" s="1"/>
  <c r="V200" i="11"/>
  <c r="V47" i="11" s="1"/>
  <c r="G22" i="10" s="1"/>
  <c r="T200" i="11"/>
  <c r="T47" i="11" s="1"/>
  <c r="G20" i="10" s="1"/>
  <c r="R200" i="11"/>
  <c r="R47" i="11" s="1"/>
  <c r="G18" i="10" s="1"/>
  <c r="P200" i="11"/>
  <c r="P47" i="11" s="1"/>
  <c r="G16" i="10" s="1"/>
  <c r="N200" i="11"/>
  <c r="N47" i="11" s="1"/>
  <c r="G14" i="10" s="1"/>
  <c r="L200" i="11"/>
  <c r="L47" i="11" s="1"/>
  <c r="G12" i="10" s="1"/>
  <c r="J200" i="11"/>
  <c r="J47" i="11" s="1"/>
  <c r="G10" i="10" s="1"/>
  <c r="AH200" i="11"/>
  <c r="AH47" i="11" s="1"/>
  <c r="G34" i="10" s="1"/>
  <c r="AC200" i="11"/>
  <c r="AC47" i="11" s="1"/>
  <c r="G29" i="10" s="1"/>
  <c r="W200" i="11"/>
  <c r="W47" i="11" s="1"/>
  <c r="G23" i="10" s="1"/>
  <c r="S200" i="11"/>
  <c r="S47" i="11" s="1"/>
  <c r="G19" i="10" s="1"/>
  <c r="Q200" i="11"/>
  <c r="Q47" i="11" s="1"/>
  <c r="G17" i="10" s="1"/>
  <c r="O200" i="11"/>
  <c r="O47" i="11" s="1"/>
  <c r="G15" i="10" s="1"/>
  <c r="M200" i="11"/>
  <c r="M47" i="11" s="1"/>
  <c r="G13" i="10" s="1"/>
  <c r="K200" i="11"/>
  <c r="K47" i="11" s="1"/>
  <c r="G11" i="10" s="1"/>
  <c r="I200" i="11"/>
  <c r="I47" i="11" s="1"/>
  <c r="G9" i="10" s="1"/>
  <c r="B72" i="11" l="1"/>
  <c r="F120" i="12"/>
  <c r="F119" i="12"/>
  <c r="F118" i="12"/>
  <c r="F117" i="12"/>
  <c r="F116" i="12"/>
  <c r="C108" i="12"/>
  <c r="C101" i="12"/>
  <c r="D101" i="12" s="1"/>
  <c r="C76" i="12"/>
  <c r="C118" i="12" s="1"/>
  <c r="C51" i="12"/>
  <c r="D51" i="12" s="1"/>
  <c r="C26" i="12"/>
  <c r="C19" i="9"/>
  <c r="H129" i="11"/>
  <c r="I129" i="11"/>
  <c r="J129" i="11"/>
  <c r="K129" i="11"/>
  <c r="L129" i="11"/>
  <c r="M129" i="11"/>
  <c r="N129" i="11"/>
  <c r="O129" i="11"/>
  <c r="Q129" i="11"/>
  <c r="S129" i="11"/>
  <c r="T129" i="11"/>
  <c r="U129" i="11"/>
  <c r="V129" i="11"/>
  <c r="W129" i="11"/>
  <c r="X129" i="11"/>
  <c r="Y129" i="11"/>
  <c r="Z129" i="11"/>
  <c r="AA129" i="11"/>
  <c r="AB129" i="11"/>
  <c r="AC129" i="11"/>
  <c r="AD129" i="11"/>
  <c r="AE129" i="11"/>
  <c r="AF129" i="11"/>
  <c r="AG129" i="11"/>
  <c r="AH129" i="11"/>
  <c r="AI129" i="11"/>
  <c r="AJ129" i="11"/>
  <c r="H132" i="11"/>
  <c r="I132" i="11"/>
  <c r="J132" i="11"/>
  <c r="K132" i="11"/>
  <c r="L132" i="11"/>
  <c r="M132" i="11"/>
  <c r="N132" i="11"/>
  <c r="O132" i="11"/>
  <c r="P132" i="11"/>
  <c r="Q132" i="11"/>
  <c r="R132" i="11"/>
  <c r="S132" i="11"/>
  <c r="T132" i="11"/>
  <c r="U132" i="11"/>
  <c r="V132" i="11"/>
  <c r="W132" i="11"/>
  <c r="X132" i="11"/>
  <c r="Y132" i="11"/>
  <c r="AA132" i="11"/>
  <c r="AB132" i="11"/>
  <c r="AC132" i="11"/>
  <c r="AD132" i="11"/>
  <c r="AE132" i="11"/>
  <c r="AF132" i="11"/>
  <c r="AG132" i="11"/>
  <c r="AH132" i="11"/>
  <c r="AI132" i="11"/>
  <c r="AJ132" i="11"/>
  <c r="G132" i="11"/>
  <c r="G133" i="11" s="1"/>
  <c r="G134" i="11" s="1"/>
  <c r="G129" i="11"/>
  <c r="G130" i="11" s="1"/>
  <c r="Z132" i="11"/>
  <c r="P129" i="11"/>
  <c r="H10" i="11"/>
  <c r="H9" i="11"/>
  <c r="W104" i="11"/>
  <c r="X104" i="11"/>
  <c r="Y104" i="11"/>
  <c r="Z104" i="11"/>
  <c r="AA104" i="11"/>
  <c r="AB104" i="11"/>
  <c r="AC104" i="11"/>
  <c r="AD104" i="11"/>
  <c r="AE104" i="11"/>
  <c r="AF104" i="11"/>
  <c r="AG104" i="11"/>
  <c r="AH104" i="11"/>
  <c r="AI104" i="11"/>
  <c r="AJ104" i="11"/>
  <c r="M103" i="11"/>
  <c r="N103" i="11"/>
  <c r="O103" i="11"/>
  <c r="P103" i="11"/>
  <c r="Q103" i="11"/>
  <c r="R103" i="11"/>
  <c r="S103" i="11"/>
  <c r="T103" i="11"/>
  <c r="U103" i="11"/>
  <c r="V103" i="11"/>
  <c r="W103" i="11"/>
  <c r="X103" i="11"/>
  <c r="Y103" i="11"/>
  <c r="Z103" i="11"/>
  <c r="AA103" i="11"/>
  <c r="AB103" i="11"/>
  <c r="AC103" i="11"/>
  <c r="AD103" i="11"/>
  <c r="AE103" i="11"/>
  <c r="AF103" i="11"/>
  <c r="AG103" i="11"/>
  <c r="AH103" i="11"/>
  <c r="AI103" i="11"/>
  <c r="AJ103" i="11"/>
  <c r="F81" i="11"/>
  <c r="H26" i="11"/>
  <c r="H8" i="11"/>
  <c r="H4" i="11"/>
  <c r="P53" i="7"/>
  <c r="F87" i="11"/>
  <c r="AJ105" i="11"/>
  <c r="AI105" i="11"/>
  <c r="AH105" i="11"/>
  <c r="AG105" i="11"/>
  <c r="AF105" i="11"/>
  <c r="AE105" i="11"/>
  <c r="AD105" i="11"/>
  <c r="AC105" i="11"/>
  <c r="AB105" i="11"/>
  <c r="H33" i="11" l="1"/>
  <c r="H28" i="11"/>
  <c r="I26" i="11"/>
  <c r="H31" i="11"/>
  <c r="I9" i="11"/>
  <c r="D26" i="12"/>
  <c r="D116" i="12" s="1"/>
  <c r="C107" i="12"/>
  <c r="L120" i="12" s="1"/>
  <c r="L121" i="12" s="1"/>
  <c r="R129" i="11"/>
  <c r="F121" i="12"/>
  <c r="C106" i="12"/>
  <c r="D117" i="12"/>
  <c r="D119" i="12"/>
  <c r="C117" i="12"/>
  <c r="C119" i="12"/>
  <c r="D76" i="12"/>
  <c r="D118" i="12" s="1"/>
  <c r="C116" i="12"/>
  <c r="G131" i="11"/>
  <c r="H130" i="11"/>
  <c r="H131" i="11" s="1"/>
  <c r="H133" i="11"/>
  <c r="H134" i="11" s="1"/>
  <c r="I10" i="11"/>
  <c r="F27" i="7"/>
  <c r="P51" i="7"/>
  <c r="I8" i="11"/>
  <c r="I4" i="11"/>
  <c r="I33" i="11" l="1"/>
  <c r="I28" i="11"/>
  <c r="J26" i="11"/>
  <c r="I31" i="11"/>
  <c r="C130" i="12"/>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G48" i="7"/>
  <c r="J9" i="11"/>
  <c r="J8" i="11"/>
  <c r="I130" i="11"/>
  <c r="I133" i="11"/>
  <c r="I134" i="11" s="1"/>
  <c r="J10" i="11"/>
  <c r="J4" i="11"/>
  <c r="J33" i="11" l="1"/>
  <c r="J28" i="11"/>
  <c r="K26" i="11"/>
  <c r="J31" i="11"/>
  <c r="K9" i="11"/>
  <c r="K8" i="11"/>
  <c r="J130" i="11"/>
  <c r="I131" i="11"/>
  <c r="J133" i="11"/>
  <c r="J134" i="11" s="1"/>
  <c r="K10" i="11"/>
  <c r="K4" i="11"/>
  <c r="K33" i="11" l="1"/>
  <c r="K28" i="11"/>
  <c r="L26" i="11"/>
  <c r="K31" i="11"/>
  <c r="L9" i="11"/>
  <c r="L8" i="11"/>
  <c r="K130" i="11"/>
  <c r="J131" i="11"/>
  <c r="K133" i="11"/>
  <c r="K134" i="11" s="1"/>
  <c r="L10" i="11"/>
  <c r="L4" i="11"/>
  <c r="L33" i="11" l="1"/>
  <c r="L28" i="11"/>
  <c r="M26" i="11"/>
  <c r="L31" i="11"/>
  <c r="M9" i="11"/>
  <c r="M8" i="11"/>
  <c r="L130" i="11"/>
  <c r="K131" i="11"/>
  <c r="L133" i="11"/>
  <c r="L134" i="11" s="1"/>
  <c r="M10" i="11"/>
  <c r="M4" i="11"/>
  <c r="M33" i="11" l="1"/>
  <c r="M28" i="11"/>
  <c r="N26" i="11"/>
  <c r="M31" i="11"/>
  <c r="N9" i="11"/>
  <c r="N8" i="11"/>
  <c r="M130" i="11"/>
  <c r="L131" i="11"/>
  <c r="M133" i="11"/>
  <c r="M134" i="11" s="1"/>
  <c r="N10" i="11"/>
  <c r="N4" i="11"/>
  <c r="N33" i="11" l="1"/>
  <c r="N28" i="11"/>
  <c r="O26" i="11"/>
  <c r="N31" i="11"/>
  <c r="O9" i="11"/>
  <c r="O8" i="11"/>
  <c r="N130" i="11"/>
  <c r="M131" i="11"/>
  <c r="N133" i="11"/>
  <c r="N134" i="11" s="1"/>
  <c r="O10" i="11"/>
  <c r="O4" i="11"/>
  <c r="O33" i="11" l="1"/>
  <c r="O28" i="11"/>
  <c r="P26" i="11"/>
  <c r="O31" i="11"/>
  <c r="P9" i="11"/>
  <c r="P8" i="11"/>
  <c r="O130" i="11"/>
  <c r="N131" i="11"/>
  <c r="O133" i="11"/>
  <c r="O134" i="11" s="1"/>
  <c r="P10" i="11"/>
  <c r="P4" i="11"/>
  <c r="P33" i="11" l="1"/>
  <c r="P28" i="11"/>
  <c r="Q26" i="11"/>
  <c r="P31" i="11"/>
  <c r="Q9" i="11"/>
  <c r="R9" i="11" s="1"/>
  <c r="S9" i="11" s="1"/>
  <c r="T9" i="11" s="1"/>
  <c r="U9" i="11" s="1"/>
  <c r="V9" i="11" s="1"/>
  <c r="W9" i="11" s="1"/>
  <c r="X9" i="11" s="1"/>
  <c r="Y9" i="11" s="1"/>
  <c r="Z9" i="11" s="1"/>
  <c r="AA9" i="11" s="1"/>
  <c r="AB9" i="11" s="1"/>
  <c r="AC9" i="11" s="1"/>
  <c r="AD9" i="11" s="1"/>
  <c r="AE9" i="11" s="1"/>
  <c r="AF9" i="11" s="1"/>
  <c r="AG9" i="11" s="1"/>
  <c r="AH9" i="11" s="1"/>
  <c r="AI9" i="11" s="1"/>
  <c r="AJ9" i="11" s="1"/>
  <c r="O131" i="11"/>
  <c r="P130" i="11"/>
  <c r="Q8" i="11"/>
  <c r="P133" i="11"/>
  <c r="P134" i="11" s="1"/>
  <c r="Q10" i="11"/>
  <c r="R10" i="11" s="1"/>
  <c r="S10" i="11" s="1"/>
  <c r="T10" i="11" s="1"/>
  <c r="U10" i="11" s="1"/>
  <c r="V10" i="11" s="1"/>
  <c r="W10" i="11" s="1"/>
  <c r="X10" i="11" s="1"/>
  <c r="Y10" i="11" s="1"/>
  <c r="Z10" i="11" s="1"/>
  <c r="AA10" i="11" s="1"/>
  <c r="AB10" i="11" s="1"/>
  <c r="AC10" i="11" s="1"/>
  <c r="AD10" i="11" s="1"/>
  <c r="AE10" i="11" s="1"/>
  <c r="AF10" i="11" s="1"/>
  <c r="AG10" i="11" s="1"/>
  <c r="AH10" i="11" s="1"/>
  <c r="AI10" i="11" s="1"/>
  <c r="AJ10" i="11" s="1"/>
  <c r="Q4" i="11"/>
  <c r="Q33" i="11" l="1"/>
  <c r="Q28" i="11"/>
  <c r="R26" i="11"/>
  <c r="Q31" i="11"/>
  <c r="P131" i="11"/>
  <c r="Q130" i="11"/>
  <c r="R8" i="11"/>
  <c r="Q133" i="11"/>
  <c r="Q134" i="11" s="1"/>
  <c r="R4" i="11"/>
  <c r="R33" i="11" l="1"/>
  <c r="R28" i="11"/>
  <c r="S26" i="11"/>
  <c r="R31" i="11"/>
  <c r="Q131" i="11"/>
  <c r="R130" i="11"/>
  <c r="S8" i="11"/>
  <c r="R133" i="11"/>
  <c r="R134" i="11" s="1"/>
  <c r="S4" i="11"/>
  <c r="S33" i="11" l="1"/>
  <c r="S28" i="11"/>
  <c r="T26" i="11"/>
  <c r="S31" i="11"/>
  <c r="R131" i="11"/>
  <c r="S130" i="11"/>
  <c r="T8" i="11"/>
  <c r="S133" i="11"/>
  <c r="S134" i="11" s="1"/>
  <c r="T4" i="11"/>
  <c r="T33" i="11" l="1"/>
  <c r="T28" i="11"/>
  <c r="U26" i="11"/>
  <c r="T31" i="11"/>
  <c r="S131" i="11"/>
  <c r="T130" i="11"/>
  <c r="U8" i="11"/>
  <c r="T133" i="11"/>
  <c r="T134" i="11" s="1"/>
  <c r="U4" i="11"/>
  <c r="U33" i="11" l="1"/>
  <c r="U28" i="11"/>
  <c r="V26" i="11"/>
  <c r="U31" i="11"/>
  <c r="T131" i="11"/>
  <c r="U130" i="11"/>
  <c r="V8" i="11"/>
  <c r="U133" i="11"/>
  <c r="U134" i="11" s="1"/>
  <c r="V4" i="11"/>
  <c r="V33" i="11" l="1"/>
  <c r="V28" i="11"/>
  <c r="W26" i="11"/>
  <c r="V31" i="11"/>
  <c r="V130" i="11"/>
  <c r="U131" i="11"/>
  <c r="W8" i="11"/>
  <c r="V133" i="11"/>
  <c r="V134" i="11" s="1"/>
  <c r="W4" i="11"/>
  <c r="W33" i="11" l="1"/>
  <c r="W28" i="11"/>
  <c r="X26" i="11"/>
  <c r="W31" i="11"/>
  <c r="V131" i="11"/>
  <c r="W130" i="11"/>
  <c r="X8" i="11"/>
  <c r="W133" i="11"/>
  <c r="W134" i="11" s="1"/>
  <c r="X4" i="11"/>
  <c r="X33" i="11" l="1"/>
  <c r="X28" i="11"/>
  <c r="Y26" i="11"/>
  <c r="X31" i="11"/>
  <c r="W131" i="11"/>
  <c r="X130" i="11"/>
  <c r="Y8" i="11"/>
  <c r="X133" i="11"/>
  <c r="X134" i="11" s="1"/>
  <c r="Y4" i="11"/>
  <c r="Y33" i="11" l="1"/>
  <c r="Y28" i="11"/>
  <c r="Z26" i="11"/>
  <c r="Y31" i="11"/>
  <c r="Y130" i="11"/>
  <c r="X131" i="11"/>
  <c r="Z8" i="11"/>
  <c r="Y133" i="11"/>
  <c r="Z4" i="11"/>
  <c r="Z33" i="11" l="1"/>
  <c r="Z28" i="11"/>
  <c r="AA26" i="11"/>
  <c r="Z31" i="11"/>
  <c r="Y134" i="11"/>
  <c r="Z133" i="11"/>
  <c r="Y131" i="11"/>
  <c r="Z130" i="11"/>
  <c r="AA8" i="11"/>
  <c r="AA4" i="11"/>
  <c r="AA33" i="11" l="1"/>
  <c r="AA28" i="11"/>
  <c r="AB26" i="11"/>
  <c r="AA31" i="11"/>
  <c r="Z131" i="11"/>
  <c r="AA130" i="11"/>
  <c r="Z134" i="11"/>
  <c r="AA133" i="11"/>
  <c r="AB8" i="11"/>
  <c r="AB4" i="11"/>
  <c r="AB33" i="11" l="1"/>
  <c r="AB28" i="11"/>
  <c r="AC26" i="11"/>
  <c r="AB31" i="11"/>
  <c r="AA134" i="11"/>
  <c r="AB133" i="11"/>
  <c r="AB130" i="11"/>
  <c r="AA131" i="11"/>
  <c r="AC8" i="11"/>
  <c r="AC4" i="11"/>
  <c r="AC33" i="11" l="1"/>
  <c r="AC28" i="11"/>
  <c r="AD26" i="11"/>
  <c r="AC31" i="11"/>
  <c r="AB134" i="11"/>
  <c r="AC133" i="11"/>
  <c r="AC130" i="11"/>
  <c r="AB131" i="11"/>
  <c r="AD8" i="11"/>
  <c r="AD4" i="11"/>
  <c r="AD33" i="11" l="1"/>
  <c r="AD28" i="11"/>
  <c r="AE26" i="11"/>
  <c r="AD31" i="11"/>
  <c r="AC134" i="11"/>
  <c r="AD133" i="11"/>
  <c r="AC131" i="11"/>
  <c r="AD130" i="11"/>
  <c r="AE8" i="11"/>
  <c r="AE4" i="11"/>
  <c r="AE33" i="11" l="1"/>
  <c r="AE28" i="11"/>
  <c r="AF26" i="11"/>
  <c r="AE31" i="11"/>
  <c r="AE130" i="11"/>
  <c r="AD131" i="11"/>
  <c r="AD134" i="11"/>
  <c r="AE133" i="11"/>
  <c r="AF8" i="11"/>
  <c r="AG8" i="11" s="1"/>
  <c r="AH8" i="11" s="1"/>
  <c r="AI8" i="11" s="1"/>
  <c r="AJ8" i="11" s="1"/>
  <c r="AF4" i="11"/>
  <c r="AG26" i="11" l="1"/>
  <c r="AF31" i="11"/>
  <c r="AE134" i="11"/>
  <c r="AF133" i="11"/>
  <c r="AF130" i="11"/>
  <c r="AE131" i="11"/>
  <c r="AG4" i="11"/>
  <c r="AH26" i="11" l="1"/>
  <c r="AG31" i="11"/>
  <c r="AF134" i="11"/>
  <c r="AG133" i="11"/>
  <c r="AF131" i="11"/>
  <c r="AG130" i="11"/>
  <c r="AH4" i="11"/>
  <c r="AI26" i="11" l="1"/>
  <c r="AH31" i="11"/>
  <c r="AH130" i="11"/>
  <c r="AG131" i="11"/>
  <c r="AG134" i="11"/>
  <c r="AH133" i="11"/>
  <c r="AI4" i="11"/>
  <c r="AJ26" i="11" l="1"/>
  <c r="AI31" i="11"/>
  <c r="AH134" i="11"/>
  <c r="AI133" i="11"/>
  <c r="AI130" i="11"/>
  <c r="AH131" i="11"/>
  <c r="AJ4" i="11"/>
  <c r="AJ31" i="11" l="1"/>
  <c r="AI134" i="11"/>
  <c r="AJ133" i="11"/>
  <c r="AJ134" i="11" s="1"/>
  <c r="AI131" i="11"/>
  <c r="AJ130" i="11"/>
  <c r="AJ131" i="11" s="1"/>
  <c r="B80" i="12" l="1"/>
  <c r="B34" i="9"/>
  <c r="B31" i="9"/>
  <c r="B30" i="9"/>
  <c r="D35" i="9"/>
  <c r="D31" i="9"/>
  <c r="D32" i="9"/>
  <c r="B35" i="9"/>
  <c r="B22" i="9"/>
  <c r="D19" i="9"/>
  <c r="D22" i="9"/>
  <c r="D17" i="9"/>
  <c r="D30" i="9"/>
  <c r="G78" i="7"/>
  <c r="D34" i="9" l="1"/>
  <c r="D33" i="9"/>
  <c r="D37" i="9"/>
  <c r="D36" i="9"/>
  <c r="AF5" i="11"/>
  <c r="AF21" i="11" s="1"/>
  <c r="AH5" i="11"/>
  <c r="AH21" i="11" s="1"/>
  <c r="AJ5" i="11"/>
  <c r="AJ21" i="11" s="1"/>
  <c r="AG5" i="11"/>
  <c r="AG21" i="11" s="1"/>
  <c r="AI5" i="11"/>
  <c r="AI21" i="11" s="1"/>
  <c r="H5" i="11"/>
  <c r="I5" i="11"/>
  <c r="J5" i="11"/>
  <c r="K5" i="11"/>
  <c r="L5" i="11"/>
  <c r="M5" i="11"/>
  <c r="N5" i="11"/>
  <c r="O5" i="11"/>
  <c r="P5" i="11"/>
  <c r="Q5" i="11"/>
  <c r="R5" i="11"/>
  <c r="S5" i="11"/>
  <c r="T5" i="11"/>
  <c r="U5" i="11"/>
  <c r="V5" i="11"/>
  <c r="V21" i="11" s="1"/>
  <c r="W5" i="11"/>
  <c r="W21" i="11" s="1"/>
  <c r="X5" i="11"/>
  <c r="X21" i="11" s="1"/>
  <c r="Y5" i="11"/>
  <c r="Y21" i="11" s="1"/>
  <c r="Z5" i="11"/>
  <c r="Z21" i="11" s="1"/>
  <c r="AA5" i="11"/>
  <c r="AA21" i="11" s="1"/>
  <c r="AB5" i="11"/>
  <c r="AB21" i="11" s="1"/>
  <c r="AC5" i="11"/>
  <c r="AC21" i="11" s="1"/>
  <c r="AD5" i="11"/>
  <c r="AD21" i="11" s="1"/>
  <c r="AE5" i="11"/>
  <c r="AE21" i="11" s="1"/>
  <c r="G5" i="11"/>
  <c r="G21" i="11" l="1"/>
  <c r="G178" i="11"/>
  <c r="P21" i="11"/>
  <c r="P178" i="11"/>
  <c r="P180" i="11" s="1"/>
  <c r="N21" i="11"/>
  <c r="N178" i="11"/>
  <c r="N180" i="11" s="1"/>
  <c r="L21" i="11"/>
  <c r="L178" i="11"/>
  <c r="L180" i="11" s="1"/>
  <c r="J21" i="11"/>
  <c r="J178" i="11"/>
  <c r="H21" i="11"/>
  <c r="H178" i="11"/>
  <c r="O21" i="11"/>
  <c r="O178" i="11"/>
  <c r="O180" i="11" s="1"/>
  <c r="M21" i="11"/>
  <c r="M178" i="11"/>
  <c r="M180" i="11" s="1"/>
  <c r="K21" i="11"/>
  <c r="K178" i="11"/>
  <c r="I21" i="11"/>
  <c r="I178" i="11"/>
  <c r="U29" i="11"/>
  <c r="U21" i="11"/>
  <c r="S29" i="11"/>
  <c r="S21" i="11"/>
  <c r="Q29" i="11"/>
  <c r="Q21" i="11"/>
  <c r="T29" i="11"/>
  <c r="T21" i="11"/>
  <c r="R29" i="11"/>
  <c r="R21" i="11"/>
  <c r="AG29" i="11"/>
  <c r="AG17" i="11"/>
  <c r="AG19" i="11"/>
  <c r="AI29" i="11"/>
  <c r="AI19" i="11"/>
  <c r="AI17" i="11"/>
  <c r="AJ29" i="11"/>
  <c r="AJ19" i="11"/>
  <c r="AJ17" i="11"/>
  <c r="AF29" i="11"/>
  <c r="AF17" i="11"/>
  <c r="AF19" i="11"/>
  <c r="AH29" i="11"/>
  <c r="AH17" i="11"/>
  <c r="AH19" i="11"/>
  <c r="AE29" i="11"/>
  <c r="AE17" i="11"/>
  <c r="AA29" i="11"/>
  <c r="AA17" i="11"/>
  <c r="AD29" i="11"/>
  <c r="AD17" i="11"/>
  <c r="AB29" i="11"/>
  <c r="AB17" i="11"/>
  <c r="AC29" i="11"/>
  <c r="AC17" i="11"/>
  <c r="O29" i="11"/>
  <c r="K29" i="11"/>
  <c r="P29" i="11"/>
  <c r="N29" i="11"/>
  <c r="L29" i="11"/>
  <c r="J29" i="11"/>
  <c r="H29" i="11"/>
  <c r="G29" i="11"/>
  <c r="M29" i="11"/>
  <c r="I29" i="11"/>
  <c r="Z17" i="11"/>
  <c r="Z29" i="11"/>
  <c r="X17" i="11"/>
  <c r="X29" i="11"/>
  <c r="V17" i="11"/>
  <c r="V29" i="11"/>
  <c r="Y17" i="11"/>
  <c r="Y29" i="11"/>
  <c r="W17" i="11"/>
  <c r="W29" i="11"/>
  <c r="AE19" i="11"/>
  <c r="AC19" i="11"/>
  <c r="AA19" i="11"/>
  <c r="AD19" i="11"/>
  <c r="AB19" i="11"/>
  <c r="Z19" i="11"/>
  <c r="X19" i="11"/>
  <c r="V19" i="11"/>
  <c r="T19" i="11"/>
  <c r="P19" i="11"/>
  <c r="N19" i="11"/>
  <c r="L19" i="11"/>
  <c r="J19" i="11"/>
  <c r="H19" i="11"/>
  <c r="Y19" i="11"/>
  <c r="W19" i="11"/>
  <c r="U19" i="11"/>
  <c r="S19" i="11"/>
  <c r="Q19" i="11"/>
  <c r="O19" i="11"/>
  <c r="M19" i="11"/>
  <c r="K19" i="11"/>
  <c r="I19" i="11"/>
  <c r="G19" i="11"/>
  <c r="R19" i="11"/>
  <c r="B105" i="12"/>
  <c r="F25" i="7" l="1"/>
  <c r="B55" i="12"/>
  <c r="B30" i="12"/>
  <c r="B5" i="12"/>
  <c r="AH86" i="11" l="1"/>
  <c r="AJ86" i="11"/>
  <c r="AH87" i="11"/>
  <c r="AJ87" i="11"/>
  <c r="AG86" i="11"/>
  <c r="AI86" i="11"/>
  <c r="AG87" i="11"/>
  <c r="AI87" i="11"/>
  <c r="AG92" i="11" l="1"/>
  <c r="AG46" i="11"/>
  <c r="AI43" i="11"/>
  <c r="AI85" i="11"/>
  <c r="F35" i="10" s="1"/>
  <c r="AH92" i="11"/>
  <c r="AH46" i="11"/>
  <c r="AJ43" i="11"/>
  <c r="AJ85" i="11"/>
  <c r="F36" i="10" s="1"/>
  <c r="AI92" i="11"/>
  <c r="AI46" i="11"/>
  <c r="AG43" i="11"/>
  <c r="AG85" i="11"/>
  <c r="F33" i="10" s="1"/>
  <c r="AJ92" i="11"/>
  <c r="AJ46" i="11"/>
  <c r="AH43" i="11"/>
  <c r="AH85" i="11"/>
  <c r="F34" i="10" s="1"/>
  <c r="U200" i="11" l="1"/>
  <c r="U47" i="11" s="1"/>
  <c r="G21" i="10" s="1"/>
  <c r="J215" i="11" l="1"/>
  <c r="N215" i="11" s="1"/>
  <c r="N205" i="11" l="1"/>
  <c r="N206" i="11" s="1"/>
  <c r="N207" i="11" s="1"/>
  <c r="N208" i="11" s="1"/>
  <c r="N209" i="11" s="1"/>
  <c r="N210" i="11" s="1"/>
  <c r="N211" i="11" s="1"/>
  <c r="N212" i="11" s="1"/>
  <c r="N213" i="11" s="1"/>
  <c r="N214" i="11" s="1"/>
  <c r="S204" i="11" l="1"/>
  <c r="R204" i="11"/>
  <c r="G72" i="11" s="1"/>
  <c r="G12" i="11" l="1"/>
  <c r="G13" i="11" l="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AI13" i="11" s="1"/>
  <c r="AJ13" i="11" s="1"/>
  <c r="D7" i="9"/>
  <c r="H12" i="11"/>
  <c r="I12" i="11" s="1"/>
  <c r="G14" i="11" l="1"/>
  <c r="C7" i="10" s="1"/>
  <c r="H14" i="11"/>
  <c r="C8" i="10" s="1"/>
  <c r="I14" i="11"/>
  <c r="J12" i="11"/>
  <c r="G15" i="11" l="1"/>
  <c r="G34" i="11" s="1"/>
  <c r="G43" i="7" s="1"/>
  <c r="H15" i="11"/>
  <c r="H34" i="11" s="1"/>
  <c r="K12" i="11"/>
  <c r="J14" i="11"/>
  <c r="I15" i="11"/>
  <c r="C9" i="10"/>
  <c r="I34" i="11" l="1"/>
  <c r="L12" i="11"/>
  <c r="K14" i="11"/>
  <c r="J15" i="11"/>
  <c r="J34" i="11" s="1"/>
  <c r="C10" i="10"/>
  <c r="M12" i="11" l="1"/>
  <c r="L14" i="11"/>
  <c r="K15" i="11"/>
  <c r="K34" i="11" s="1"/>
  <c r="C11" i="10"/>
  <c r="L15" i="11" l="1"/>
  <c r="L34" i="11" s="1"/>
  <c r="C12" i="10"/>
  <c r="N12" i="11"/>
  <c r="M14" i="11"/>
  <c r="C13" i="10" l="1"/>
  <c r="M15" i="11"/>
  <c r="M34" i="11" s="1"/>
  <c r="O12" i="11"/>
  <c r="N14" i="11"/>
  <c r="C14" i="10" l="1"/>
  <c r="N15" i="11"/>
  <c r="N34" i="11" s="1"/>
  <c r="O14" i="11"/>
  <c r="P12" i="11"/>
  <c r="P14" i="11" l="1"/>
  <c r="Q12" i="11"/>
  <c r="C15" i="10"/>
  <c r="O15" i="11"/>
  <c r="O34" i="11" s="1"/>
  <c r="P15" i="11" l="1"/>
  <c r="P34" i="11" s="1"/>
  <c r="C16" i="10"/>
  <c r="Q14" i="11"/>
  <c r="R12" i="11"/>
  <c r="S12" i="11" l="1"/>
  <c r="R14" i="11"/>
  <c r="C17" i="10"/>
  <c r="Q15" i="11"/>
  <c r="Q34" i="11" s="1"/>
  <c r="C18" i="10" l="1"/>
  <c r="R15" i="11"/>
  <c r="R34" i="11" s="1"/>
  <c r="T12" i="11"/>
  <c r="S14" i="11"/>
  <c r="U12" i="11" l="1"/>
  <c r="T14" i="11"/>
  <c r="C19" i="10"/>
  <c r="S15" i="11"/>
  <c r="S34" i="11" s="1"/>
  <c r="T15" i="11" l="1"/>
  <c r="T34" i="11" s="1"/>
  <c r="C20" i="10"/>
  <c r="V12" i="11"/>
  <c r="U14" i="11"/>
  <c r="V14" i="11" l="1"/>
  <c r="W12" i="11"/>
  <c r="U15" i="11"/>
  <c r="U34" i="11" s="1"/>
  <c r="C21" i="10"/>
  <c r="V15" i="11" l="1"/>
  <c r="V34" i="11" s="1"/>
  <c r="C22" i="10"/>
  <c r="W14" i="11"/>
  <c r="X12" i="11"/>
  <c r="X14" i="11" l="1"/>
  <c r="Y12" i="11"/>
  <c r="W15" i="11"/>
  <c r="W34" i="11" s="1"/>
  <c r="C23" i="10"/>
  <c r="X15" i="11" l="1"/>
  <c r="X34" i="11" s="1"/>
  <c r="C24" i="10"/>
  <c r="Y14" i="11"/>
  <c r="Z12" i="11"/>
  <c r="Y15" i="11" l="1"/>
  <c r="Y34" i="11" s="1"/>
  <c r="C25" i="10"/>
  <c r="AA12" i="11"/>
  <c r="Z14" i="11"/>
  <c r="AA14" i="11" l="1"/>
  <c r="AB12" i="11"/>
  <c r="Z15" i="11"/>
  <c r="Z34" i="11" s="1"/>
  <c r="C26" i="10"/>
  <c r="AC12" i="11" l="1"/>
  <c r="AB14" i="11"/>
  <c r="C27" i="10"/>
  <c r="AA15" i="11"/>
  <c r="AA34" i="11" s="1"/>
  <c r="AB15" i="11" l="1"/>
  <c r="AB34" i="11" s="1"/>
  <c r="C28" i="10"/>
  <c r="AC14" i="11"/>
  <c r="AD12" i="11"/>
  <c r="AC15" i="11" l="1"/>
  <c r="AC34" i="11" s="1"/>
  <c r="C29" i="10"/>
  <c r="AE12" i="11"/>
  <c r="AD14" i="11"/>
  <c r="AE14" i="11" l="1"/>
  <c r="AE15" i="11" s="1"/>
  <c r="AE34" i="11" s="1"/>
  <c r="AF12" i="11"/>
  <c r="AD15" i="11"/>
  <c r="AD34" i="11" s="1"/>
  <c r="C30" i="10"/>
  <c r="C31" i="10" l="1"/>
  <c r="AF14" i="11"/>
  <c r="AG12" i="11"/>
  <c r="AH12" i="11" l="1"/>
  <c r="AG14" i="11"/>
  <c r="AF15" i="11"/>
  <c r="AF34" i="11" s="1"/>
  <c r="C32" i="10"/>
  <c r="AD194" i="11"/>
  <c r="AD200" i="11" s="1"/>
  <c r="AD47" i="11" s="1"/>
  <c r="G30" i="10" s="1"/>
  <c r="C33" i="10" l="1"/>
  <c r="AG15" i="11"/>
  <c r="AG34" i="11" s="1"/>
  <c r="AI12" i="11"/>
  <c r="AH14" i="11"/>
  <c r="AF86" i="11"/>
  <c r="AE86" i="11"/>
  <c r="AD86" i="11"/>
  <c r="AB87" i="11"/>
  <c r="AF87" i="11"/>
  <c r="AC86" i="11"/>
  <c r="AA87" i="11"/>
  <c r="AE87" i="11"/>
  <c r="AB86" i="11"/>
  <c r="AD87" i="11"/>
  <c r="AA86" i="11"/>
  <c r="AC87" i="11"/>
  <c r="AJ12" i="11" l="1"/>
  <c r="AJ14" i="11" s="1"/>
  <c r="AI14" i="11"/>
  <c r="C34" i="10"/>
  <c r="AH15" i="11"/>
  <c r="AH34" i="11" s="1"/>
  <c r="AA43" i="11"/>
  <c r="AA85" i="11"/>
  <c r="F27" i="10" s="1"/>
  <c r="AB85" i="11"/>
  <c r="F28" i="10" s="1"/>
  <c r="AB43" i="11"/>
  <c r="AA92" i="11"/>
  <c r="AA46" i="11"/>
  <c r="AF46" i="11"/>
  <c r="AF92" i="11"/>
  <c r="AD85" i="11"/>
  <c r="F30" i="10" s="1"/>
  <c r="AD43" i="11"/>
  <c r="AF85" i="11"/>
  <c r="F32" i="10" s="1"/>
  <c r="AF43" i="11"/>
  <c r="AC92" i="11"/>
  <c r="AC46" i="11"/>
  <c r="AD46" i="11"/>
  <c r="AD92" i="11"/>
  <c r="AE92" i="11"/>
  <c r="AE46" i="11"/>
  <c r="AC43" i="11"/>
  <c r="AC85" i="11"/>
  <c r="F29" i="10" s="1"/>
  <c r="AB92" i="11"/>
  <c r="AB46" i="11"/>
  <c r="AE85" i="11"/>
  <c r="F31" i="10" s="1"/>
  <c r="AE43" i="11"/>
  <c r="D14" i="9" l="1"/>
  <c r="C36" i="10"/>
  <c r="AJ15" i="11"/>
  <c r="C35" i="10"/>
  <c r="AI15" i="11"/>
  <c r="AI34" i="11" s="1"/>
  <c r="H193" i="11"/>
  <c r="H200" i="11" s="1"/>
  <c r="H47" i="11" s="1"/>
  <c r="G8" i="10" s="1"/>
  <c r="AG193" i="11"/>
  <c r="AG200" i="11" s="1"/>
  <c r="AG47" i="11" s="1"/>
  <c r="AF193" i="11"/>
  <c r="AF200" i="11" s="1"/>
  <c r="AF47" i="11" s="1"/>
  <c r="G32" i="10" s="1"/>
  <c r="G33" i="10"/>
  <c r="AJ34" i="11" l="1"/>
  <c r="P27" i="10"/>
  <c r="P32" i="10" l="1"/>
  <c r="P28" i="10"/>
  <c r="P29" i="10" l="1"/>
  <c r="P30" i="10" l="1"/>
  <c r="P31" i="10" l="1"/>
  <c r="G193" i="11" l="1"/>
  <c r="Z194" i="11" l="1"/>
  <c r="Z200" i="11" s="1"/>
  <c r="Z47" i="11" s="1"/>
  <c r="G26" i="10" s="1"/>
  <c r="Y86" i="11" l="1"/>
  <c r="Y43" i="11" s="1"/>
  <c r="Z87" i="11"/>
  <c r="Z92" i="11" s="1"/>
  <c r="Z86" i="11"/>
  <c r="Z43" i="11" s="1"/>
  <c r="Y87" i="11"/>
  <c r="Y46" i="11" s="1"/>
  <c r="Z46" i="11" l="1"/>
  <c r="Z85" i="11"/>
  <c r="F26" i="10" s="1"/>
  <c r="Y92" i="11"/>
  <c r="Y85" i="11"/>
  <c r="F25" i="10" s="1"/>
  <c r="AA193" i="11" l="1"/>
  <c r="AA200" i="11" s="1"/>
  <c r="AA47" i="11" s="1"/>
  <c r="G27" i="10" s="1"/>
  <c r="P26" i="10" l="1"/>
  <c r="P25" i="10"/>
  <c r="AI30" i="11" l="1"/>
  <c r="AI35" i="11" s="1"/>
  <c r="AH30" i="11"/>
  <c r="AH35" i="11" s="1"/>
  <c r="AG30" i="11"/>
  <c r="AG35" i="11" s="1"/>
  <c r="AF30" i="11"/>
  <c r="AF35" i="11" s="1"/>
  <c r="AJ30" i="11"/>
  <c r="AJ35" i="11" s="1"/>
  <c r="AJ37" i="11" l="1"/>
  <c r="AJ36" i="11"/>
  <c r="E36" i="10"/>
  <c r="AG37" i="11"/>
  <c r="E33" i="10"/>
  <c r="S33" i="10" s="1"/>
  <c r="AG36" i="11"/>
  <c r="AI36" i="11"/>
  <c r="AI37" i="11"/>
  <c r="E35" i="10"/>
  <c r="S35" i="10" s="1"/>
  <c r="E32" i="10"/>
  <c r="S32" i="10" s="1"/>
  <c r="AF37" i="11"/>
  <c r="AF36" i="11"/>
  <c r="E34" i="10"/>
  <c r="S34" i="10" s="1"/>
  <c r="AH36" i="11"/>
  <c r="AH37" i="11"/>
  <c r="G36" i="10" l="1"/>
  <c r="S36" i="10" s="1"/>
  <c r="G194" i="11"/>
  <c r="G200" i="11" s="1"/>
  <c r="G47" i="11" s="1"/>
  <c r="G7" i="10" s="1"/>
  <c r="AJ194" i="11" l="1"/>
  <c r="AJ200" i="11" s="1"/>
  <c r="AJ47" i="11" s="1"/>
  <c r="AF136" i="11"/>
  <c r="AG136" i="11"/>
  <c r="AH136" i="11"/>
  <c r="AJ136" i="11"/>
  <c r="AI136" i="11"/>
  <c r="AI57" i="11" l="1"/>
  <c r="AI138" i="11"/>
  <c r="AH57" i="11"/>
  <c r="AH138" i="11"/>
  <c r="AF57" i="11"/>
  <c r="AF138" i="11"/>
  <c r="AJ57" i="11"/>
  <c r="AJ138" i="11"/>
  <c r="AG57" i="11"/>
  <c r="AG138" i="11"/>
  <c r="AF197" i="11" l="1"/>
  <c r="AG192" i="11" s="1"/>
  <c r="AG197" i="11" l="1"/>
  <c r="AH192" i="11" s="1"/>
  <c r="D32" i="10" l="1"/>
  <c r="AG199" i="11"/>
  <c r="AG22" i="11" s="1"/>
  <c r="AG23" i="11" s="1"/>
  <c r="AH197" i="11"/>
  <c r="AI192" i="11" s="1"/>
  <c r="AG39" i="11" l="1"/>
  <c r="AG44" i="11" s="1"/>
  <c r="D33" i="10"/>
  <c r="H33" i="10" s="1"/>
  <c r="AH199" i="11"/>
  <c r="AH22" i="11" s="1"/>
  <c r="AH23" i="11" s="1"/>
  <c r="AI197" i="11"/>
  <c r="AJ192" i="11" s="1"/>
  <c r="AJ197" i="11" s="1"/>
  <c r="AJ199" i="11" s="1"/>
  <c r="AJ22" i="11" s="1"/>
  <c r="AJ23" i="11" s="1"/>
  <c r="H32" i="10"/>
  <c r="AI199" i="11" l="1"/>
  <c r="AI22" i="11" s="1"/>
  <c r="AI23" i="11" s="1"/>
  <c r="AI39" i="11" s="1"/>
  <c r="AI44" i="11" s="1"/>
  <c r="AJ39" i="11"/>
  <c r="AJ44" i="11" s="1"/>
  <c r="D36" i="10"/>
  <c r="AG49" i="11"/>
  <c r="AG53" i="11" s="1"/>
  <c r="AG54" i="11" s="1"/>
  <c r="AG58" i="11"/>
  <c r="AG143" i="11" s="1"/>
  <c r="D35" i="10"/>
  <c r="D34" i="10"/>
  <c r="AH39" i="11"/>
  <c r="AH44" i="11" s="1"/>
  <c r="H35" i="10" l="1"/>
  <c r="H34" i="10"/>
  <c r="AI49" i="11"/>
  <c r="AI53" i="11" s="1"/>
  <c r="AI54" i="11" s="1"/>
  <c r="AI58" i="11"/>
  <c r="AI143" i="11" s="1"/>
  <c r="AG155" i="11"/>
  <c r="AG147" i="11"/>
  <c r="I32" i="10"/>
  <c r="AJ49" i="11"/>
  <c r="AJ53" i="11" s="1"/>
  <c r="AJ54" i="11" s="1"/>
  <c r="AJ58" i="11"/>
  <c r="AJ143" i="11" s="1"/>
  <c r="AH49" i="11"/>
  <c r="AH53" i="11" s="1"/>
  <c r="AH54" i="11" s="1"/>
  <c r="AH58" i="11"/>
  <c r="AH143" i="11" s="1"/>
  <c r="J32" i="10"/>
  <c r="H36" i="10"/>
  <c r="AH155" i="11" l="1"/>
  <c r="AH147" i="11"/>
  <c r="AJ155" i="11"/>
  <c r="AJ147" i="11"/>
  <c r="AI155" i="11"/>
  <c r="AI147" i="11"/>
  <c r="K32" i="10" l="1"/>
  <c r="R32" i="10" l="1"/>
  <c r="M32" i="10"/>
  <c r="AG148" i="11" l="1"/>
  <c r="AG151" i="11" s="1"/>
  <c r="AG60" i="11" s="1"/>
  <c r="AG156" i="11"/>
  <c r="I33" i="10" l="1"/>
  <c r="AG159" i="11"/>
  <c r="AG61" i="11" s="1"/>
  <c r="AH148" i="11" l="1"/>
  <c r="AH151" i="11" s="1"/>
  <c r="AH60" i="11" s="1"/>
  <c r="AH156" i="11"/>
  <c r="AH159" i="11" s="1"/>
  <c r="AH61" i="11" s="1"/>
  <c r="AG64" i="11"/>
  <c r="J33" i="10"/>
  <c r="AG183" i="11" l="1"/>
  <c r="AG63" i="11"/>
  <c r="I34" i="10"/>
  <c r="AH64" i="11"/>
  <c r="J34" i="10"/>
  <c r="AG187" i="11" l="1"/>
  <c r="AG66" i="11" s="1"/>
  <c r="L33" i="10" s="1"/>
  <c r="AG186" i="11"/>
  <c r="AI148" i="11"/>
  <c r="AI151" i="11" s="1"/>
  <c r="AI60" i="11" s="1"/>
  <c r="AI156" i="11"/>
  <c r="AH183" i="11"/>
  <c r="L34" i="10"/>
  <c r="AG169" i="11"/>
  <c r="K33" i="10"/>
  <c r="AH63" i="11"/>
  <c r="AH169" i="11" s="1"/>
  <c r="AH186" i="11" l="1"/>
  <c r="AH187" i="11"/>
  <c r="AH66" i="11" s="1"/>
  <c r="AG173" i="11"/>
  <c r="AG65" i="11" s="1"/>
  <c r="AG67" i="11" s="1"/>
  <c r="AG172" i="11"/>
  <c r="AH172" i="11"/>
  <c r="AH173" i="11"/>
  <c r="AH65" i="11" s="1"/>
  <c r="K34" i="10"/>
  <c r="R33" i="10"/>
  <c r="M33" i="10"/>
  <c r="AI159" i="11"/>
  <c r="AI61" i="11" s="1"/>
  <c r="I35" i="10"/>
  <c r="AH67" i="11" l="1"/>
  <c r="AI64" i="11"/>
  <c r="J35" i="10"/>
  <c r="AJ148" i="11"/>
  <c r="AJ151" i="11" s="1"/>
  <c r="AJ60" i="11" s="1"/>
  <c r="AJ156" i="11"/>
  <c r="AJ159" i="11" s="1"/>
  <c r="AJ61" i="11" s="1"/>
  <c r="R34" i="10"/>
  <c r="M34" i="10"/>
  <c r="AJ64" i="11" l="1"/>
  <c r="AJ63" i="11" s="1"/>
  <c r="AJ169" i="11" s="1"/>
  <c r="J36" i="10"/>
  <c r="AI183" i="11"/>
  <c r="L35" i="10"/>
  <c r="AI63" i="11"/>
  <c r="AI169" i="11" s="1"/>
  <c r="I36" i="10"/>
  <c r="AI186" i="11" l="1"/>
  <c r="AI187" i="11"/>
  <c r="AI66" i="11" s="1"/>
  <c r="AI173" i="11"/>
  <c r="AI65" i="11" s="1"/>
  <c r="AI172" i="11"/>
  <c r="AJ173" i="11"/>
  <c r="AJ65" i="11" s="1"/>
  <c r="AJ172" i="11"/>
  <c r="K36" i="10"/>
  <c r="K35" i="10"/>
  <c r="AJ183" i="11"/>
  <c r="L36" i="10"/>
  <c r="AI67" i="11" l="1"/>
  <c r="AJ186" i="11"/>
  <c r="AJ187" i="11"/>
  <c r="AJ66" i="11" s="1"/>
  <c r="AJ67" i="11" s="1"/>
  <c r="R35" i="10"/>
  <c r="M35" i="10"/>
  <c r="R36" i="10"/>
  <c r="M36" i="10"/>
  <c r="L32" i="10"/>
  <c r="O36" i="10"/>
  <c r="O35" i="10"/>
  <c r="O33" i="10"/>
  <c r="O34" i="10"/>
  <c r="O32" i="10"/>
  <c r="H177" i="11" l="1"/>
  <c r="H180" i="11" s="1"/>
  <c r="J177" i="11"/>
  <c r="J180" i="11" s="1"/>
  <c r="I177" i="11"/>
  <c r="I180" i="11" s="1"/>
  <c r="K177" i="11"/>
  <c r="K180" i="11" s="1"/>
  <c r="G177" i="11"/>
  <c r="G180" i="11" l="1"/>
  <c r="Q37" i="7"/>
  <c r="G25" i="7"/>
  <c r="G37" i="7" l="1"/>
  <c r="AB30" i="11" l="1"/>
  <c r="AB35" i="11" s="1"/>
  <c r="AD30" i="11"/>
  <c r="AD35" i="11" s="1"/>
  <c r="U30" i="11"/>
  <c r="U35" i="11" s="1"/>
  <c r="AE30" i="11"/>
  <c r="AE35" i="11" s="1"/>
  <c r="AA30" i="11"/>
  <c r="AA35" i="11" s="1"/>
  <c r="W30" i="11"/>
  <c r="W35" i="11" s="1"/>
  <c r="P30" i="11"/>
  <c r="P35" i="11" s="1"/>
  <c r="L30" i="11"/>
  <c r="L35" i="11" s="1"/>
  <c r="S30" i="11"/>
  <c r="S35" i="11" s="1"/>
  <c r="O30" i="11"/>
  <c r="O35" i="11" s="1"/>
  <c r="K30" i="11"/>
  <c r="K35" i="11" s="1"/>
  <c r="X30" i="11"/>
  <c r="X35" i="11" s="1"/>
  <c r="Q30" i="11"/>
  <c r="Q35" i="11" s="1"/>
  <c r="Z30" i="11"/>
  <c r="Z35" i="11" s="1"/>
  <c r="M30" i="11"/>
  <c r="M35" i="11" s="1"/>
  <c r="AC30" i="11"/>
  <c r="AC35" i="11" s="1"/>
  <c r="Y30" i="11"/>
  <c r="Y35" i="11" s="1"/>
  <c r="T30" i="11"/>
  <c r="T35" i="11" s="1"/>
  <c r="I30" i="11"/>
  <c r="I35" i="11" s="1"/>
  <c r="H30" i="11"/>
  <c r="H35" i="11" s="1"/>
  <c r="V30" i="11"/>
  <c r="V35" i="11" s="1"/>
  <c r="R30" i="11"/>
  <c r="R35" i="11" s="1"/>
  <c r="N30" i="11"/>
  <c r="N35" i="11" s="1"/>
  <c r="J30" i="11"/>
  <c r="J35" i="11" s="1"/>
  <c r="G30" i="11"/>
  <c r="G35" i="11" s="1"/>
  <c r="G36" i="11" l="1"/>
  <c r="E7" i="10"/>
  <c r="G37" i="11"/>
  <c r="D28" i="9" s="1"/>
  <c r="E14" i="10"/>
  <c r="N36" i="11"/>
  <c r="N37" i="11"/>
  <c r="E22" i="10"/>
  <c r="V36" i="11"/>
  <c r="V37" i="11"/>
  <c r="E9" i="10"/>
  <c r="I36" i="11"/>
  <c r="I37" i="11"/>
  <c r="Y36" i="11"/>
  <c r="Y37" i="11"/>
  <c r="E25" i="10"/>
  <c r="M36" i="11"/>
  <c r="E13" i="10"/>
  <c r="M37" i="11"/>
  <c r="Q36" i="11"/>
  <c r="E17" i="10"/>
  <c r="Q37" i="11"/>
  <c r="K36" i="11"/>
  <c r="E11" i="10"/>
  <c r="K37" i="11"/>
  <c r="S36" i="11"/>
  <c r="S37" i="11"/>
  <c r="E19" i="10"/>
  <c r="E16" i="10"/>
  <c r="P37" i="11"/>
  <c r="P36" i="11"/>
  <c r="AA36" i="11"/>
  <c r="AA37" i="11"/>
  <c r="E27" i="10"/>
  <c r="S27" i="10" s="1"/>
  <c r="U36" i="11"/>
  <c r="U37" i="11"/>
  <c r="E21" i="10"/>
  <c r="AB36" i="11"/>
  <c r="E28" i="10"/>
  <c r="S28" i="10" s="1"/>
  <c r="AB37" i="11"/>
  <c r="J36" i="11"/>
  <c r="J37" i="11"/>
  <c r="E10" i="10"/>
  <c r="R36" i="11"/>
  <c r="R37" i="11"/>
  <c r="E18" i="10"/>
  <c r="E8" i="10"/>
  <c r="H37" i="11"/>
  <c r="H36" i="11"/>
  <c r="T36" i="11"/>
  <c r="T37" i="11"/>
  <c r="E20" i="10"/>
  <c r="E29" i="10"/>
  <c r="S29" i="10" s="1"/>
  <c r="AC36" i="11"/>
  <c r="AC37" i="11"/>
  <c r="E26" i="10"/>
  <c r="S26" i="10" s="1"/>
  <c r="Z36" i="11"/>
  <c r="Z37" i="11"/>
  <c r="X36" i="11"/>
  <c r="E24" i="10"/>
  <c r="X37" i="11"/>
  <c r="E15" i="10"/>
  <c r="O36" i="11"/>
  <c r="O37" i="11"/>
  <c r="E12" i="10"/>
  <c r="L36" i="11"/>
  <c r="L37" i="11"/>
  <c r="W37" i="11"/>
  <c r="W36" i="11"/>
  <c r="E23" i="10"/>
  <c r="AE37" i="11"/>
  <c r="AE36" i="11"/>
  <c r="E31" i="10"/>
  <c r="AD36" i="11"/>
  <c r="E30" i="10"/>
  <c r="S30" i="10" s="1"/>
  <c r="AD37" i="11"/>
  <c r="Q66" i="7" l="1"/>
  <c r="F194" i="11" s="1"/>
  <c r="AE194" i="11" s="1"/>
  <c r="AE200" i="11" s="1"/>
  <c r="AE47" i="11" s="1"/>
  <c r="G31" i="10" s="1"/>
  <c r="S31" i="10" s="1"/>
  <c r="F80" i="11"/>
  <c r="F82" i="11" s="1"/>
  <c r="V86" i="11" s="1"/>
  <c r="V43" i="11" s="1"/>
  <c r="W87" i="11" l="1"/>
  <c r="W46" i="11" s="1"/>
  <c r="S87" i="11"/>
  <c r="O87" i="11"/>
  <c r="K87" i="11"/>
  <c r="G67" i="7"/>
  <c r="U87" i="11"/>
  <c r="U46" i="11" s="1"/>
  <c r="Q87" i="11"/>
  <c r="Q46" i="11" s="1"/>
  <c r="M87" i="11"/>
  <c r="M46" i="11" s="1"/>
  <c r="I87" i="11"/>
  <c r="I46" i="11" s="1"/>
  <c r="F91" i="11"/>
  <c r="F93" i="11" s="1"/>
  <c r="G90" i="11" s="1"/>
  <c r="X87" i="11"/>
  <c r="X46" i="11" s="1"/>
  <c r="V87" i="11"/>
  <c r="V46" i="11" s="1"/>
  <c r="T87" i="11"/>
  <c r="T46" i="11" s="1"/>
  <c r="R87" i="11"/>
  <c r="R46" i="11" s="1"/>
  <c r="P87" i="11"/>
  <c r="P46" i="11" s="1"/>
  <c r="N87" i="11"/>
  <c r="N46" i="11" s="1"/>
  <c r="L87" i="11"/>
  <c r="L46" i="11" s="1"/>
  <c r="J87" i="11"/>
  <c r="J46" i="11" s="1"/>
  <c r="H87" i="11"/>
  <c r="H46" i="11" s="1"/>
  <c r="X86" i="11"/>
  <c r="W86" i="11"/>
  <c r="G86" i="11"/>
  <c r="M86" i="11"/>
  <c r="N86" i="11"/>
  <c r="O86" i="11"/>
  <c r="P86" i="11"/>
  <c r="Q86" i="11"/>
  <c r="R86" i="11"/>
  <c r="S86" i="11"/>
  <c r="T86" i="11"/>
  <c r="U86" i="11"/>
  <c r="G87" i="11"/>
  <c r="H86" i="11"/>
  <c r="I86" i="11"/>
  <c r="J86" i="11"/>
  <c r="K86" i="11"/>
  <c r="L86" i="11"/>
  <c r="Q92" i="11" l="1"/>
  <c r="V92" i="11"/>
  <c r="U92" i="11"/>
  <c r="W92" i="11"/>
  <c r="V85" i="11"/>
  <c r="F22" i="10" s="1"/>
  <c r="S22" i="10" s="1"/>
  <c r="I92" i="11"/>
  <c r="M92" i="11"/>
  <c r="N92" i="11"/>
  <c r="K46" i="11"/>
  <c r="K92" i="11"/>
  <c r="S46" i="11"/>
  <c r="S92" i="11"/>
  <c r="J92" i="11"/>
  <c r="R92" i="11"/>
  <c r="O46" i="11"/>
  <c r="O92" i="11"/>
  <c r="H92" i="11"/>
  <c r="L92" i="11"/>
  <c r="P92" i="11"/>
  <c r="T92" i="11"/>
  <c r="X92" i="11"/>
  <c r="L43" i="11"/>
  <c r="L85" i="11"/>
  <c r="F12" i="10" s="1"/>
  <c r="S12" i="10" s="1"/>
  <c r="H43" i="11"/>
  <c r="H85" i="11"/>
  <c r="F8" i="10" s="1"/>
  <c r="S8" i="10" s="1"/>
  <c r="S43" i="11"/>
  <c r="S85" i="11"/>
  <c r="F19" i="10" s="1"/>
  <c r="S19" i="10" s="1"/>
  <c r="K43" i="11"/>
  <c r="K85" i="11"/>
  <c r="F11" i="10" s="1"/>
  <c r="S11" i="10" s="1"/>
  <c r="I43" i="11"/>
  <c r="I85" i="11"/>
  <c r="F9" i="10" s="1"/>
  <c r="S9" i="10" s="1"/>
  <c r="G46" i="11"/>
  <c r="G92" i="11"/>
  <c r="G93" i="11" s="1"/>
  <c r="H90" i="11" s="1"/>
  <c r="H93" i="11" s="1"/>
  <c r="I90" i="11" s="1"/>
  <c r="T43" i="11"/>
  <c r="T85" i="11"/>
  <c r="F20" i="10" s="1"/>
  <c r="S20" i="10" s="1"/>
  <c r="R43" i="11"/>
  <c r="R85" i="11"/>
  <c r="F18" i="10" s="1"/>
  <c r="S18" i="10" s="1"/>
  <c r="P43" i="11"/>
  <c r="P85" i="11"/>
  <c r="F16" i="10" s="1"/>
  <c r="S16" i="10" s="1"/>
  <c r="N43" i="11"/>
  <c r="N85" i="11"/>
  <c r="F14" i="10" s="1"/>
  <c r="S14" i="10" s="1"/>
  <c r="G85" i="11"/>
  <c r="G43" i="11"/>
  <c r="X43" i="11"/>
  <c r="X85" i="11"/>
  <c r="F24" i="10" s="1"/>
  <c r="S24" i="10" s="1"/>
  <c r="J43" i="11"/>
  <c r="J85" i="11"/>
  <c r="F10" i="10" s="1"/>
  <c r="S10" i="10" s="1"/>
  <c r="U43" i="11"/>
  <c r="U85" i="11"/>
  <c r="F21" i="10" s="1"/>
  <c r="S21" i="10" s="1"/>
  <c r="Q43" i="11"/>
  <c r="Q85" i="11"/>
  <c r="F17" i="10" s="1"/>
  <c r="S17" i="10" s="1"/>
  <c r="O43" i="11"/>
  <c r="O85" i="11"/>
  <c r="F15" i="10" s="1"/>
  <c r="S15" i="10" s="1"/>
  <c r="M43" i="11"/>
  <c r="M85" i="11"/>
  <c r="F13" i="10" s="1"/>
  <c r="S13" i="10" s="1"/>
  <c r="W43" i="11"/>
  <c r="W85" i="11"/>
  <c r="F23" i="10" s="1"/>
  <c r="S23" i="10" s="1"/>
  <c r="I93" i="11" l="1"/>
  <c r="J90" i="11" s="1"/>
  <c r="J93" i="11" s="1"/>
  <c r="K90" i="11" s="1"/>
  <c r="K93" i="11" s="1"/>
  <c r="L90" i="11" s="1"/>
  <c r="L93" i="11" s="1"/>
  <c r="M90" i="11" s="1"/>
  <c r="M93" i="11" s="1"/>
  <c r="N90" i="11" s="1"/>
  <c r="N93" i="11" s="1"/>
  <c r="O90" i="11" s="1"/>
  <c r="O93" i="11" s="1"/>
  <c r="P90" i="11" s="1"/>
  <c r="P93" i="11" s="1"/>
  <c r="Q90" i="11" s="1"/>
  <c r="Q93" i="11" s="1"/>
  <c r="R90" i="11" s="1"/>
  <c r="R93" i="11" s="1"/>
  <c r="S90" i="11" s="1"/>
  <c r="S93" i="11" s="1"/>
  <c r="T90" i="11" s="1"/>
  <c r="T93" i="11" s="1"/>
  <c r="U90" i="11" s="1"/>
  <c r="U93" i="11" s="1"/>
  <c r="V90" i="11" s="1"/>
  <c r="V93" i="11" s="1"/>
  <c r="W90" i="11" s="1"/>
  <c r="W93" i="11" s="1"/>
  <c r="X90" i="11" s="1"/>
  <c r="X93" i="11" s="1"/>
  <c r="Y90" i="11" s="1"/>
  <c r="Y93" i="11" s="1"/>
  <c r="Z90" i="11" s="1"/>
  <c r="Z93" i="11" s="1"/>
  <c r="AA90" i="11" s="1"/>
  <c r="AA93" i="11" s="1"/>
  <c r="AB90" i="11" s="1"/>
  <c r="AB93" i="11" s="1"/>
  <c r="AC90" i="11" s="1"/>
  <c r="AC93" i="11" s="1"/>
  <c r="AD90" i="11" s="1"/>
  <c r="AD93" i="11" s="1"/>
  <c r="AE90" i="11" s="1"/>
  <c r="AE93" i="11" s="1"/>
  <c r="AF90" i="11" s="1"/>
  <c r="AF93" i="11" s="1"/>
  <c r="AG90" i="11" s="1"/>
  <c r="AG93" i="11" s="1"/>
  <c r="AH90" i="11" s="1"/>
  <c r="AH93" i="11" s="1"/>
  <c r="AI90" i="11" s="1"/>
  <c r="AI93" i="11" s="1"/>
  <c r="AJ90" i="11" s="1"/>
  <c r="AJ93" i="11" s="1"/>
  <c r="Q63" i="7"/>
  <c r="F7" i="10"/>
  <c r="S7" i="10" s="1"/>
  <c r="F193" i="11" l="1"/>
  <c r="G24" i="7"/>
  <c r="C109" i="12"/>
  <c r="C100" i="11" l="1"/>
  <c r="C102" i="11"/>
  <c r="C104" i="11"/>
  <c r="C106" i="11"/>
  <c r="C99" i="11"/>
  <c r="C101" i="11"/>
  <c r="C103" i="11"/>
  <c r="C105" i="11"/>
  <c r="C108" i="11"/>
  <c r="G26" i="7"/>
  <c r="C110" i="12"/>
  <c r="D110" i="12" s="1"/>
  <c r="N120" i="12"/>
  <c r="N121" i="12" s="1"/>
  <c r="F197" i="11"/>
  <c r="G192" i="11" s="1"/>
  <c r="Y193" i="11"/>
  <c r="Y200" i="11" s="1"/>
  <c r="Y47" i="11" s="1"/>
  <c r="G25" i="10" s="1"/>
  <c r="S25" i="10" s="1"/>
  <c r="H164" i="11" l="1"/>
  <c r="H166" i="11" s="1"/>
  <c r="G164" i="11"/>
  <c r="L164" i="11"/>
  <c r="L166" i="11" s="1"/>
  <c r="K164" i="11"/>
  <c r="K166" i="11" s="1"/>
  <c r="M164" i="11"/>
  <c r="M166" i="11" s="1"/>
  <c r="O164" i="11"/>
  <c r="O166" i="11" s="1"/>
  <c r="I164" i="11"/>
  <c r="I166" i="11" s="1"/>
  <c r="N164" i="11"/>
  <c r="N166" i="11" s="1"/>
  <c r="P164" i="11"/>
  <c r="P166" i="11" s="1"/>
  <c r="J164" i="11"/>
  <c r="J166" i="11" s="1"/>
  <c r="C110" i="11"/>
  <c r="D108" i="11" s="1"/>
  <c r="Q23" i="7"/>
  <c r="G163" i="11" s="1"/>
  <c r="G197" i="11"/>
  <c r="H192" i="11" s="1"/>
  <c r="C120" i="12"/>
  <c r="C121" i="12" s="1"/>
  <c r="D120" i="12"/>
  <c r="D121" i="12" s="1"/>
  <c r="F52" i="11"/>
  <c r="D25" i="9"/>
  <c r="D26" i="9" s="1"/>
  <c r="G27" i="7"/>
  <c r="G166" i="11" l="1"/>
  <c r="D106" i="11"/>
  <c r="D99" i="11"/>
  <c r="D100" i="11"/>
  <c r="D105" i="11"/>
  <c r="D103" i="11"/>
  <c r="D102" i="11"/>
  <c r="D101" i="11"/>
  <c r="G199" i="11"/>
  <c r="G22" i="11" s="1"/>
  <c r="G23" i="11" s="1"/>
  <c r="D7" i="10" s="1"/>
  <c r="D104" i="11"/>
  <c r="C112" i="11"/>
  <c r="H197" i="11"/>
  <c r="I192" i="11" s="1"/>
  <c r="C111" i="11"/>
  <c r="F54" i="11"/>
  <c r="G68" i="7"/>
  <c r="E101" i="11" l="1"/>
  <c r="J118" i="11" s="1"/>
  <c r="G39" i="11"/>
  <c r="G44" i="11" s="1"/>
  <c r="E104" i="11"/>
  <c r="G121" i="11" s="1"/>
  <c r="E103" i="11"/>
  <c r="H120" i="11" s="1"/>
  <c r="E108" i="11"/>
  <c r="E125" i="11" s="1"/>
  <c r="E107" i="11"/>
  <c r="G124" i="11" s="1"/>
  <c r="E100" i="11"/>
  <c r="N117" i="11" s="1"/>
  <c r="E99" i="11"/>
  <c r="H116" i="11" s="1"/>
  <c r="D110" i="11"/>
  <c r="D111" i="11" s="1"/>
  <c r="E106" i="11"/>
  <c r="G123" i="11" s="1"/>
  <c r="E102" i="11"/>
  <c r="N119" i="11" s="1"/>
  <c r="E105" i="11"/>
  <c r="I122" i="11" s="1"/>
  <c r="H199" i="11"/>
  <c r="H22" i="11" s="1"/>
  <c r="H23" i="11" s="1"/>
  <c r="D8" i="10" s="1"/>
  <c r="G70" i="7"/>
  <c r="F68" i="7" s="1"/>
  <c r="F67" i="11"/>
  <c r="I197" i="11"/>
  <c r="J192" i="11" s="1"/>
  <c r="H7" i="10"/>
  <c r="N121" i="11" l="1"/>
  <c r="G119" i="11"/>
  <c r="G41" i="11"/>
  <c r="P7" i="10" s="1"/>
  <c r="AD118" i="11"/>
  <c r="N118" i="11"/>
  <c r="R118" i="11"/>
  <c r="AF118" i="11"/>
  <c r="AJ118" i="11"/>
  <c r="V118" i="11"/>
  <c r="AI118" i="11"/>
  <c r="Z118" i="11"/>
  <c r="K118" i="11"/>
  <c r="H124" i="11"/>
  <c r="AG118" i="11"/>
  <c r="AE118" i="11"/>
  <c r="AA118" i="11"/>
  <c r="W118" i="11"/>
  <c r="S118" i="11"/>
  <c r="O118" i="11"/>
  <c r="L118" i="11"/>
  <c r="H118" i="11"/>
  <c r="AB118" i="11"/>
  <c r="X118" i="11"/>
  <c r="T118" i="11"/>
  <c r="P118" i="11"/>
  <c r="G118" i="11"/>
  <c r="I118" i="11"/>
  <c r="AH118" i="11"/>
  <c r="AC118" i="11"/>
  <c r="Y118" i="11"/>
  <c r="U118" i="11"/>
  <c r="Q118" i="11"/>
  <c r="M118" i="11"/>
  <c r="AB121" i="11"/>
  <c r="Y119" i="11"/>
  <c r="P117" i="11"/>
  <c r="AD117" i="11"/>
  <c r="H39" i="11"/>
  <c r="H41" i="11" s="1"/>
  <c r="J117" i="11"/>
  <c r="H121" i="11"/>
  <c r="T119" i="11"/>
  <c r="AG117" i="11"/>
  <c r="AH121" i="11"/>
  <c r="X119" i="11"/>
  <c r="Y117" i="11"/>
  <c r="AI121" i="11"/>
  <c r="K121" i="11"/>
  <c r="Q121" i="11"/>
  <c r="AJ119" i="11"/>
  <c r="I119" i="11"/>
  <c r="X117" i="11"/>
  <c r="Z117" i="11"/>
  <c r="T117" i="11"/>
  <c r="G117" i="11"/>
  <c r="V121" i="11"/>
  <c r="L121" i="11"/>
  <c r="R121" i="11"/>
  <c r="AG119" i="11"/>
  <c r="AC119" i="11"/>
  <c r="J119" i="11"/>
  <c r="P119" i="11"/>
  <c r="W117" i="11"/>
  <c r="S117" i="11"/>
  <c r="AE121" i="11"/>
  <c r="AB119" i="11"/>
  <c r="O119" i="11"/>
  <c r="AJ117" i="11"/>
  <c r="AC117" i="11"/>
  <c r="I117" i="11"/>
  <c r="O117" i="11"/>
  <c r="AF121" i="11"/>
  <c r="AA121" i="11"/>
  <c r="U121" i="11"/>
  <c r="M121" i="11"/>
  <c r="W119" i="11"/>
  <c r="V119" i="11"/>
  <c r="S119" i="11"/>
  <c r="AI117" i="11"/>
  <c r="AF117" i="11"/>
  <c r="AE117" i="11"/>
  <c r="AA117" i="11"/>
  <c r="K117" i="11"/>
  <c r="U117" i="11"/>
  <c r="Q117" i="11"/>
  <c r="M117" i="11"/>
  <c r="AJ121" i="11"/>
  <c r="W121" i="11"/>
  <c r="AC121" i="11"/>
  <c r="Y121" i="11"/>
  <c r="I121" i="11"/>
  <c r="S121" i="11"/>
  <c r="O121" i="11"/>
  <c r="AI119" i="11"/>
  <c r="AF119" i="11"/>
  <c r="AD119" i="11"/>
  <c r="Z119" i="11"/>
  <c r="K119" i="11"/>
  <c r="U119" i="11"/>
  <c r="Q119" i="11"/>
  <c r="M119" i="11"/>
  <c r="AH117" i="11"/>
  <c r="V117" i="11"/>
  <c r="AB117" i="11"/>
  <c r="L117" i="11"/>
  <c r="H117" i="11"/>
  <c r="R117" i="11"/>
  <c r="AG121" i="11"/>
  <c r="X121" i="11"/>
  <c r="AD121" i="11"/>
  <c r="Z121" i="11"/>
  <c r="J121" i="11"/>
  <c r="T121" i="11"/>
  <c r="P121" i="11"/>
  <c r="AH119" i="11"/>
  <c r="AE119" i="11"/>
  <c r="AA119" i="11"/>
  <c r="L119" i="11"/>
  <c r="H119" i="11"/>
  <c r="R119" i="11"/>
  <c r="AD120" i="11"/>
  <c r="AF123" i="11"/>
  <c r="G116" i="11"/>
  <c r="V120" i="11"/>
  <c r="U123" i="11"/>
  <c r="AB116" i="11"/>
  <c r="K120" i="11"/>
  <c r="Z123" i="11"/>
  <c r="M123" i="11"/>
  <c r="AI116" i="11"/>
  <c r="T116" i="11"/>
  <c r="AJ120" i="11"/>
  <c r="Z120" i="11"/>
  <c r="R120" i="11"/>
  <c r="AB124" i="11"/>
  <c r="AF116" i="11"/>
  <c r="X116" i="11"/>
  <c r="P116" i="11"/>
  <c r="I116" i="11"/>
  <c r="N120" i="11"/>
  <c r="AI124" i="11"/>
  <c r="T124" i="11"/>
  <c r="AF124" i="11"/>
  <c r="X124" i="11"/>
  <c r="P124" i="11"/>
  <c r="L124" i="11"/>
  <c r="AI123" i="11"/>
  <c r="AD123" i="11"/>
  <c r="K123" i="11"/>
  <c r="Q123" i="11"/>
  <c r="AJ116" i="11"/>
  <c r="AD116" i="11"/>
  <c r="Z116" i="11"/>
  <c r="V116" i="11"/>
  <c r="R116" i="11"/>
  <c r="N116" i="11"/>
  <c r="K116" i="11"/>
  <c r="AI120" i="11"/>
  <c r="AF120" i="11"/>
  <c r="AB120" i="11"/>
  <c r="X120" i="11"/>
  <c r="T120" i="11"/>
  <c r="P120" i="11"/>
  <c r="G120" i="11"/>
  <c r="I120" i="11"/>
  <c r="AJ124" i="11"/>
  <c r="AD124" i="11"/>
  <c r="Z124" i="11"/>
  <c r="V124" i="11"/>
  <c r="R124" i="11"/>
  <c r="N124" i="11"/>
  <c r="J124" i="11"/>
  <c r="AJ123" i="11"/>
  <c r="W123" i="11"/>
  <c r="AB123" i="11"/>
  <c r="V123" i="11"/>
  <c r="I123" i="11"/>
  <c r="S123" i="11"/>
  <c r="O123" i="11"/>
  <c r="AG116" i="11"/>
  <c r="AH116" i="11"/>
  <c r="AE116" i="11"/>
  <c r="AC116" i="11"/>
  <c r="AA116" i="11"/>
  <c r="Y116" i="11"/>
  <c r="W116" i="11"/>
  <c r="U116" i="11"/>
  <c r="S116" i="11"/>
  <c r="Q116" i="11"/>
  <c r="O116" i="11"/>
  <c r="M116" i="11"/>
  <c r="L116" i="11"/>
  <c r="J116" i="11"/>
  <c r="AG120" i="11"/>
  <c r="AH120" i="11"/>
  <c r="AE120" i="11"/>
  <c r="AC120" i="11"/>
  <c r="AA120" i="11"/>
  <c r="Y120" i="11"/>
  <c r="W120" i="11"/>
  <c r="U120" i="11"/>
  <c r="S120" i="11"/>
  <c r="Q120" i="11"/>
  <c r="O120" i="11"/>
  <c r="M120" i="11"/>
  <c r="L120" i="11"/>
  <c r="J120" i="11"/>
  <c r="AG124" i="11"/>
  <c r="AH124" i="11"/>
  <c r="AE124" i="11"/>
  <c r="AC124" i="11"/>
  <c r="AA124" i="11"/>
  <c r="Y124" i="11"/>
  <c r="W124" i="11"/>
  <c r="U124" i="11"/>
  <c r="S124" i="11"/>
  <c r="Q124" i="11"/>
  <c r="O124" i="11"/>
  <c r="M124" i="11"/>
  <c r="K124" i="11"/>
  <c r="I124" i="11"/>
  <c r="U122" i="11"/>
  <c r="AC122" i="11"/>
  <c r="M122" i="11"/>
  <c r="AH122" i="11"/>
  <c r="Y122" i="11"/>
  <c r="Q122" i="11"/>
  <c r="J122" i="11"/>
  <c r="AG122" i="11"/>
  <c r="AE122" i="11"/>
  <c r="AA122" i="11"/>
  <c r="W122" i="11"/>
  <c r="S122" i="11"/>
  <c r="O122" i="11"/>
  <c r="L122" i="11"/>
  <c r="H122" i="11"/>
  <c r="AG123" i="11"/>
  <c r="AH123" i="11"/>
  <c r="X123" i="11"/>
  <c r="AE123" i="11"/>
  <c r="AC123" i="11"/>
  <c r="AA123" i="11"/>
  <c r="Y123" i="11"/>
  <c r="L123" i="11"/>
  <c r="J123" i="11"/>
  <c r="H123" i="11"/>
  <c r="T123" i="11"/>
  <c r="R123" i="11"/>
  <c r="P123" i="11"/>
  <c r="N123" i="11"/>
  <c r="E110" i="11"/>
  <c r="E111" i="11" s="1"/>
  <c r="AI122" i="11"/>
  <c r="AJ122" i="11"/>
  <c r="AF122" i="11"/>
  <c r="AD122" i="11"/>
  <c r="AB122" i="11"/>
  <c r="Z122" i="11"/>
  <c r="X122" i="11"/>
  <c r="V122" i="11"/>
  <c r="T122" i="11"/>
  <c r="R122" i="11"/>
  <c r="P122" i="11"/>
  <c r="N122" i="11"/>
  <c r="G122" i="11"/>
  <c r="K122" i="11"/>
  <c r="J197" i="11"/>
  <c r="K192" i="11" s="1"/>
  <c r="M6" i="10"/>
  <c r="N6" i="10" s="1"/>
  <c r="F69" i="7"/>
  <c r="F67" i="7"/>
  <c r="G63" i="7" s="1"/>
  <c r="I199" i="11"/>
  <c r="I22" i="11" s="1"/>
  <c r="I23" i="11" s="1"/>
  <c r="G49" i="11"/>
  <c r="G53" i="11" s="1"/>
  <c r="G54" i="11" s="1"/>
  <c r="H8" i="10"/>
  <c r="E118" i="11" l="1"/>
  <c r="H44" i="11"/>
  <c r="H49" i="11" s="1"/>
  <c r="H53" i="11" s="1"/>
  <c r="H54" i="11" s="1"/>
  <c r="I136" i="11"/>
  <c r="I57" i="11" s="1"/>
  <c r="E119" i="11"/>
  <c r="E121" i="11"/>
  <c r="E117" i="11"/>
  <c r="G136" i="11"/>
  <c r="G138" i="11" s="1"/>
  <c r="U136" i="11"/>
  <c r="U57" i="11" s="1"/>
  <c r="E123" i="11"/>
  <c r="M136" i="11"/>
  <c r="M138" i="11" s="1"/>
  <c r="K136" i="11"/>
  <c r="K138" i="11" s="1"/>
  <c r="N136" i="11"/>
  <c r="N138" i="11" s="1"/>
  <c r="R136" i="11"/>
  <c r="R138" i="11" s="1"/>
  <c r="V136" i="11"/>
  <c r="V57" i="11" s="1"/>
  <c r="Z136" i="11"/>
  <c r="Z57" i="11" s="1"/>
  <c r="AD136" i="11"/>
  <c r="AD57" i="11" s="1"/>
  <c r="J136" i="11"/>
  <c r="J138" i="11" s="1"/>
  <c r="Y136" i="11"/>
  <c r="Y57" i="11" s="1"/>
  <c r="AC136" i="11"/>
  <c r="AC57" i="11" s="1"/>
  <c r="H136" i="11"/>
  <c r="H57" i="11" s="1"/>
  <c r="E124" i="11"/>
  <c r="E120" i="11"/>
  <c r="AA136" i="11"/>
  <c r="AA138" i="11" s="1"/>
  <c r="Q136" i="11"/>
  <c r="Q57" i="11" s="1"/>
  <c r="AB136" i="11"/>
  <c r="AB138" i="11" s="1"/>
  <c r="L136" i="11"/>
  <c r="L57" i="11" s="1"/>
  <c r="O136" i="11"/>
  <c r="O138" i="11" s="1"/>
  <c r="S136" i="11"/>
  <c r="S57" i="11" s="1"/>
  <c r="W136" i="11"/>
  <c r="W57" i="11" s="1"/>
  <c r="AE136" i="11"/>
  <c r="AE57" i="11" s="1"/>
  <c r="E116" i="11"/>
  <c r="P136" i="11"/>
  <c r="P138" i="11" s="1"/>
  <c r="T136" i="11"/>
  <c r="T138" i="11" s="1"/>
  <c r="X136" i="11"/>
  <c r="X138" i="11" s="1"/>
  <c r="E122" i="11"/>
  <c r="G55" i="11"/>
  <c r="P8" i="10"/>
  <c r="K197" i="11"/>
  <c r="L192" i="11" s="1"/>
  <c r="I39" i="11"/>
  <c r="D9" i="10"/>
  <c r="J199" i="11"/>
  <c r="J22" i="11" s="1"/>
  <c r="J23" i="11" s="1"/>
  <c r="Q138" i="11" l="1"/>
  <c r="J57" i="11"/>
  <c r="H58" i="11"/>
  <c r="I138" i="11"/>
  <c r="X57" i="11"/>
  <c r="M57" i="11"/>
  <c r="G57" i="11"/>
  <c r="G58" i="11" s="1"/>
  <c r="G143" i="11" s="1"/>
  <c r="U138" i="11"/>
  <c r="AC138" i="11"/>
  <c r="R57" i="11"/>
  <c r="Z138" i="11"/>
  <c r="K57" i="11"/>
  <c r="V138" i="11"/>
  <c r="AA57" i="11"/>
  <c r="E126" i="11"/>
  <c r="F126" i="11" s="1"/>
  <c r="Y138" i="11"/>
  <c r="H138" i="11"/>
  <c r="N57" i="11"/>
  <c r="L138" i="11"/>
  <c r="AD138" i="11"/>
  <c r="P57" i="11"/>
  <c r="AE138" i="11"/>
  <c r="S138" i="11"/>
  <c r="T57" i="11"/>
  <c r="W138" i="11"/>
  <c r="O57" i="11"/>
  <c r="AB57" i="11"/>
  <c r="K199" i="11"/>
  <c r="K22" i="11" s="1"/>
  <c r="K23" i="11" s="1"/>
  <c r="K39" i="11" s="1"/>
  <c r="I44" i="11"/>
  <c r="I41" i="11"/>
  <c r="L197" i="11"/>
  <c r="M192" i="11" s="1"/>
  <c r="H55" i="11"/>
  <c r="J39" i="11"/>
  <c r="D10" i="10"/>
  <c r="H9" i="10"/>
  <c r="D11" i="10" l="1"/>
  <c r="H11" i="10" s="1"/>
  <c r="H143" i="11"/>
  <c r="H147" i="11" s="1"/>
  <c r="L199" i="11"/>
  <c r="L22" i="11" s="1"/>
  <c r="L23" i="11" s="1"/>
  <c r="L39" i="11" s="1"/>
  <c r="K44" i="11"/>
  <c r="K41" i="11"/>
  <c r="J44" i="11"/>
  <c r="J41" i="11"/>
  <c r="H10" i="10"/>
  <c r="M197" i="11"/>
  <c r="N192" i="11" s="1"/>
  <c r="P9" i="10"/>
  <c r="G156" i="11"/>
  <c r="G147" i="11"/>
  <c r="G155" i="11"/>
  <c r="G148" i="11"/>
  <c r="I58" i="11"/>
  <c r="I49" i="11"/>
  <c r="I53" i="11" s="1"/>
  <c r="I54" i="11" s="1"/>
  <c r="H155" i="11" l="1"/>
  <c r="D12" i="10"/>
  <c r="H12" i="10" s="1"/>
  <c r="G157" i="11"/>
  <c r="H154" i="11" s="1"/>
  <c r="G151" i="11"/>
  <c r="G60" i="11" s="1"/>
  <c r="I7" i="10" s="1"/>
  <c r="G159" i="11"/>
  <c r="G61" i="11" s="1"/>
  <c r="G64" i="11" s="1"/>
  <c r="G149" i="11"/>
  <c r="H146" i="11" s="1"/>
  <c r="J58" i="11"/>
  <c r="J49" i="11"/>
  <c r="J53" i="11" s="1"/>
  <c r="J54" i="11" s="1"/>
  <c r="J55" i="11" s="1"/>
  <c r="K58" i="11"/>
  <c r="K49" i="11"/>
  <c r="K53" i="11" s="1"/>
  <c r="K54" i="11" s="1"/>
  <c r="M199" i="11"/>
  <c r="M22" i="11" s="1"/>
  <c r="M23" i="11" s="1"/>
  <c r="I55" i="11"/>
  <c r="I143" i="11"/>
  <c r="L44" i="11"/>
  <c r="L41" i="11"/>
  <c r="N197" i="11"/>
  <c r="O192" i="11" s="1"/>
  <c r="P10" i="10"/>
  <c r="P11" i="10"/>
  <c r="G183" i="11" l="1"/>
  <c r="J7" i="10"/>
  <c r="G63" i="11"/>
  <c r="G169" i="11" s="1"/>
  <c r="H156" i="11"/>
  <c r="H157" i="11" s="1"/>
  <c r="I154" i="11" s="1"/>
  <c r="H148" i="11"/>
  <c r="H151" i="11" s="1"/>
  <c r="H60" i="11" s="1"/>
  <c r="K55" i="11"/>
  <c r="O197" i="11"/>
  <c r="P192" i="11" s="1"/>
  <c r="P12" i="10"/>
  <c r="I147" i="11"/>
  <c r="I155" i="11"/>
  <c r="K143" i="11"/>
  <c r="J143" i="11"/>
  <c r="L58" i="11"/>
  <c r="L49" i="11"/>
  <c r="L53" i="11" s="1"/>
  <c r="L54" i="11" s="1"/>
  <c r="M39" i="11"/>
  <c r="D13" i="10"/>
  <c r="N199" i="11"/>
  <c r="N22" i="11" s="1"/>
  <c r="N23" i="11" s="1"/>
  <c r="G187" i="11" l="1"/>
  <c r="G66" i="11" s="1"/>
  <c r="L7" i="10" s="1"/>
  <c r="G186" i="11"/>
  <c r="I8" i="10"/>
  <c r="G172" i="11"/>
  <c r="G173" i="11"/>
  <c r="G65" i="11" s="1"/>
  <c r="H149" i="11"/>
  <c r="I146" i="11" s="1"/>
  <c r="H159" i="11"/>
  <c r="H61" i="11" s="1"/>
  <c r="H13" i="10"/>
  <c r="L55" i="11"/>
  <c r="J147" i="11"/>
  <c r="J155" i="11"/>
  <c r="P197" i="11"/>
  <c r="Q192" i="11" s="1"/>
  <c r="N39" i="11"/>
  <c r="D14" i="10"/>
  <c r="M44" i="11"/>
  <c r="M41" i="11"/>
  <c r="L143" i="11"/>
  <c r="K147" i="11"/>
  <c r="K155" i="11"/>
  <c r="O199" i="11"/>
  <c r="O22" i="11" s="1"/>
  <c r="O23" i="11" s="1"/>
  <c r="G188" i="11" l="1"/>
  <c r="H185" i="11" s="1"/>
  <c r="H64" i="11"/>
  <c r="J8" i="10"/>
  <c r="G67" i="11"/>
  <c r="K7" i="10"/>
  <c r="G174" i="11"/>
  <c r="I148" i="11"/>
  <c r="I151" i="11" s="1"/>
  <c r="I60" i="11" s="1"/>
  <c r="I156" i="11"/>
  <c r="I157" i="11" s="1"/>
  <c r="J154" i="11" s="1"/>
  <c r="P199" i="11"/>
  <c r="P22" i="11" s="1"/>
  <c r="P23" i="11" s="1"/>
  <c r="P39" i="11" s="1"/>
  <c r="L147" i="11"/>
  <c r="L155" i="11"/>
  <c r="M58" i="11"/>
  <c r="M49" i="11"/>
  <c r="M53" i="11" s="1"/>
  <c r="M54" i="11" s="1"/>
  <c r="N44" i="11"/>
  <c r="N41" i="11"/>
  <c r="O39" i="11"/>
  <c r="D15" i="10"/>
  <c r="P13" i="10"/>
  <c r="H14" i="10"/>
  <c r="Q197" i="11"/>
  <c r="R192" i="11" s="1"/>
  <c r="G68" i="11" l="1"/>
  <c r="O7" i="10" s="1"/>
  <c r="H183" i="11"/>
  <c r="H63" i="11"/>
  <c r="H169" i="11" s="1"/>
  <c r="H172" i="11" s="1"/>
  <c r="I9" i="10"/>
  <c r="H171" i="11"/>
  <c r="M7" i="10"/>
  <c r="N7" i="10" s="1"/>
  <c r="R7" i="10"/>
  <c r="I149" i="11"/>
  <c r="I159" i="11"/>
  <c r="I61" i="11" s="1"/>
  <c r="D16" i="10"/>
  <c r="H16" i="10" s="1"/>
  <c r="R197" i="11"/>
  <c r="S192" i="11" s="1"/>
  <c r="H15" i="10"/>
  <c r="P14" i="10"/>
  <c r="M55" i="11"/>
  <c r="O44" i="11"/>
  <c r="O41" i="11"/>
  <c r="P44" i="11"/>
  <c r="P41" i="11"/>
  <c r="N58" i="11"/>
  <c r="N49" i="11"/>
  <c r="N53" i="11" s="1"/>
  <c r="N54" i="11" s="1"/>
  <c r="M143" i="11"/>
  <c r="Q199" i="11"/>
  <c r="Q22" i="11" s="1"/>
  <c r="Q23" i="11" s="1"/>
  <c r="H173" i="11" l="1"/>
  <c r="H65" i="11" s="1"/>
  <c r="K8" i="10" s="1"/>
  <c r="I64" i="11"/>
  <c r="J9" i="10"/>
  <c r="H187" i="11"/>
  <c r="H66" i="11" s="1"/>
  <c r="L8" i="10" s="1"/>
  <c r="H186" i="11"/>
  <c r="J146" i="11"/>
  <c r="J148" i="11"/>
  <c r="J156" i="11"/>
  <c r="J159" i="11" s="1"/>
  <c r="J61" i="11" s="1"/>
  <c r="N55" i="11"/>
  <c r="P16" i="10"/>
  <c r="P15" i="10"/>
  <c r="S197" i="11"/>
  <c r="T192" i="11" s="1"/>
  <c r="Q39" i="11"/>
  <c r="D17" i="10"/>
  <c r="M155" i="11"/>
  <c r="M147" i="11"/>
  <c r="N143" i="11"/>
  <c r="P58" i="11"/>
  <c r="P49" i="11"/>
  <c r="P53" i="11" s="1"/>
  <c r="P54" i="11" s="1"/>
  <c r="O58" i="11"/>
  <c r="O49" i="11"/>
  <c r="O53" i="11" s="1"/>
  <c r="O54" i="11" s="1"/>
  <c r="R199" i="11"/>
  <c r="R22" i="11" s="1"/>
  <c r="R23" i="11" s="1"/>
  <c r="H174" i="11" l="1"/>
  <c r="I171" i="11" s="1"/>
  <c r="H188" i="11"/>
  <c r="I185" i="11" s="1"/>
  <c r="J10" i="10"/>
  <c r="J64" i="11"/>
  <c r="H67" i="11"/>
  <c r="I183" i="11"/>
  <c r="I63" i="11"/>
  <c r="M8" i="10"/>
  <c r="N8" i="10" s="1"/>
  <c r="R8" i="10"/>
  <c r="J149" i="11"/>
  <c r="J151" i="11"/>
  <c r="J60" i="11" s="1"/>
  <c r="J157" i="11"/>
  <c r="K154" i="11" s="1"/>
  <c r="S199" i="11"/>
  <c r="S22" i="11" s="1"/>
  <c r="S23" i="11" s="1"/>
  <c r="S39" i="11" s="1"/>
  <c r="O55" i="11"/>
  <c r="P55" i="11"/>
  <c r="N155" i="11"/>
  <c r="N147" i="11"/>
  <c r="Q44" i="11"/>
  <c r="Q41" i="11"/>
  <c r="R39" i="11"/>
  <c r="D18" i="10"/>
  <c r="O143" i="11"/>
  <c r="P143" i="11"/>
  <c r="H17" i="10"/>
  <c r="T197" i="11"/>
  <c r="U192" i="11" s="1"/>
  <c r="H68" i="11" l="1"/>
  <c r="O8" i="10" s="1"/>
  <c r="I169" i="11"/>
  <c r="I186" i="11"/>
  <c r="I187" i="11"/>
  <c r="I66" i="11" s="1"/>
  <c r="L9" i="10" s="1"/>
  <c r="J183" i="11"/>
  <c r="I10" i="10"/>
  <c r="J63" i="11"/>
  <c r="K156" i="11"/>
  <c r="K159" i="11" s="1"/>
  <c r="K61" i="11" s="1"/>
  <c r="K146" i="11"/>
  <c r="K148" i="11"/>
  <c r="K151" i="11" s="1"/>
  <c r="K60" i="11" s="1"/>
  <c r="D19" i="10"/>
  <c r="H19" i="10" s="1"/>
  <c r="U197" i="11"/>
  <c r="V192" i="11" s="1"/>
  <c r="P155" i="11"/>
  <c r="P147" i="11"/>
  <c r="H18" i="10"/>
  <c r="P17" i="10"/>
  <c r="O155" i="11"/>
  <c r="O147" i="11"/>
  <c r="R44" i="11"/>
  <c r="R41" i="11"/>
  <c r="S44" i="11"/>
  <c r="S41" i="11"/>
  <c r="Q58" i="11"/>
  <c r="Q49" i="11"/>
  <c r="Q53" i="11" s="1"/>
  <c r="Q54" i="11" s="1"/>
  <c r="T199" i="11"/>
  <c r="T22" i="11" s="1"/>
  <c r="T23" i="11" s="1"/>
  <c r="I188" i="11" l="1"/>
  <c r="J185" i="11" s="1"/>
  <c r="J187" i="11"/>
  <c r="J66" i="11" s="1"/>
  <c r="L10" i="10" s="1"/>
  <c r="J186" i="11"/>
  <c r="K64" i="11"/>
  <c r="K63" i="11" s="1"/>
  <c r="J11" i="10"/>
  <c r="I172" i="11"/>
  <c r="I173" i="11"/>
  <c r="I65" i="11" s="1"/>
  <c r="I11" i="10"/>
  <c r="J169" i="11"/>
  <c r="K149" i="11"/>
  <c r="L146" i="11" s="1"/>
  <c r="K157" i="11"/>
  <c r="L154" i="11" s="1"/>
  <c r="Q55" i="11"/>
  <c r="P19" i="10"/>
  <c r="T39" i="11"/>
  <c r="D20" i="10"/>
  <c r="Q143" i="11"/>
  <c r="S58" i="11"/>
  <c r="S49" i="11"/>
  <c r="S53" i="11" s="1"/>
  <c r="S54" i="11" s="1"/>
  <c r="R58" i="11"/>
  <c r="R49" i="11"/>
  <c r="R53" i="11" s="1"/>
  <c r="R54" i="11" s="1"/>
  <c r="U199" i="11"/>
  <c r="U22" i="11" s="1"/>
  <c r="U23" i="11" s="1"/>
  <c r="P18" i="10"/>
  <c r="V197" i="11"/>
  <c r="W192" i="11" s="1"/>
  <c r="J188" i="11" l="1"/>
  <c r="K185" i="11" s="1"/>
  <c r="I174" i="11"/>
  <c r="J171" i="11" s="1"/>
  <c r="I67" i="11"/>
  <c r="K9" i="10"/>
  <c r="K183" i="11"/>
  <c r="J172" i="11"/>
  <c r="J173" i="11"/>
  <c r="J65" i="11" s="1"/>
  <c r="K169" i="11"/>
  <c r="L156" i="11"/>
  <c r="L159" i="11" s="1"/>
  <c r="L61" i="11" s="1"/>
  <c r="L148" i="11"/>
  <c r="L151" i="11" s="1"/>
  <c r="L60" i="11" s="1"/>
  <c r="U39" i="11"/>
  <c r="D21" i="10"/>
  <c r="R55" i="11"/>
  <c r="S55" i="11"/>
  <c r="Q155" i="11"/>
  <c r="Q147" i="11"/>
  <c r="T44" i="11"/>
  <c r="T41" i="11"/>
  <c r="V199" i="11"/>
  <c r="V22" i="11" s="1"/>
  <c r="V23" i="11" s="1"/>
  <c r="W197" i="11"/>
  <c r="X192" i="11" s="1"/>
  <c r="R143" i="11"/>
  <c r="S143" i="11"/>
  <c r="H20" i="10"/>
  <c r="I68" i="11" l="1"/>
  <c r="O9" i="10" s="1"/>
  <c r="L64" i="11"/>
  <c r="L63" i="11" s="1"/>
  <c r="J12" i="10"/>
  <c r="K187" i="11"/>
  <c r="K66" i="11" s="1"/>
  <c r="L11" i="10" s="1"/>
  <c r="K186" i="11"/>
  <c r="M9" i="10"/>
  <c r="N9" i="10" s="1"/>
  <c r="R9" i="10"/>
  <c r="I12" i="10"/>
  <c r="K172" i="11"/>
  <c r="J67" i="11"/>
  <c r="J68" i="11" s="1"/>
  <c r="O10" i="10" s="1"/>
  <c r="K10" i="10"/>
  <c r="J174" i="11"/>
  <c r="K171" i="11" s="1"/>
  <c r="L149" i="11"/>
  <c r="M146" i="11" s="1"/>
  <c r="L157" i="11"/>
  <c r="M154" i="11" s="1"/>
  <c r="W199" i="11"/>
  <c r="W22" i="11" s="1"/>
  <c r="W23" i="11" s="1"/>
  <c r="D23" i="10" s="1"/>
  <c r="R155" i="11"/>
  <c r="R147" i="11"/>
  <c r="P20" i="10"/>
  <c r="S155" i="11"/>
  <c r="S147" i="11"/>
  <c r="X197" i="11"/>
  <c r="Y192" i="11" s="1"/>
  <c r="V39" i="11"/>
  <c r="D22" i="10"/>
  <c r="T58" i="11"/>
  <c r="T49" i="11"/>
  <c r="T53" i="11" s="1"/>
  <c r="T54" i="11" s="1"/>
  <c r="U44" i="11"/>
  <c r="U41" i="11"/>
  <c r="H21" i="10"/>
  <c r="K188" i="11" l="1"/>
  <c r="L185" i="11" s="1"/>
  <c r="L183" i="11"/>
  <c r="K173" i="11"/>
  <c r="K65" i="11" s="1"/>
  <c r="K67" i="11" s="1"/>
  <c r="K68" i="11" s="1"/>
  <c r="O11" i="10" s="1"/>
  <c r="M10" i="10"/>
  <c r="N10" i="10" s="1"/>
  <c r="R10" i="10"/>
  <c r="L169" i="11"/>
  <c r="M156" i="11"/>
  <c r="M157" i="11" s="1"/>
  <c r="N154" i="11" s="1"/>
  <c r="M148" i="11"/>
  <c r="M151" i="11" s="1"/>
  <c r="M60" i="11" s="1"/>
  <c r="W39" i="11"/>
  <c r="W41" i="11" s="1"/>
  <c r="X199" i="11"/>
  <c r="X22" i="11" s="1"/>
  <c r="X23" i="11" s="1"/>
  <c r="D24" i="10" s="1"/>
  <c r="P21" i="10"/>
  <c r="T55" i="11"/>
  <c r="H22" i="10"/>
  <c r="H23" i="10"/>
  <c r="U58" i="11"/>
  <c r="U49" i="11"/>
  <c r="U53" i="11" s="1"/>
  <c r="U54" i="11" s="1"/>
  <c r="T143" i="11"/>
  <c r="V44" i="11"/>
  <c r="V41" i="11"/>
  <c r="Y197" i="11"/>
  <c r="Z192" i="11" s="1"/>
  <c r="K11" i="10" l="1"/>
  <c r="R11" i="10" s="1"/>
  <c r="L187" i="11"/>
  <c r="L66" i="11" s="1"/>
  <c r="L12" i="10" s="1"/>
  <c r="L186" i="11"/>
  <c r="K174" i="11"/>
  <c r="L171" i="11" s="1"/>
  <c r="I13" i="10"/>
  <c r="L172" i="11"/>
  <c r="L173" i="11"/>
  <c r="L65" i="11" s="1"/>
  <c r="M159" i="11"/>
  <c r="M61" i="11" s="1"/>
  <c r="M149" i="11"/>
  <c r="N156" i="11" s="1"/>
  <c r="X39" i="11"/>
  <c r="X44" i="11" s="1"/>
  <c r="W44" i="11"/>
  <c r="W49" i="11" s="1"/>
  <c r="W53" i="11" s="1"/>
  <c r="W54" i="11" s="1"/>
  <c r="P23" i="10"/>
  <c r="Z197" i="11"/>
  <c r="AA192" i="11" s="1"/>
  <c r="P22" i="10"/>
  <c r="T155" i="11"/>
  <c r="T147" i="11"/>
  <c r="U143" i="11"/>
  <c r="H24" i="10"/>
  <c r="V58" i="11"/>
  <c r="V49" i="11"/>
  <c r="V53" i="11" s="1"/>
  <c r="V54" i="11" s="1"/>
  <c r="U55" i="11"/>
  <c r="Y199" i="11"/>
  <c r="Y22" i="11" s="1"/>
  <c r="Y23" i="11" s="1"/>
  <c r="L188" i="11" l="1"/>
  <c r="M185" i="11" s="1"/>
  <c r="M11" i="10"/>
  <c r="N11" i="10" s="1"/>
  <c r="M64" i="11"/>
  <c r="J13" i="10"/>
  <c r="K12" i="10"/>
  <c r="L67" i="11"/>
  <c r="L174" i="11"/>
  <c r="M171" i="11" s="1"/>
  <c r="N146" i="11"/>
  <c r="N148" i="11"/>
  <c r="N151" i="11" s="1"/>
  <c r="N60" i="11" s="1"/>
  <c r="N157" i="11"/>
  <c r="O154" i="11" s="1"/>
  <c r="N159" i="11"/>
  <c r="N61" i="11" s="1"/>
  <c r="W58" i="11"/>
  <c r="X41" i="11"/>
  <c r="F41" i="11" s="1"/>
  <c r="X42" i="11" s="1"/>
  <c r="V55" i="11"/>
  <c r="W55" i="11"/>
  <c r="Y39" i="11"/>
  <c r="Y44" i="11" s="1"/>
  <c r="D25" i="10"/>
  <c r="X58" i="11"/>
  <c r="X49" i="11"/>
  <c r="X53" i="11" s="1"/>
  <c r="X54" i="11" s="1"/>
  <c r="V143" i="11"/>
  <c r="AA197" i="11"/>
  <c r="AB192" i="11" s="1"/>
  <c r="U155" i="11"/>
  <c r="U147" i="11"/>
  <c r="Z199" i="11"/>
  <c r="Z22" i="11" s="1"/>
  <c r="Z23" i="11" s="1"/>
  <c r="N64" i="11" l="1"/>
  <c r="N63" i="11" s="1"/>
  <c r="J14" i="10"/>
  <c r="M183" i="11"/>
  <c r="M63" i="11"/>
  <c r="M169" i="11" s="1"/>
  <c r="M172" i="11" s="1"/>
  <c r="I14" i="10"/>
  <c r="L68" i="11"/>
  <c r="O12" i="10" s="1"/>
  <c r="M12" i="10"/>
  <c r="N12" i="10" s="1"/>
  <c r="R12" i="10"/>
  <c r="N149" i="11"/>
  <c r="O156" i="11" s="1"/>
  <c r="O159" i="11" s="1"/>
  <c r="O61" i="11" s="1"/>
  <c r="W143" i="11"/>
  <c r="W155" i="11" s="1"/>
  <c r="P24" i="10"/>
  <c r="E41" i="11"/>
  <c r="G59" i="7" s="1"/>
  <c r="G60" i="7" s="1"/>
  <c r="X55" i="11"/>
  <c r="H25" i="10"/>
  <c r="Z42" i="11"/>
  <c r="AB42" i="11"/>
  <c r="AD42" i="11"/>
  <c r="AF42" i="11"/>
  <c r="AH42" i="11"/>
  <c r="AJ42" i="11"/>
  <c r="Y42" i="11"/>
  <c r="AA42" i="11"/>
  <c r="AC42" i="11"/>
  <c r="AE42" i="11"/>
  <c r="AG42" i="11"/>
  <c r="AI42" i="11"/>
  <c r="G56" i="7"/>
  <c r="G57" i="7" s="1"/>
  <c r="G42" i="11"/>
  <c r="H42" i="11"/>
  <c r="I42" i="11"/>
  <c r="J42" i="11"/>
  <c r="K42" i="11"/>
  <c r="L42" i="11"/>
  <c r="M42" i="11"/>
  <c r="N42" i="11"/>
  <c r="P42" i="11"/>
  <c r="O42" i="11"/>
  <c r="Q42" i="11"/>
  <c r="S42" i="11"/>
  <c r="R42" i="11"/>
  <c r="T42" i="11"/>
  <c r="U42" i="11"/>
  <c r="W42" i="11"/>
  <c r="V42" i="11"/>
  <c r="AB197" i="11"/>
  <c r="AC192" i="11" s="1"/>
  <c r="Z39" i="11"/>
  <c r="Z44" i="11" s="1"/>
  <c r="D26" i="10"/>
  <c r="V155" i="11"/>
  <c r="V147" i="11"/>
  <c r="X143" i="11"/>
  <c r="Y58" i="11"/>
  <c r="Y49" i="11"/>
  <c r="Y53" i="11" s="1"/>
  <c r="Y54" i="11" s="1"/>
  <c r="AA199" i="11"/>
  <c r="AA22" i="11" s="1"/>
  <c r="AA23" i="11" s="1"/>
  <c r="D11" i="9" l="1"/>
  <c r="D10" i="9"/>
  <c r="M173" i="11"/>
  <c r="M65" i="11" s="1"/>
  <c r="K13" i="10" s="1"/>
  <c r="J15" i="10"/>
  <c r="O64" i="11"/>
  <c r="M187" i="11"/>
  <c r="M66" i="11" s="1"/>
  <c r="L13" i="10" s="1"/>
  <c r="M186" i="11"/>
  <c r="N183" i="11"/>
  <c r="N169" i="11"/>
  <c r="O148" i="11"/>
  <c r="O151" i="11" s="1"/>
  <c r="O60" i="11" s="1"/>
  <c r="O146" i="11"/>
  <c r="O157" i="11"/>
  <c r="P154" i="11" s="1"/>
  <c r="W147" i="11"/>
  <c r="AB199" i="11"/>
  <c r="AB22" i="11" s="1"/>
  <c r="AB23" i="11" s="1"/>
  <c r="D28" i="10" s="1"/>
  <c r="Z58" i="11"/>
  <c r="Z49" i="11"/>
  <c r="Z53" i="11" s="1"/>
  <c r="Z54" i="11" s="1"/>
  <c r="F56" i="7"/>
  <c r="Y55" i="11"/>
  <c r="X147" i="11"/>
  <c r="X155" i="11"/>
  <c r="AA39" i="11"/>
  <c r="AA44" i="11" s="1"/>
  <c r="D27" i="10"/>
  <c r="Y143" i="11"/>
  <c r="H26" i="10"/>
  <c r="AC197" i="11"/>
  <c r="AD192" i="11" s="1"/>
  <c r="M188" i="11" l="1"/>
  <c r="N185" i="11" s="1"/>
  <c r="M67" i="11"/>
  <c r="M68" i="11" s="1"/>
  <c r="O13" i="10" s="1"/>
  <c r="M174" i="11"/>
  <c r="N171" i="11" s="1"/>
  <c r="N186" i="11"/>
  <c r="O183" i="11"/>
  <c r="R13" i="10"/>
  <c r="M13" i="10"/>
  <c r="N13" i="10" s="1"/>
  <c r="I15" i="10"/>
  <c r="O63" i="11"/>
  <c r="N172" i="11"/>
  <c r="N173" i="11"/>
  <c r="N65" i="11" s="1"/>
  <c r="O149" i="11"/>
  <c r="P146" i="11" s="1"/>
  <c r="AB39" i="11"/>
  <c r="AB44" i="11" s="1"/>
  <c r="AB49" i="11" s="1"/>
  <c r="AB53" i="11" s="1"/>
  <c r="AB54" i="11" s="1"/>
  <c r="AC199" i="11"/>
  <c r="AC22" i="11" s="1"/>
  <c r="AC23" i="11" s="1"/>
  <c r="D29" i="10" s="1"/>
  <c r="Z143" i="11"/>
  <c r="Y155" i="11"/>
  <c r="Y147" i="11"/>
  <c r="H27" i="10"/>
  <c r="AD197" i="11"/>
  <c r="AE192" i="11" s="1"/>
  <c r="AA58" i="11"/>
  <c r="AA49" i="11"/>
  <c r="AA53" i="11" s="1"/>
  <c r="AA54" i="11" s="1"/>
  <c r="H28" i="10"/>
  <c r="Z55" i="11"/>
  <c r="N187" i="11" l="1"/>
  <c r="N66" i="11" s="1"/>
  <c r="L14" i="10" s="1"/>
  <c r="O186" i="11"/>
  <c r="K14" i="10"/>
  <c r="N174" i="11"/>
  <c r="O171" i="11" s="1"/>
  <c r="O169" i="11"/>
  <c r="P156" i="11"/>
  <c r="P159" i="11" s="1"/>
  <c r="P61" i="11" s="1"/>
  <c r="P148" i="11"/>
  <c r="P151" i="11" s="1"/>
  <c r="P60" i="11" s="1"/>
  <c r="AB58" i="11"/>
  <c r="AC39" i="11"/>
  <c r="AC44" i="11" s="1"/>
  <c r="AC58" i="11" s="1"/>
  <c r="AD199" i="11"/>
  <c r="AD22" i="11" s="1"/>
  <c r="AD23" i="11" s="1"/>
  <c r="AD39" i="11" s="1"/>
  <c r="AD44" i="11" s="1"/>
  <c r="AA143" i="11"/>
  <c r="Z155" i="11"/>
  <c r="Z147" i="11"/>
  <c r="AB55" i="11"/>
  <c r="AA55" i="11"/>
  <c r="AE197" i="11"/>
  <c r="AF192" i="11" s="1"/>
  <c r="AF199" i="11" s="1"/>
  <c r="AF22" i="11" s="1"/>
  <c r="AF23" i="11" s="1"/>
  <c r="AF39" i="11" s="1"/>
  <c r="AF44" i="11" s="1"/>
  <c r="H29" i="10"/>
  <c r="N67" i="11" l="1"/>
  <c r="N68" i="11" s="1"/>
  <c r="O14" i="10" s="1"/>
  <c r="N188" i="11"/>
  <c r="O185" i="11" s="1"/>
  <c r="P64" i="11"/>
  <c r="P63" i="11" s="1"/>
  <c r="J16" i="10"/>
  <c r="I16" i="10"/>
  <c r="O172" i="11"/>
  <c r="O173" i="11"/>
  <c r="O65" i="11" s="1"/>
  <c r="R14" i="10"/>
  <c r="M14" i="10"/>
  <c r="N14" i="10" s="1"/>
  <c r="P157" i="11"/>
  <c r="Q154" i="11" s="1"/>
  <c r="P149" i="11"/>
  <c r="AC49" i="11"/>
  <c r="AC53" i="11" s="1"/>
  <c r="AC54" i="11" s="1"/>
  <c r="AC55" i="11" s="1"/>
  <c r="AB143" i="11"/>
  <c r="AB155" i="11" s="1"/>
  <c r="D30" i="10"/>
  <c r="H30" i="10" s="1"/>
  <c r="AF58" i="11"/>
  <c r="AF49" i="11"/>
  <c r="AF53" i="11" s="1"/>
  <c r="AF54" i="11" s="1"/>
  <c r="AC143" i="11"/>
  <c r="AD58" i="11"/>
  <c r="AD49" i="11"/>
  <c r="AD53" i="11" s="1"/>
  <c r="AD54" i="11" s="1"/>
  <c r="AA155" i="11"/>
  <c r="AA147" i="11"/>
  <c r="AE199" i="11"/>
  <c r="AE22" i="11" s="1"/>
  <c r="AE23" i="11" s="1"/>
  <c r="O187" i="11" l="1"/>
  <c r="O66" i="11" s="1"/>
  <c r="L15" i="10" s="1"/>
  <c r="P183" i="11"/>
  <c r="O174" i="11"/>
  <c r="P171" i="11" s="1"/>
  <c r="K15" i="10"/>
  <c r="P169" i="11"/>
  <c r="Q148" i="11"/>
  <c r="Q151" i="11" s="1"/>
  <c r="Q60" i="11" s="1"/>
  <c r="Q146" i="11"/>
  <c r="Q156" i="11"/>
  <c r="AB147" i="11"/>
  <c r="AD143" i="11"/>
  <c r="AE39" i="11"/>
  <c r="AE44" i="11" s="1"/>
  <c r="D31" i="10"/>
  <c r="AD55" i="11"/>
  <c r="AC155" i="11"/>
  <c r="AC147" i="11"/>
  <c r="AF143" i="11"/>
  <c r="O67" i="11" l="1"/>
  <c r="O68" i="11" s="1"/>
  <c r="O15" i="10" s="1"/>
  <c r="O188" i="11"/>
  <c r="P185" i="11" s="1"/>
  <c r="P186" i="11"/>
  <c r="I17" i="10"/>
  <c r="P172" i="11"/>
  <c r="P173" i="11"/>
  <c r="P65" i="11" s="1"/>
  <c r="R15" i="10"/>
  <c r="M15" i="10"/>
  <c r="N15" i="10" s="1"/>
  <c r="Q149" i="11"/>
  <c r="Q159" i="11"/>
  <c r="Q61" i="11" s="1"/>
  <c r="Q157" i="11"/>
  <c r="R154" i="11" s="1"/>
  <c r="H31" i="10"/>
  <c r="AF155" i="11"/>
  <c r="AF147" i="11"/>
  <c r="AE58" i="11"/>
  <c r="AE49" i="11"/>
  <c r="AE53" i="11" s="1"/>
  <c r="AE54" i="11" s="1"/>
  <c r="AD155" i="11"/>
  <c r="AD147" i="11"/>
  <c r="P187" i="11" l="1"/>
  <c r="P66" i="11" s="1"/>
  <c r="L16" i="10" s="1"/>
  <c r="J17" i="10"/>
  <c r="Q64" i="11"/>
  <c r="K16" i="10"/>
  <c r="P174" i="11"/>
  <c r="Q171" i="11" s="1"/>
  <c r="R146" i="11"/>
  <c r="R156" i="11"/>
  <c r="R159" i="11" s="1"/>
  <c r="R61" i="11" s="1"/>
  <c r="R148" i="11"/>
  <c r="R151" i="11" s="1"/>
  <c r="R60" i="11" s="1"/>
  <c r="AE143" i="11"/>
  <c r="AE55" i="11"/>
  <c r="D70" i="11"/>
  <c r="AJ55" i="11"/>
  <c r="AI55" i="11"/>
  <c r="AF55" i="11"/>
  <c r="AG55" i="11"/>
  <c r="AH55" i="11"/>
  <c r="P67" i="11" l="1"/>
  <c r="P68" i="11" s="1"/>
  <c r="O16" i="10" s="1"/>
  <c r="P188" i="11"/>
  <c r="Q185" i="11" s="1"/>
  <c r="Q183" i="11"/>
  <c r="Q63" i="11"/>
  <c r="Q169" i="11" s="1"/>
  <c r="Q172" i="11" s="1"/>
  <c r="J18" i="10"/>
  <c r="R64" i="11"/>
  <c r="I18" i="10"/>
  <c r="R16" i="10"/>
  <c r="M16" i="10"/>
  <c r="N16" i="10" s="1"/>
  <c r="R149" i="11"/>
  <c r="S146" i="11" s="1"/>
  <c r="R157" i="11"/>
  <c r="S154" i="11" s="1"/>
  <c r="AE155" i="11"/>
  <c r="AE147" i="11"/>
  <c r="Q173" i="11" l="1"/>
  <c r="Q65" i="11" s="1"/>
  <c r="K17" i="10" s="1"/>
  <c r="R183" i="11"/>
  <c r="R186" i="11" s="1"/>
  <c r="Q186" i="11"/>
  <c r="Q187" i="11"/>
  <c r="Q66" i="11" s="1"/>
  <c r="L17" i="10" s="1"/>
  <c r="R63" i="11"/>
  <c r="R169" i="11" s="1"/>
  <c r="S156" i="11"/>
  <c r="S159" i="11" s="1"/>
  <c r="S61" i="11" s="1"/>
  <c r="S148" i="11"/>
  <c r="S151" i="11" s="1"/>
  <c r="S60" i="11" s="1"/>
  <c r="Q174" i="11" l="1"/>
  <c r="R171" i="11" s="1"/>
  <c r="Q188" i="11"/>
  <c r="R187" i="11" s="1"/>
  <c r="R66" i="11" s="1"/>
  <c r="L18" i="10" s="1"/>
  <c r="S64" i="11"/>
  <c r="S63" i="11" s="1"/>
  <c r="J19" i="10"/>
  <c r="Q67" i="11"/>
  <c r="Q68" i="11" s="1"/>
  <c r="O17" i="10" s="1"/>
  <c r="I19" i="10"/>
  <c r="R17" i="10"/>
  <c r="M17" i="10"/>
  <c r="N17" i="10" s="1"/>
  <c r="R172" i="11"/>
  <c r="S149" i="11"/>
  <c r="T156" i="11" s="1"/>
  <c r="T159" i="11" s="1"/>
  <c r="T61" i="11" s="1"/>
  <c r="S157" i="11"/>
  <c r="T154" i="11" s="1"/>
  <c r="R185" i="11" l="1"/>
  <c r="R188" i="11" s="1"/>
  <c r="S185" i="11" s="1"/>
  <c r="R173" i="11"/>
  <c r="R65" i="11" s="1"/>
  <c r="K18" i="10" s="1"/>
  <c r="T64" i="11"/>
  <c r="J20" i="10"/>
  <c r="S183" i="11"/>
  <c r="S169" i="11"/>
  <c r="T146" i="11"/>
  <c r="T148" i="11"/>
  <c r="T151" i="11" s="1"/>
  <c r="T60" i="11" s="1"/>
  <c r="T157" i="11"/>
  <c r="U154" i="11" s="1"/>
  <c r="R174" i="11" l="1"/>
  <c r="S171" i="11" s="1"/>
  <c r="R67" i="11"/>
  <c r="S186" i="11"/>
  <c r="S187" i="11"/>
  <c r="S66" i="11" s="1"/>
  <c r="L19" i="10" s="1"/>
  <c r="T183" i="11"/>
  <c r="T149" i="11"/>
  <c r="U146" i="11" s="1"/>
  <c r="I20" i="10"/>
  <c r="T63" i="11"/>
  <c r="S172" i="11"/>
  <c r="M18" i="10"/>
  <c r="N18" i="10" s="1"/>
  <c r="R18" i="10"/>
  <c r="R68" i="11"/>
  <c r="O18" i="10" s="1"/>
  <c r="U148" i="11" l="1"/>
  <c r="U151" i="11" s="1"/>
  <c r="U60" i="11" s="1"/>
  <c r="I21" i="10" s="1"/>
  <c r="U156" i="11"/>
  <c r="U159" i="11" s="1"/>
  <c r="U61" i="11" s="1"/>
  <c r="U64" i="11" s="1"/>
  <c r="S173" i="11"/>
  <c r="S65" i="11" s="1"/>
  <c r="S67" i="11" s="1"/>
  <c r="S188" i="11"/>
  <c r="T185" i="11" s="1"/>
  <c r="T186" i="11"/>
  <c r="T169" i="11"/>
  <c r="J21" i="10" l="1"/>
  <c r="U157" i="11"/>
  <c r="V154" i="11" s="1"/>
  <c r="U149" i="11"/>
  <c r="V146" i="11" s="1"/>
  <c r="K19" i="10"/>
  <c r="M19" i="10" s="1"/>
  <c r="N19" i="10" s="1"/>
  <c r="S174" i="11"/>
  <c r="T171" i="11" s="1"/>
  <c r="T187" i="11"/>
  <c r="T66" i="11" s="1"/>
  <c r="L20" i="10" s="1"/>
  <c r="U183" i="11"/>
  <c r="U63" i="11"/>
  <c r="U169" i="11" s="1"/>
  <c r="T172" i="11"/>
  <c r="S68" i="11"/>
  <c r="O19" i="10" s="1"/>
  <c r="T173" i="11" l="1"/>
  <c r="T65" i="11" s="1"/>
  <c r="T67" i="11" s="1"/>
  <c r="V156" i="11"/>
  <c r="V159" i="11" s="1"/>
  <c r="V61" i="11" s="1"/>
  <c r="V64" i="11" s="1"/>
  <c r="R19" i="10"/>
  <c r="V148" i="11"/>
  <c r="V151" i="11" s="1"/>
  <c r="V60" i="11" s="1"/>
  <c r="I22" i="10" s="1"/>
  <c r="T188" i="11"/>
  <c r="U185" i="11" s="1"/>
  <c r="U186" i="11"/>
  <c r="U172" i="11"/>
  <c r="K20" i="10" l="1"/>
  <c r="R20" i="10" s="1"/>
  <c r="T174" i="11"/>
  <c r="U171" i="11" s="1"/>
  <c r="J22" i="10"/>
  <c r="V157" i="11"/>
  <c r="W154" i="11" s="1"/>
  <c r="V63" i="11"/>
  <c r="V169" i="11" s="1"/>
  <c r="V149" i="11"/>
  <c r="W146" i="11" s="1"/>
  <c r="U187" i="11"/>
  <c r="U66" i="11" s="1"/>
  <c r="L21" i="10" s="1"/>
  <c r="V183" i="11"/>
  <c r="T68" i="11"/>
  <c r="O20" i="10" s="1"/>
  <c r="M20" i="10" l="1"/>
  <c r="N20" i="10" s="1"/>
  <c r="U173" i="11"/>
  <c r="U65" i="11" s="1"/>
  <c r="K21" i="10" s="1"/>
  <c r="R21" i="10" s="1"/>
  <c r="W148" i="11"/>
  <c r="W151" i="11" s="1"/>
  <c r="W60" i="11" s="1"/>
  <c r="I23" i="10" s="1"/>
  <c r="W156" i="11"/>
  <c r="W159" i="11" s="1"/>
  <c r="W61" i="11" s="1"/>
  <c r="J23" i="10" s="1"/>
  <c r="U188" i="11"/>
  <c r="V185" i="11" s="1"/>
  <c r="V186" i="11"/>
  <c r="V172" i="11"/>
  <c r="W149" i="11" l="1"/>
  <c r="X146" i="11" s="1"/>
  <c r="M21" i="10"/>
  <c r="N21" i="10" s="1"/>
  <c r="U174" i="11"/>
  <c r="V171" i="11" s="1"/>
  <c r="U67" i="11"/>
  <c r="U68" i="11" s="1"/>
  <c r="O21" i="10" s="1"/>
  <c r="W64" i="11"/>
  <c r="W63" i="11" s="1"/>
  <c r="W169" i="11" s="1"/>
  <c r="W157" i="11"/>
  <c r="X154" i="11" s="1"/>
  <c r="V173" i="11"/>
  <c r="V65" i="11" s="1"/>
  <c r="K22" i="10" s="1"/>
  <c r="V187" i="11"/>
  <c r="V66" i="11" s="1"/>
  <c r="L22" i="10" s="1"/>
  <c r="X156" i="11"/>
  <c r="X159" i="11" s="1"/>
  <c r="X61" i="11" s="1"/>
  <c r="X148" i="11"/>
  <c r="X151" i="11" s="1"/>
  <c r="X60" i="11" s="1"/>
  <c r="W183" i="11" l="1"/>
  <c r="W186" i="11" s="1"/>
  <c r="V174" i="11"/>
  <c r="W171" i="11" s="1"/>
  <c r="V67" i="11"/>
  <c r="V68" i="11" s="1"/>
  <c r="O22" i="10" s="1"/>
  <c r="V188" i="11"/>
  <c r="W185" i="11" s="1"/>
  <c r="X64" i="11"/>
  <c r="J24" i="10"/>
  <c r="X157" i="11"/>
  <c r="Y154" i="11" s="1"/>
  <c r="I24" i="10"/>
  <c r="R22" i="10"/>
  <c r="M22" i="10"/>
  <c r="N22" i="10" s="1"/>
  <c r="W172" i="11"/>
  <c r="W173" i="11"/>
  <c r="W65" i="11" s="1"/>
  <c r="X149" i="11"/>
  <c r="Y146" i="11" s="1"/>
  <c r="W187" i="11" l="1"/>
  <c r="W66" i="11" s="1"/>
  <c r="L23" i="10" s="1"/>
  <c r="X183" i="11"/>
  <c r="X63" i="11"/>
  <c r="X169" i="11" s="1"/>
  <c r="K23" i="10"/>
  <c r="W174" i="11"/>
  <c r="X171" i="11" s="1"/>
  <c r="Y156" i="11"/>
  <c r="Y157" i="11" s="1"/>
  <c r="Z154" i="11" s="1"/>
  <c r="Y148" i="11"/>
  <c r="Y151" i="11" s="1"/>
  <c r="Y60" i="11" s="1"/>
  <c r="W67" i="11" l="1"/>
  <c r="W68" i="11" s="1"/>
  <c r="O23" i="10" s="1"/>
  <c r="W188" i="11"/>
  <c r="X185" i="11" s="1"/>
  <c r="X186" i="11"/>
  <c r="Y159" i="11"/>
  <c r="Y61" i="11" s="1"/>
  <c r="I25" i="10"/>
  <c r="M23" i="10"/>
  <c r="N23" i="10" s="1"/>
  <c r="R23" i="10"/>
  <c r="X172" i="11"/>
  <c r="X173" i="11"/>
  <c r="X65" i="11" s="1"/>
  <c r="Y149" i="11"/>
  <c r="Z156" i="11" s="1"/>
  <c r="Z159" i="11" s="1"/>
  <c r="Z61" i="11" s="1"/>
  <c r="X187" i="11" l="1"/>
  <c r="X66" i="11" s="1"/>
  <c r="L24" i="10" s="1"/>
  <c r="Z64" i="11"/>
  <c r="J26" i="10"/>
  <c r="J25" i="10"/>
  <c r="Y64" i="11"/>
  <c r="X174" i="11"/>
  <c r="Y171" i="11" s="1"/>
  <c r="K24" i="10"/>
  <c r="X67" i="11"/>
  <c r="Z148" i="11"/>
  <c r="Z151" i="11" s="1"/>
  <c r="Z60" i="11" s="1"/>
  <c r="Z157" i="11"/>
  <c r="AA154" i="11" s="1"/>
  <c r="Z146" i="11"/>
  <c r="X188" i="11" l="1"/>
  <c r="Y185" i="11" s="1"/>
  <c r="Y183" i="11"/>
  <c r="Y186" i="11" s="1"/>
  <c r="Y63" i="11"/>
  <c r="Y169" i="11" s="1"/>
  <c r="Y172" i="11" s="1"/>
  <c r="Z183" i="11"/>
  <c r="Z186" i="11" s="1"/>
  <c r="X68" i="11"/>
  <c r="O24" i="10" s="1"/>
  <c r="M24" i="10"/>
  <c r="N24" i="10" s="1"/>
  <c r="R24" i="10"/>
  <c r="I26" i="10"/>
  <c r="Z63" i="11"/>
  <c r="Z149" i="11"/>
  <c r="AA148" i="11" s="1"/>
  <c r="AA151" i="11" s="1"/>
  <c r="AA60" i="11" s="1"/>
  <c r="Y173" i="11" l="1"/>
  <c r="Y65" i="11" s="1"/>
  <c r="K25" i="10" s="1"/>
  <c r="Y187" i="11"/>
  <c r="Y66" i="11" s="1"/>
  <c r="L25" i="10" s="1"/>
  <c r="AA156" i="11"/>
  <c r="AA157" i="11" s="1"/>
  <c r="AB154" i="11" s="1"/>
  <c r="I27" i="10"/>
  <c r="AA146" i="11"/>
  <c r="AA149" i="11" s="1"/>
  <c r="AB148" i="11" s="1"/>
  <c r="AB151" i="11" s="1"/>
  <c r="AB60" i="11" s="1"/>
  <c r="Z169" i="11"/>
  <c r="Y174" i="11" l="1"/>
  <c r="Z171" i="11" s="1"/>
  <c r="Y67" i="11"/>
  <c r="Y68" i="11" s="1"/>
  <c r="O25" i="10" s="1"/>
  <c r="AA159" i="11"/>
  <c r="AA61" i="11" s="1"/>
  <c r="AA64" i="11" s="1"/>
  <c r="Y188" i="11"/>
  <c r="AB156" i="11"/>
  <c r="AB159" i="11" s="1"/>
  <c r="AB61" i="11" s="1"/>
  <c r="AB146" i="11"/>
  <c r="AB149" i="11" s="1"/>
  <c r="AC146" i="11" s="1"/>
  <c r="Z172" i="11"/>
  <c r="Z173" i="11"/>
  <c r="Z65" i="11" s="1"/>
  <c r="I28" i="10"/>
  <c r="M25" i="10"/>
  <c r="N25" i="10" s="1"/>
  <c r="R25" i="10"/>
  <c r="J27" i="10" l="1"/>
  <c r="AC156" i="11"/>
  <c r="AC159" i="11" s="1"/>
  <c r="AC61" i="11" s="1"/>
  <c r="J29" i="10" s="1"/>
  <c r="AC148" i="11"/>
  <c r="AC151" i="11" s="1"/>
  <c r="AC60" i="11" s="1"/>
  <c r="I29" i="10" s="1"/>
  <c r="AB157" i="11"/>
  <c r="AC154" i="11" s="1"/>
  <c r="AB64" i="11"/>
  <c r="J28" i="10"/>
  <c r="Z187" i="11"/>
  <c r="Z66" i="11" s="1"/>
  <c r="L26" i="10" s="1"/>
  <c r="Z185" i="11"/>
  <c r="AA183" i="11"/>
  <c r="AA63" i="11"/>
  <c r="AA169" i="11" s="1"/>
  <c r="AA172" i="11" s="1"/>
  <c r="K26" i="10"/>
  <c r="Z174" i="11"/>
  <c r="AA171" i="11" s="1"/>
  <c r="AC149" i="11" l="1"/>
  <c r="AD148" i="11" s="1"/>
  <c r="AD151" i="11" s="1"/>
  <c r="AD60" i="11" s="1"/>
  <c r="AC157" i="11"/>
  <c r="AD154" i="11" s="1"/>
  <c r="AC64" i="11"/>
  <c r="AC63" i="11" s="1"/>
  <c r="AC169" i="11" s="1"/>
  <c r="Z188" i="11"/>
  <c r="AA185" i="11" s="1"/>
  <c r="AA186" i="11"/>
  <c r="Z67" i="11"/>
  <c r="Z68" i="11" s="1"/>
  <c r="O26" i="10" s="1"/>
  <c r="AB183" i="11"/>
  <c r="AB63" i="11"/>
  <c r="AB169" i="11" s="1"/>
  <c r="AB172" i="11" s="1"/>
  <c r="AA173" i="11"/>
  <c r="AA65" i="11" s="1"/>
  <c r="R26" i="10"/>
  <c r="M26" i="10"/>
  <c r="N26" i="10" s="1"/>
  <c r="AD146" i="11" l="1"/>
  <c r="AD149" i="11" s="1"/>
  <c r="AD156" i="11"/>
  <c r="AD157" i="11" s="1"/>
  <c r="AE154" i="11" s="1"/>
  <c r="AC183" i="11"/>
  <c r="AC186" i="11" s="1"/>
  <c r="AA187" i="11"/>
  <c r="AA66" i="11" s="1"/>
  <c r="L27" i="10" s="1"/>
  <c r="AB186" i="11"/>
  <c r="I30" i="10"/>
  <c r="AC172" i="11"/>
  <c r="K27" i="10"/>
  <c r="AA174" i="11"/>
  <c r="AD159" i="11" l="1"/>
  <c r="AD61" i="11" s="1"/>
  <c r="AA67" i="11"/>
  <c r="AA68" i="11" s="1"/>
  <c r="O27" i="10" s="1"/>
  <c r="AA188" i="11"/>
  <c r="AD64" i="11"/>
  <c r="J30" i="10"/>
  <c r="AB171" i="11"/>
  <c r="AB173" i="11"/>
  <c r="AB65" i="11" s="1"/>
  <c r="R27" i="10"/>
  <c r="M27" i="10"/>
  <c r="N27" i="10" s="1"/>
  <c r="AE148" i="11"/>
  <c r="AE151" i="11" s="1"/>
  <c r="AE60" i="11" s="1"/>
  <c r="AE146" i="11"/>
  <c r="AE156" i="11"/>
  <c r="AE159" i="11" s="1"/>
  <c r="AE61" i="11" s="1"/>
  <c r="AB185" i="11" l="1"/>
  <c r="AB187" i="11"/>
  <c r="AB66" i="11" s="1"/>
  <c r="L28" i="10" s="1"/>
  <c r="AE64" i="11"/>
  <c r="AE63" i="11" s="1"/>
  <c r="J31" i="10"/>
  <c r="AD183" i="11"/>
  <c r="AD63" i="11"/>
  <c r="AD169" i="11" s="1"/>
  <c r="AD172" i="11" s="1"/>
  <c r="K28" i="10"/>
  <c r="I31" i="10"/>
  <c r="AB174" i="11"/>
  <c r="AE149" i="11"/>
  <c r="AE157" i="11"/>
  <c r="AF154" i="11" s="1"/>
  <c r="AB67" i="11" l="1"/>
  <c r="AB68" i="11" s="1"/>
  <c r="O28" i="10" s="1"/>
  <c r="AB188" i="11"/>
  <c r="AC187" i="11" s="1"/>
  <c r="AC66" i="11" s="1"/>
  <c r="L29" i="10" s="1"/>
  <c r="AD186" i="11"/>
  <c r="AE183" i="11"/>
  <c r="AC171" i="11"/>
  <c r="AC173" i="11"/>
  <c r="AC65" i="11" s="1"/>
  <c r="AE169" i="11"/>
  <c r="M28" i="10"/>
  <c r="N28" i="10" s="1"/>
  <c r="R28" i="10"/>
  <c r="AF146" i="11"/>
  <c r="AF156" i="11"/>
  <c r="AF159" i="11" s="1"/>
  <c r="AF61" i="11" s="1"/>
  <c r="AF64" i="11" s="1"/>
  <c r="AF183" i="11" s="1"/>
  <c r="AF148" i="11"/>
  <c r="AF151" i="11" s="1"/>
  <c r="AF60" i="11" s="1"/>
  <c r="AC185" i="11" l="1"/>
  <c r="AC188" i="11" s="1"/>
  <c r="AE186" i="11"/>
  <c r="AF186" i="11"/>
  <c r="AF63" i="11"/>
  <c r="AF169" i="11" s="1"/>
  <c r="AF172" i="11" s="1"/>
  <c r="AE172" i="11"/>
  <c r="AC67" i="11"/>
  <c r="K29" i="10"/>
  <c r="AC174" i="11"/>
  <c r="AF149" i="11"/>
  <c r="AG146" i="11" s="1"/>
  <c r="AG149" i="11" s="1"/>
  <c r="AH146" i="11" s="1"/>
  <c r="AH149" i="11" s="1"/>
  <c r="AI146" i="11" s="1"/>
  <c r="AI149" i="11" s="1"/>
  <c r="AJ146" i="11" s="1"/>
  <c r="AJ149" i="11" s="1"/>
  <c r="AF157" i="11"/>
  <c r="AG154" i="11" s="1"/>
  <c r="AG157" i="11" s="1"/>
  <c r="AH154" i="11" s="1"/>
  <c r="AH157" i="11" s="1"/>
  <c r="AI154" i="11" s="1"/>
  <c r="AI157" i="11" s="1"/>
  <c r="AJ154" i="11" s="1"/>
  <c r="AJ157" i="11" s="1"/>
  <c r="AD185" i="11" l="1"/>
  <c r="AD187" i="11"/>
  <c r="AD66" i="11" s="1"/>
  <c r="L30" i="10" s="1"/>
  <c r="AC68" i="11"/>
  <c r="O29" i="10" s="1"/>
  <c r="R29" i="10"/>
  <c r="M29" i="10"/>
  <c r="N29" i="10" s="1"/>
  <c r="AD171" i="11"/>
  <c r="AD173" i="11"/>
  <c r="AD65" i="11" s="1"/>
  <c r="AD188" i="11" l="1"/>
  <c r="AD67" i="11"/>
  <c r="K30" i="10"/>
  <c r="AD174" i="11"/>
  <c r="AE185" i="11" l="1"/>
  <c r="AE187" i="11"/>
  <c r="AE66" i="11" s="1"/>
  <c r="L31" i="10" s="1"/>
  <c r="M30" i="10"/>
  <c r="N30" i="10" s="1"/>
  <c r="R30" i="10"/>
  <c r="AE171" i="11"/>
  <c r="AE173" i="11"/>
  <c r="AE65" i="11" s="1"/>
  <c r="AD68" i="11"/>
  <c r="O30" i="10" s="1"/>
  <c r="AE188" i="11" l="1"/>
  <c r="K31" i="10"/>
  <c r="AE67" i="11"/>
  <c r="AE68" i="11" s="1"/>
  <c r="O31" i="10" s="1"/>
  <c r="AE174" i="11"/>
  <c r="AF185" i="11" l="1"/>
  <c r="AF187" i="11"/>
  <c r="AF66" i="11" s="1"/>
  <c r="AF171" i="11"/>
  <c r="AF173" i="11"/>
  <c r="AF65" i="11" s="1"/>
  <c r="R31" i="10"/>
  <c r="M31" i="10"/>
  <c r="N31" i="10" s="1"/>
  <c r="N32" i="10" s="1"/>
  <c r="N33" i="10" s="1"/>
  <c r="N34" i="10" s="1"/>
  <c r="N35" i="10" s="1"/>
  <c r="N36" i="10" s="1"/>
  <c r="AF67" i="11" l="1"/>
  <c r="AF188" i="11"/>
  <c r="AG185" i="11" s="1"/>
  <c r="AG188" i="11" s="1"/>
  <c r="AH185" i="11" s="1"/>
  <c r="AH188" i="11" s="1"/>
  <c r="AI185" i="11" s="1"/>
  <c r="AI188" i="11" s="1"/>
  <c r="AJ185" i="11" s="1"/>
  <c r="AJ188" i="11" s="1"/>
  <c r="AF174" i="11"/>
  <c r="AG171" i="11" s="1"/>
  <c r="AG174" i="11" s="1"/>
  <c r="AH171" i="11" s="1"/>
  <c r="AH174" i="11" s="1"/>
  <c r="AI171" i="11" s="1"/>
  <c r="AI174" i="11" s="1"/>
  <c r="AJ171" i="11" s="1"/>
  <c r="AJ174" i="11" s="1"/>
  <c r="AG68" i="11" l="1"/>
  <c r="D72" i="11"/>
  <c r="O204" i="11" s="1"/>
  <c r="AF68" i="11"/>
  <c r="AJ68" i="11"/>
  <c r="AH68" i="11"/>
  <c r="AI68" i="11"/>
  <c r="D71" i="11"/>
  <c r="K204" i="11" l="1"/>
  <c r="G20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D23" authorId="0" shapeId="0" xr:uid="{00000000-0006-0000-0000-000001000000}">
      <text>
        <r>
          <rPr>
            <b/>
            <sz val="14"/>
            <color indexed="81"/>
            <rFont val="Tahoma"/>
            <family val="2"/>
          </rPr>
          <t>Note:</t>
        </r>
        <r>
          <rPr>
            <sz val="14"/>
            <color indexed="81"/>
            <rFont val="Tahoma"/>
            <family val="2"/>
          </rPr>
          <t xml:space="preserve">
The user is strongly encouraged to review all of these comments in order to understand key features of the CREST model.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Jason Gifford</author>
    <author>Tyler Leeds</author>
  </authors>
  <commentList>
    <comment ref="AD2" authorId="0" shapeId="0" xr:uid="{00000000-0006-0000-0100-000001000000}">
      <text>
        <r>
          <rPr>
            <b/>
            <sz val="12"/>
            <color indexed="81"/>
            <rFont val="Tahoma"/>
            <family val="2"/>
          </rPr>
          <t>Note:</t>
        </r>
        <r>
          <rPr>
            <sz val="12"/>
            <color indexed="81"/>
            <rFont val="Tahoma"/>
            <family val="2"/>
          </rPr>
          <t xml:space="preserve">
Individual project capacity factors will vary based on site-specific conditions.</t>
        </r>
      </text>
    </comment>
    <comment ref="C4" authorId="0" shapeId="0" xr:uid="{00000000-0006-0000-0100-000002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I4" authorId="0" shapeId="0" xr:uid="{00000000-0006-0000-0100-000003000000}">
      <text>
        <r>
          <rPr>
            <sz val="14"/>
            <color indexed="81"/>
            <rFont val="Tahoma"/>
            <family val="2"/>
          </rPr>
          <t xml:space="preserve">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
</t>
        </r>
        <r>
          <rPr>
            <sz val="8"/>
            <color indexed="81"/>
            <rFont val="Tahoma"/>
            <family val="2"/>
          </rPr>
          <t xml:space="preserve">
</t>
        </r>
      </text>
    </comment>
    <comment ref="M4" authorId="0" shapeId="0" xr:uid="{00000000-0006-0000-0100-000004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S4" authorId="0" shapeId="0" xr:uid="{00000000-0006-0000-0100-000005000000}">
      <text>
        <r>
          <rPr>
            <sz val="14"/>
            <color indexed="81"/>
            <rFont val="Tahoma"/>
            <family val="2"/>
          </rPr>
          <t>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t>
        </r>
        <r>
          <rPr>
            <sz val="8"/>
            <color indexed="81"/>
            <rFont val="Tahoma"/>
            <family val="2"/>
          </rPr>
          <t xml:space="preserve">
</t>
        </r>
      </text>
    </comment>
    <comment ref="AE4" authorId="0" shapeId="0" xr:uid="{00000000-0006-0000-0100-000006000000}">
      <text>
        <r>
          <rPr>
            <b/>
            <sz val="12"/>
            <color indexed="81"/>
            <rFont val="Tahoma"/>
            <family val="2"/>
          </rPr>
          <t>Note:</t>
        </r>
        <r>
          <rPr>
            <sz val="12"/>
            <color indexed="81"/>
            <rFont val="Tahoma"/>
            <family val="2"/>
          </rPr>
          <t xml:space="preserve">
The net capacity factor provided assumes fixed tilt, facing south at 25 degrees. Source = PV Watts</t>
        </r>
      </text>
    </comment>
    <comment ref="I5" authorId="1" shapeId="0" xr:uid="{00000000-0006-0000-0100-000007000000}">
      <text>
        <r>
          <rPr>
            <b/>
            <sz val="14"/>
            <color indexed="81"/>
            <rFont val="Tahoma"/>
            <family val="2"/>
          </rPr>
          <t xml:space="preserve">Note:
</t>
        </r>
        <r>
          <rPr>
            <sz val="14"/>
            <color indexed="81"/>
            <rFont val="Tahoma"/>
            <family val="2"/>
          </rPr>
          <t xml:space="preserve">Select either PV or Solar Thermal Electric in the drop-down menu to the right.
PV system capacity is modeled in DC and thermal system capacity is modeled in AC, the capacity factor input is modeled in AC for both. In general, the model user should take care to review the units column for each input prior to entering a value and ensure that all modeling inputs are consistent with the units shown for that cell.
</t>
        </r>
      </text>
    </comment>
    <comment ref="F7" authorId="0" shapeId="0" xr:uid="{00000000-0006-0000-0100-000008000000}">
      <text>
        <r>
          <rPr>
            <b/>
            <sz val="8"/>
            <color indexed="81"/>
            <rFont val="Tahoma"/>
            <family val="2"/>
          </rPr>
          <t>See "unit" definitions at the bottom of this worksheet.</t>
        </r>
        <r>
          <rPr>
            <sz val="8"/>
            <color indexed="81"/>
            <rFont val="Tahoma"/>
            <family val="2"/>
          </rPr>
          <t xml:space="preserve">
</t>
        </r>
      </text>
    </comment>
    <comment ref="P7" authorId="0" shapeId="0" xr:uid="{00000000-0006-0000-0100-000009000000}">
      <text>
        <r>
          <rPr>
            <b/>
            <sz val="8"/>
            <color indexed="81"/>
            <rFont val="Tahoma"/>
            <family val="2"/>
          </rPr>
          <t>See "unit" definitions at the bottom of this worksheet.</t>
        </r>
        <r>
          <rPr>
            <sz val="8"/>
            <color indexed="81"/>
            <rFont val="Tahoma"/>
            <family val="2"/>
          </rPr>
          <t xml:space="preserve">
</t>
        </r>
      </text>
    </comment>
    <comment ref="I8" authorId="1" shapeId="0" xr:uid="{00000000-0006-0000-0100-00000A000000}">
      <text>
        <r>
          <rPr>
            <b/>
            <sz val="14"/>
            <color indexed="81"/>
            <rFont val="Tahoma"/>
            <family val="2"/>
          </rPr>
          <t>Note:</t>
        </r>
        <r>
          <rPr>
            <sz val="14"/>
            <color indexed="81"/>
            <rFont val="Tahoma"/>
            <family val="2"/>
          </rPr>
          <t xml:space="preserve">
If the model is being used for PV and only kW AC is known, use the NREL derived conversion factor of 1.3x your known system size to determine your DC capacity. 
See PV Watts for more information: http://www.pvwatts.org/
*See bottom of introduction page for a list of links
Input must be greater than zero.
</t>
        </r>
      </text>
    </comment>
    <comment ref="S8" authorId="1" shapeId="0" xr:uid="{00000000-0006-0000-0100-00000B000000}">
      <text>
        <r>
          <rPr>
            <b/>
            <sz val="14"/>
            <color indexed="81"/>
            <rFont val="Tahoma"/>
            <family val="2"/>
          </rPr>
          <t xml:space="preserve">Note:
</t>
        </r>
        <r>
          <rPr>
            <sz val="14"/>
            <color indexed="81"/>
            <rFont val="Tahoma"/>
            <family val="2"/>
          </rPr>
          <t xml:space="preserve">The FIT contract length is the number of years for which the rate specified by this model is available. This term is established by policymakers and must be less than or equal to the project's useful life.  
The contract duration is also different than the debt tenor (if applicable), which is specified in the Permanent Financing section below.
</t>
        </r>
      </text>
    </comment>
    <comment ref="I9" authorId="1" shapeId="0" xr:uid="{00000000-0006-0000-0100-00000C000000}">
      <text>
        <r>
          <rPr>
            <b/>
            <sz val="14"/>
            <color indexed="81"/>
            <rFont val="Tahoma"/>
            <family val="2"/>
          </rPr>
          <t>Note:</t>
        </r>
        <r>
          <rPr>
            <sz val="14"/>
            <color indexed="81"/>
            <rFont val="Tahoma"/>
            <family val="2"/>
          </rPr>
          <t xml:space="preserve">
This input toggle allows the user to elect whether to provide his/her own Net Capacity Factor (the "Custom" option) or to select the state in which the project resides and allow the model to populate the Net Capacity Factor using a statewide average value provided by NREL (the "State Average" option).
If State Average is selected, it should be noted that individual project capacity factors will vary based on site-specific conditions.</t>
        </r>
      </text>
    </comment>
    <comment ref="S9" authorId="1" shapeId="0" xr:uid="{00000000-0006-0000-0100-00000D000000}">
      <text>
        <r>
          <rPr>
            <b/>
            <sz val="14"/>
            <color indexed="81"/>
            <rFont val="Tahoma"/>
            <family val="2"/>
          </rPr>
          <t xml:space="preserve">Note:
</t>
        </r>
        <r>
          <rPr>
            <sz val="14"/>
            <color indexed="81"/>
            <rFont val="Tahoma"/>
            <family val="2"/>
          </rPr>
          <t xml:space="preserve">This is the portion (%) of the tariff which is subject to annual escalation.  
Program administrators may determine that some or all of the tariff rate should be escalated to reflect the uncertainty associated with the future cost of owning and operating an electricity generating facility. This input is separate from the inflation assumed to apply to certain O&amp;M expenses, which is provided as an input in the O&amp;M section below.
Input must be between 0% and 100%.
</t>
        </r>
      </text>
    </comment>
    <comment ref="I10" authorId="1" shapeId="0" xr:uid="{00000000-0006-0000-0100-00000E000000}">
      <text>
        <r>
          <rPr>
            <b/>
            <sz val="14"/>
            <color indexed="81"/>
            <rFont val="Tahoma"/>
            <family val="2"/>
          </rPr>
          <t>Note:</t>
        </r>
        <r>
          <rPr>
            <sz val="14"/>
            <color indexed="81"/>
            <rFont val="Tahoma"/>
            <family val="2"/>
          </rPr>
          <t xml:space="preserve">
Select the state in which the project has been, or is expected to be, installed.
It should be noted that individual project capacity factors will vary based on site-specific conditions.
The net capacity factor provided assumes fixed tilt, facing south at 25 degrees. Source = PV Watts</t>
        </r>
      </text>
    </comment>
    <comment ref="S10" authorId="1" shapeId="0" xr:uid="{00000000-0006-0000-0100-00000F000000}">
      <text>
        <r>
          <rPr>
            <b/>
            <sz val="14"/>
            <color indexed="81"/>
            <rFont val="Tahoma"/>
            <family val="2"/>
          </rPr>
          <t xml:space="preserve">Note:
</t>
        </r>
        <r>
          <rPr>
            <sz val="14"/>
            <color indexed="81"/>
            <rFont val="Tahoma"/>
            <family val="2"/>
          </rPr>
          <t xml:space="preserve">To calculate a </t>
        </r>
        <r>
          <rPr>
            <b/>
            <sz val="14"/>
            <color indexed="81"/>
            <rFont val="Tahoma"/>
            <family val="2"/>
          </rPr>
          <t>nominal levelized tariff rate</t>
        </r>
        <r>
          <rPr>
            <sz val="14"/>
            <color indexed="81"/>
            <rFont val="Tahoma"/>
            <family val="2"/>
          </rPr>
          <t xml:space="preserve">, the "feed-in tariff escalation rate" field should be </t>
        </r>
        <r>
          <rPr>
            <b/>
            <sz val="14"/>
            <color indexed="81"/>
            <rFont val="Tahoma"/>
            <family val="2"/>
          </rPr>
          <t>set to zero</t>
        </r>
        <r>
          <rPr>
            <sz val="14"/>
            <color indexed="81"/>
            <rFont val="Tahoma"/>
            <family val="2"/>
          </rPr>
          <t>.</t>
        </r>
        <r>
          <rPr>
            <b/>
            <sz val="14"/>
            <color indexed="81"/>
            <rFont val="Tahoma"/>
            <family val="2"/>
          </rPr>
          <t xml:space="preserve">
</t>
        </r>
        <r>
          <rPr>
            <sz val="14"/>
            <color indexed="81"/>
            <rFont val="Tahoma"/>
            <family val="2"/>
          </rPr>
          <t xml:space="preserve">Where applied, tariff rate escalation is intended to serve as a risk mitigating tool, at least partially protecting the project investor from the uncertainty associated with the future cost of owning and operating the renewable energy facility. The escalation rate can be used to assume a year over year increase in all, or a portion, of the per unit payment provided to eligible generators. This concept is separate from inflationary adjustments to future operating cost assumptions -- which are input below.
This rate is applied annually.  Note that in this model, calendar years and tariff years are aligned.
</t>
        </r>
        <r>
          <rPr>
            <b/>
            <sz val="14"/>
            <color indexed="81"/>
            <rFont val="Tahoma"/>
            <family val="2"/>
          </rPr>
          <t>Caution:</t>
        </r>
        <r>
          <rPr>
            <sz val="14"/>
            <color indexed="81"/>
            <rFont val="Tahoma"/>
            <family val="2"/>
          </rPr>
          <t xml:space="preserve"> A value must be entered into this cell in order for the model to function properly. The input can be positive or negative (if the FIT value decreases over time), and a typical value may fall between 0% and 5%.  
</t>
        </r>
      </text>
    </comment>
    <comment ref="I11" authorId="1" shapeId="0" xr:uid="{00000000-0006-0000-0100-000010000000}">
      <text>
        <r>
          <rPr>
            <b/>
            <sz val="14"/>
            <color indexed="81"/>
            <rFont val="Tahoma"/>
            <family val="2"/>
          </rPr>
          <t>Note:</t>
        </r>
        <r>
          <rPr>
            <sz val="14"/>
            <color indexed="81"/>
            <rFont val="Tahoma"/>
            <family val="2"/>
          </rPr>
          <t xml:space="preserve">
If the "Custom" option is selected, then enter the projects (expected) Net Capacity Factor here.
</t>
        </r>
      </text>
    </comment>
    <comment ref="I12" authorId="1" shapeId="0" xr:uid="{00000000-0006-0000-0100-000011000000}">
      <text>
        <r>
          <rPr>
            <b/>
            <sz val="14"/>
            <color indexed="81"/>
            <rFont val="Tahoma"/>
            <family val="2"/>
          </rPr>
          <t>Note:</t>
        </r>
        <r>
          <rPr>
            <sz val="14"/>
            <color indexed="81"/>
            <rFont val="Tahoma"/>
            <family val="2"/>
          </rPr>
          <t xml:space="preserve">
Capacity Factor is the % representation of the actual production vs. the theoretical maximum annual production of an energy project. This model requires the input of a </t>
        </r>
        <r>
          <rPr>
            <b/>
            <sz val="14"/>
            <color indexed="81"/>
            <rFont val="Tahoma"/>
            <family val="2"/>
          </rPr>
          <t>Net Capacity Factor</t>
        </r>
        <r>
          <rPr>
            <sz val="14"/>
            <color indexed="81"/>
            <rFont val="Tahoma"/>
            <family val="2"/>
          </rPr>
          <t xml:space="preserve">, meaning that the estimate of actual energy production should take into account </t>
        </r>
        <r>
          <rPr>
            <b/>
            <u/>
            <sz val="14"/>
            <color indexed="81"/>
            <rFont val="Tahoma"/>
            <family val="2"/>
          </rPr>
          <t>ALL</t>
        </r>
        <r>
          <rPr>
            <sz val="14"/>
            <color indexed="81"/>
            <rFont val="Tahoma"/>
            <family val="2"/>
          </rPr>
          <t xml:space="preserve"> electricity losses (including not only inverter efficiency, but also losses incurred between the generating facility and the contract delivery point), scheduled and unscheduled maintenance, shading, forced outages, and any other factors that could reduce production.
When the "state average" is selected, the net capacity factor provided assumes fixed tilt, facing south at 25 degrees. Source = PV Watts.
Solar projects typically have a capacity factor between 10 and 20%. More information is available on the PV Watts website: http://www.pvwatts.org/. 
*See bottom of introduction page for a list of links
Input must be between 0% and 100%.
</t>
        </r>
      </text>
    </comment>
    <comment ref="S12" authorId="1" shapeId="0" xr:uid="{00000000-0006-0000-0100-000012000000}">
      <text>
        <r>
          <rPr>
            <b/>
            <sz val="14"/>
            <color indexed="81"/>
            <rFont val="Tahoma"/>
            <family val="2"/>
          </rPr>
          <t xml:space="preserve">Note:
</t>
        </r>
        <r>
          <rPr>
            <sz val="14"/>
            <color indexed="81"/>
            <rFont val="Tahoma"/>
            <family val="2"/>
          </rPr>
          <t>If the designated "FIT Contract Length" is less than the defined "Project Useful Life", then this grouping of inputs is used to calculate the project's market-based revenue during the period from FIT contract expiration to the end of the project's life.</t>
        </r>
        <r>
          <rPr>
            <b/>
            <sz val="14"/>
            <color indexed="81"/>
            <rFont val="Tahoma"/>
            <family val="2"/>
          </rPr>
          <t xml:space="preserve">
</t>
        </r>
        <r>
          <rPr>
            <sz val="14"/>
            <color indexed="81"/>
            <rFont val="Tahoma"/>
            <family val="2"/>
          </rPr>
          <t xml:space="preserve">
</t>
        </r>
      </text>
    </comment>
    <comment ref="I13" authorId="1" shapeId="0" xr:uid="{00000000-0006-0000-0100-000013000000}">
      <text>
        <r>
          <rPr>
            <b/>
            <sz val="14"/>
            <color indexed="81"/>
            <rFont val="Tahoma"/>
            <family val="2"/>
          </rPr>
          <t>Note:</t>
        </r>
        <r>
          <rPr>
            <sz val="14"/>
            <color indexed="81"/>
            <rFont val="Tahoma"/>
            <family val="2"/>
          </rPr>
          <t xml:space="preserve">
This is a calculation, based on the system size and capacity factor, provided above. 
</t>
        </r>
      </text>
    </comment>
    <comment ref="S13" authorId="1" shapeId="0" xr:uid="{00000000-0006-0000-0100-000014000000}">
      <text>
        <r>
          <rPr>
            <b/>
            <sz val="14"/>
            <color indexed="81"/>
            <rFont val="Tahoma"/>
            <family val="2"/>
          </rPr>
          <t xml:space="preserve">Note:
</t>
        </r>
        <r>
          <rPr>
            <sz val="14"/>
            <color indexed="81"/>
            <rFont val="Tahoma"/>
            <family val="2"/>
          </rPr>
          <t>Selecting "Year One" forecasts the total market value of production based on an estimate of that value in the project's first year of commercial operation and a user-defined escalation rate.  
Selecting "Year-by-Year" enables the user to enter unique annual values for the period after the FIT expires and before the end of the project's useful life.</t>
        </r>
        <r>
          <rPr>
            <b/>
            <sz val="14"/>
            <color indexed="81"/>
            <rFont val="Tahoma"/>
            <family val="2"/>
          </rPr>
          <t xml:space="preserve">
</t>
        </r>
        <r>
          <rPr>
            <sz val="14"/>
            <color indexed="81"/>
            <rFont val="Tahoma"/>
            <family val="2"/>
          </rPr>
          <t xml:space="preserve">
</t>
        </r>
      </text>
    </comment>
    <comment ref="I14" authorId="1" shapeId="0" xr:uid="{00000000-0006-0000-0100-000015000000}">
      <text>
        <r>
          <rPr>
            <b/>
            <sz val="14"/>
            <color indexed="81"/>
            <rFont val="Tahoma"/>
            <family val="2"/>
          </rPr>
          <t>Note:</t>
        </r>
        <r>
          <rPr>
            <sz val="14"/>
            <color indexed="81"/>
            <rFont val="Tahoma"/>
            <family val="2"/>
          </rPr>
          <t xml:space="preserve">
Studies have shown that solar projects experience annual degradation in production. For example, see NREL's 2002 study, Degradation Analysis of Weathered Crystalline-Silicon
PV Modules, which estimates between a 0.05% and 1.0% degradation per year. For more information, see: http://www.nrel.gov/docs/fy02osti/31455.pdf
*See bottom of introduction page for a list of links
Input must be =&gt; 0%.
</t>
        </r>
      </text>
    </comment>
    <comment ref="S14" authorId="1" shapeId="0" xr:uid="{00000000-0006-0000-0100-000016000000}">
      <text>
        <r>
          <rPr>
            <b/>
            <sz val="14"/>
            <color indexed="81"/>
            <rFont val="Tahoma"/>
            <family val="2"/>
          </rPr>
          <t xml:space="preserve">Note:
</t>
        </r>
        <r>
          <rPr>
            <sz val="14"/>
            <color indexed="81"/>
            <rFont val="Tahoma"/>
            <family val="2"/>
          </rPr>
          <t xml:space="preserve">This is the </t>
        </r>
        <r>
          <rPr>
            <b/>
            <sz val="14"/>
            <color indexed="81"/>
            <rFont val="Tahoma"/>
            <family val="2"/>
          </rPr>
          <t>combined</t>
        </r>
        <r>
          <rPr>
            <sz val="14"/>
            <color indexed="81"/>
            <rFont val="Tahoma"/>
            <family val="2"/>
          </rPr>
          <t xml:space="preserve"> (or "bundled") market value of energy + capacity + Renewable Energy Credtis (RECs) in the same year in which the project's first enters commercial operation.
This input must be greater than zero.
</t>
        </r>
      </text>
    </comment>
    <comment ref="I15" authorId="1" shapeId="0" xr:uid="{00000000-0006-0000-0100-000017000000}">
      <text>
        <r>
          <rPr>
            <b/>
            <sz val="14"/>
            <color indexed="81"/>
            <rFont val="Tahoma"/>
            <family val="2"/>
          </rPr>
          <t xml:space="preserve">Note:
</t>
        </r>
        <r>
          <rPr>
            <sz val="14"/>
            <color indexed="81"/>
            <rFont val="Tahoma"/>
            <family val="2"/>
          </rPr>
          <t xml:space="preserve">The Project Useful Life is the number of years that the project is expected to be fully operational, reliably delivering electricity to the grid, and generating revenue. This concept is different from the FIT Contract Length, which is administratively determined by policymakers. These two values may be the same if a FIT contract is offered for the project's entire expected useful life. This approach is likely to generate the lowest tariff rate, while successfully attracting investors to renewable energy projects.  
The CREST model is built for a maximum Project Useful Life of 30 years.
Input must be greater than 0 and less than or equal to 30.
</t>
        </r>
      </text>
    </comment>
    <comment ref="S15" authorId="1" shapeId="0" xr:uid="{00000000-0006-0000-0100-000018000000}">
      <text>
        <r>
          <rPr>
            <b/>
            <sz val="14"/>
            <color indexed="81"/>
            <rFont val="Tahoma"/>
            <family val="2"/>
          </rPr>
          <t xml:space="preserve">Note:
</t>
        </r>
        <r>
          <rPr>
            <sz val="14"/>
            <color indexed="81"/>
            <rFont val="Tahoma"/>
            <family val="2"/>
          </rPr>
          <t xml:space="preserve">When the "Year One" forecast methodology is selected, this is the user-defined escalation rate at which the market value of production is expected to change.
Input must be greater than zero.
</t>
        </r>
      </text>
    </comment>
    <comment ref="S16" authorId="1" shapeId="0" xr:uid="{00000000-0006-0000-0100-000019000000}">
      <text>
        <r>
          <rPr>
            <b/>
            <sz val="14"/>
            <color indexed="81"/>
            <rFont val="Tahoma"/>
            <family val="2"/>
          </rPr>
          <t xml:space="preserve">Note:
</t>
        </r>
        <r>
          <rPr>
            <sz val="14"/>
            <color indexed="81"/>
            <rFont val="Tahoma"/>
            <family val="2"/>
          </rPr>
          <t xml:space="preserve">When "Year-by-Year" market value of production forecast is selected, this link brings the user to another worksheet on which unique annual values may be entered.
</t>
        </r>
      </text>
    </comment>
    <comment ref="F17" authorId="0" shapeId="0" xr:uid="{00000000-0006-0000-0100-00001A000000}">
      <text>
        <r>
          <rPr>
            <b/>
            <sz val="8"/>
            <color indexed="81"/>
            <rFont val="Tahoma"/>
            <family val="2"/>
          </rPr>
          <t>See "unit" definitions at the bottom of this worksheet.</t>
        </r>
        <r>
          <rPr>
            <sz val="8"/>
            <color indexed="81"/>
            <rFont val="Tahoma"/>
            <family val="2"/>
          </rPr>
          <t xml:space="preserve">
</t>
        </r>
      </text>
    </comment>
    <comment ref="I18" authorId="1" shapeId="0" xr:uid="{00000000-0006-0000-0100-00001B000000}">
      <text>
        <r>
          <rPr>
            <b/>
            <sz val="14"/>
            <color indexed="81"/>
            <rFont val="Tahoma"/>
            <family val="2"/>
          </rPr>
          <t>Note:</t>
        </r>
        <r>
          <rPr>
            <sz val="14"/>
            <color indexed="81"/>
            <rFont val="Tahoma"/>
            <family val="2"/>
          </rPr>
          <t xml:space="preserve">
This model alllows the user to input system cost at 1 of 3 levels of detail: "simple", "intermediate" or "complex." Simple offers a single input in $/Watt, Intermediate offers five cost subcategories in total dollars, and Complex offers line-by-line project costing with user-defined categories and costs per line-item.  
Select your preferred method and use the cells below to enter your cost information. If you choose the "Complex" option, you will need to follow the link below to the "Complex Capital Costs" tab.</t>
        </r>
      </text>
    </comment>
    <comment ref="P18" authorId="0" shapeId="0" xr:uid="{00000000-0006-0000-0100-00001C000000}">
      <text>
        <r>
          <rPr>
            <b/>
            <sz val="8"/>
            <color indexed="81"/>
            <rFont val="Tahoma"/>
            <family val="2"/>
          </rPr>
          <t>See "unit" definitions at the bottom of this worksheet.</t>
        </r>
        <r>
          <rPr>
            <sz val="8"/>
            <color indexed="81"/>
            <rFont val="Tahoma"/>
            <family val="2"/>
          </rPr>
          <t xml:space="preserve">
</t>
        </r>
      </text>
    </comment>
    <comment ref="I19" authorId="1" shapeId="0" xr:uid="{00000000-0006-0000-0100-00001D000000}">
      <text>
        <r>
          <rPr>
            <b/>
            <sz val="14"/>
            <color indexed="81"/>
            <rFont val="Tahoma"/>
            <family val="2"/>
          </rPr>
          <t>Note:</t>
        </r>
        <r>
          <rPr>
            <sz val="14"/>
            <color indexed="81"/>
            <rFont val="Tahoma"/>
            <family val="2"/>
          </rPr>
          <t xml:space="preserve">
When "Simple" is selected in the Cost Level of Detail cell, this "Total Installed Cost" row represents the total expected all-in project cost, which should include all hardware, balance of plant, interconnection, design, construction, permitting, development (including developer fee), interest during construction and financing costs. This figure should not account for any tax incentives, grants, or other cash incentives, each of which will be addressed elsewhere in the model. This figure should, however, reflect any applicable sales tax or exemptions thereof.
Input must be greater than zero.
</t>
        </r>
      </text>
    </comment>
    <comment ref="S19" authorId="0" shapeId="0" xr:uid="{00000000-0006-0000-0100-00001E000000}">
      <text>
        <r>
          <rPr>
            <b/>
            <sz val="14"/>
            <color indexed="81"/>
            <rFont val="Tahoma"/>
            <family val="2"/>
          </rPr>
          <t xml:space="preserve">Note:
</t>
        </r>
        <r>
          <rPr>
            <sz val="14"/>
            <color indexed="81"/>
            <rFont val="Tahoma"/>
            <family val="2"/>
          </rPr>
          <t>This drop-down input cell allows the user to specify whether federal incentives are cost-based (e.g. an investment tax credit) or performance-based (e.g. a PTC). The magnitude and terms of these incentives are set in the cells below.
For more information, a useful resource for researching federal and state incentives online is:  
http://dsireusa.org/
*See bottom of introduction page for a list of links</t>
        </r>
      </text>
    </comment>
    <comment ref="I20" authorId="1" shapeId="0" xr:uid="{00000000-0006-0000-0100-00001F000000}">
      <text>
        <r>
          <rPr>
            <b/>
            <sz val="14"/>
            <color indexed="81"/>
            <rFont val="Tahoma"/>
            <family val="2"/>
          </rPr>
          <t>Note:</t>
        </r>
        <r>
          <rPr>
            <sz val="14"/>
            <color indexed="81"/>
            <rFont val="Tahoma"/>
            <family val="2"/>
          </rPr>
          <t xml:space="preserve">
"Generation Equipment" should include all hardware, such as panels and inverters. 
Caution: the model assumes that if "Intermediate" is selected as the level of detail section, the "Generation Equipment" row must have a value greater than zero. 
</t>
        </r>
      </text>
    </comment>
    <comment ref="S20" authorId="1" shapeId="0" xr:uid="{00000000-0006-0000-0100-000020000000}">
      <text>
        <r>
          <rPr>
            <b/>
            <sz val="14"/>
            <color indexed="81"/>
            <rFont val="Tahoma"/>
            <family val="2"/>
          </rPr>
          <t xml:space="preserve">Note:
</t>
        </r>
        <r>
          <rPr>
            <sz val="14"/>
            <color indexed="81"/>
            <rFont val="Tahoma"/>
            <family val="2"/>
          </rPr>
          <t xml:space="preserve">Some renewable energy projects may be eligible to take advantage of Federal incentives such as the Investment Tax Credit or a cash payment from the Treasury Grant in lieu of the ITC (under Section 1603). 
The CREST model assumes that the ITC or Section 1603 cash grant, as applicable, flows to the project's equity provider in the first commercial operation year - rather than reducing the project's assumed initial installed cost.  The exception to this rule occurs when "carried forward" is selected in the Tax section.  In this case, net operating losses are rolled forward while the tax benefits are used internally by the project.
Information on eligibility for funding opportunities such as these is available online at:
http://dsireusa.org/incentives/incentive.cfm?Incentive_Code=US02F&amp;re=1&amp;ee=1
*See bottom of introduction page for a list of links
</t>
        </r>
      </text>
    </comment>
    <comment ref="I21" authorId="1" shapeId="0" xr:uid="{00000000-0006-0000-0100-000021000000}">
      <text>
        <r>
          <rPr>
            <b/>
            <sz val="14"/>
            <color indexed="81"/>
            <rFont val="Tahoma"/>
            <family val="2"/>
          </rPr>
          <t>Note:</t>
        </r>
        <r>
          <rPr>
            <sz val="14"/>
            <color indexed="81"/>
            <rFont val="Tahoma"/>
            <family val="2"/>
          </rPr>
          <t xml:space="preserve">
Balance of Plant (also known as Balance of System) represents all infrastructure, site prep and labor supporting the installation of the generation equipment. BOP costs include foundations, mounting devices, other hardware, and labor not already accounted for in the "Generation Equipment" row.
Input cannot be less than zero.
</t>
        </r>
      </text>
    </comment>
    <comment ref="S21" authorId="0" shapeId="0" xr:uid="{00000000-0006-0000-0100-000022000000}">
      <text>
        <r>
          <rPr>
            <b/>
            <sz val="14"/>
            <color indexed="81"/>
            <rFont val="Tahoma"/>
            <family val="2"/>
          </rPr>
          <t xml:space="preserve">NOTE:
</t>
        </r>
        <r>
          <rPr>
            <sz val="14"/>
            <color indexed="81"/>
            <rFont val="Tahoma"/>
            <family val="2"/>
          </rPr>
          <t>The maximum potential Investment Tax Credit (ITC) benefit is assumed to be 30% of those project costs which are depreciable on the 5-year MACRS schedule.  This assumption is purposefully simplified for this analysis.  Project costs depreciated on other bases may also be eligible for the ITC.  Developers should consult with tax counsel for project-specific depreciation and ITC treatment of each project cost.</t>
        </r>
        <r>
          <rPr>
            <sz val="8"/>
            <color indexed="81"/>
            <rFont val="Tahoma"/>
            <family val="2"/>
          </rPr>
          <t xml:space="preserve">
</t>
        </r>
      </text>
    </comment>
    <comment ref="I22" authorId="1" shapeId="0" xr:uid="{00000000-0006-0000-0100-000023000000}">
      <text>
        <r>
          <rPr>
            <b/>
            <sz val="14"/>
            <color indexed="81"/>
            <rFont val="Tahoma"/>
            <family val="2"/>
          </rPr>
          <t>Note:</t>
        </r>
        <r>
          <rPr>
            <sz val="14"/>
            <color indexed="81"/>
            <rFont val="Tahoma"/>
            <family val="2"/>
          </rPr>
          <t xml:space="preserve">
The "Interconnection" row should account for all project costs relating to connecting to the grid, such as the construction of transmission lines, permitting costs with the utility, and start-up costs. This category will also include the cost of a new substation, if necessary.
Regulators wishing to explore the potential that interconnection costs may be recovered from ratepayers separately can elect to enter zeros in this cost category whenever "Intermediate" or "Complex" is selected.
Input cannot be less than zero.
</t>
        </r>
      </text>
    </comment>
    <comment ref="I23" authorId="1" shapeId="0" xr:uid="{00000000-0006-0000-0100-000024000000}">
      <text>
        <r>
          <rPr>
            <b/>
            <sz val="14"/>
            <color indexed="81"/>
            <rFont val="Tahoma"/>
            <family val="2"/>
          </rPr>
          <t>Note:</t>
        </r>
        <r>
          <rPr>
            <sz val="8"/>
            <color indexed="81"/>
            <rFont val="Tahoma"/>
            <family val="2"/>
          </rPr>
          <t xml:space="preserve">
</t>
        </r>
        <r>
          <rPr>
            <sz val="14"/>
            <color indexed="81"/>
            <rFont val="Tahoma"/>
            <family val="2"/>
          </rPr>
          <t xml:space="preserve">The "Development Costs" row should include all costs relating to project management, studies, engineering, permitting, contingencies, success fees, and other soft costs not accounted for elsewhere in the "Intermediate" cost breakdown. 
Input cannot be less than zero.
</t>
        </r>
      </text>
    </comment>
    <comment ref="S23" authorId="0" shapeId="0" xr:uid="{00000000-0006-0000-0100-000025000000}">
      <text>
        <r>
          <rPr>
            <b/>
            <sz val="14"/>
            <color indexed="81"/>
            <rFont val="Tahoma"/>
            <family val="2"/>
          </rPr>
          <t xml:space="preserve">Note:
</t>
        </r>
        <r>
          <rPr>
            <sz val="14"/>
            <color indexed="81"/>
            <rFont val="Tahoma"/>
            <family val="2"/>
          </rPr>
          <t xml:space="preserve">Calculates the dollar value of the Investment Tax Credit or Cash Grant, if applicable.
</t>
        </r>
      </text>
    </comment>
    <comment ref="I24" authorId="1" shapeId="0" xr:uid="{00000000-0006-0000-0100-000026000000}">
      <text>
        <r>
          <rPr>
            <b/>
            <sz val="14"/>
            <color indexed="81"/>
            <rFont val="Tahoma"/>
            <family val="2"/>
          </rPr>
          <t>Note:</t>
        </r>
        <r>
          <rPr>
            <sz val="14"/>
            <color indexed="81"/>
            <rFont val="Tahoma"/>
            <family val="2"/>
          </rPr>
          <t xml:space="preserve">
The "Reserves &amp; Financing Costs" row accounts for all costs relating to financing, such as lender fees, closing costs, legal fees, interest during construction, due diligence costs, and any other relevant, financing relating costs. The model calculates this field by aggregating G22 through G25, G51, G54, G63, G66, Q57 and Q60.
</t>
        </r>
      </text>
    </comment>
    <comment ref="S24" authorId="0" shapeId="0" xr:uid="{00000000-0006-0000-0100-000027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25" authorId="1" shapeId="0" xr:uid="{00000000-0006-0000-0100-000028000000}">
      <text>
        <r>
          <rPr>
            <b/>
            <sz val="14"/>
            <color indexed="81"/>
            <rFont val="Tahoma"/>
            <family val="2"/>
          </rPr>
          <t>Note:</t>
        </r>
        <r>
          <rPr>
            <sz val="14"/>
            <color indexed="81"/>
            <rFont val="Tahoma"/>
            <family val="2"/>
          </rPr>
          <t xml:space="preserve">
If you wish to enter your project costs under the "Complex" format, select Complex from the drop-down menu and use the link to the left to access additional worksheets which provide the opportunitiy to add significant, additional detail on project costs. Once complete, the model will roll up the detailed costs and populate this row with the resultant final project cost. </t>
        </r>
      </text>
    </comment>
    <comment ref="S25" authorId="0" shapeId="0" xr:uid="{00000000-0006-0000-0100-000029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26" authorId="1" shapeId="0" xr:uid="{00000000-0006-0000-0100-00002A000000}">
      <text>
        <r>
          <rPr>
            <b/>
            <sz val="14"/>
            <color indexed="81"/>
            <rFont val="Tahoma"/>
            <family val="2"/>
          </rPr>
          <t>Note:</t>
        </r>
        <r>
          <rPr>
            <sz val="14"/>
            <color indexed="81"/>
            <rFont val="Tahoma"/>
            <family val="2"/>
          </rPr>
          <t xml:space="preserve">
The total system cost is a calculation, based on the level of detail selected and the assocated inputs.
</t>
        </r>
      </text>
    </comment>
    <comment ref="I27" authorId="1" shapeId="0" xr:uid="{00000000-0006-0000-0100-00002B000000}">
      <text>
        <r>
          <rPr>
            <b/>
            <sz val="14"/>
            <color indexed="81"/>
            <rFont val="Tahoma"/>
            <family val="2"/>
          </rPr>
          <t>Note:</t>
        </r>
        <r>
          <rPr>
            <sz val="14"/>
            <color indexed="81"/>
            <rFont val="Tahoma"/>
            <family val="2"/>
          </rPr>
          <t xml:space="preserve">
Calculation based on the total system cost in the cell above and the system size reported. Typical costs (as of 2010) fall between $4/Watt and $10/Watt.</t>
        </r>
        <r>
          <rPr>
            <sz val="8"/>
            <color indexed="81"/>
            <rFont val="Tahoma"/>
            <family val="2"/>
          </rPr>
          <t xml:space="preserve">
</t>
        </r>
      </text>
    </comment>
    <comment ref="S27" authorId="0" shapeId="0" xr:uid="{00000000-0006-0000-0100-00002C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28" authorId="0" shapeId="0" xr:uid="{00000000-0006-0000-0100-00002D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r>
          <rPr>
            <sz val="8"/>
            <color indexed="81"/>
            <rFont val="Tahoma"/>
            <family val="2"/>
          </rPr>
          <t xml:space="preserve">
</t>
        </r>
      </text>
    </comment>
    <comment ref="F29" authorId="0" shapeId="0" xr:uid="{00000000-0006-0000-0100-00002E000000}">
      <text>
        <r>
          <rPr>
            <b/>
            <sz val="8"/>
            <color indexed="81"/>
            <rFont val="Tahoma"/>
            <family val="2"/>
          </rPr>
          <t>See "unit" definitions at the bottom of this worksheet.</t>
        </r>
        <r>
          <rPr>
            <sz val="8"/>
            <color indexed="81"/>
            <rFont val="Tahoma"/>
            <family val="2"/>
          </rPr>
          <t xml:space="preserve">
</t>
        </r>
      </text>
    </comment>
    <comment ref="S29" authorId="1" shapeId="0" xr:uid="{00000000-0006-0000-0100-00002F000000}">
      <text>
        <r>
          <rPr>
            <b/>
            <sz val="14"/>
            <color indexed="81"/>
            <rFont val="Tahoma"/>
            <family val="2"/>
          </rPr>
          <t xml:space="preserve">Note:
</t>
        </r>
        <r>
          <rPr>
            <sz val="14"/>
            <color indexed="81"/>
            <rFont val="Tahoma"/>
            <family val="2"/>
          </rPr>
          <t xml:space="preserve">Some renewable energy projects may be eligible for other federal grants as well, such as funding from the U.S. Department of Agriculture. This input cell can be used to capture those funding opportunities, some of which are outlined online at:
http://dsireusa.org/incentives/index.cfm?state=us&amp;re=1&amp;EE=1
*See bottom of introduction page for a list of links
Input cannot be less than zero.
</t>
        </r>
      </text>
    </comment>
    <comment ref="I30" authorId="0" shapeId="0" xr:uid="{00000000-0006-0000-0100-000030000000}">
      <text>
        <r>
          <rPr>
            <b/>
            <sz val="14"/>
            <color indexed="81"/>
            <rFont val="Tahoma"/>
            <family val="2"/>
          </rPr>
          <t>Note:</t>
        </r>
        <r>
          <rPr>
            <sz val="14"/>
            <color indexed="81"/>
            <rFont val="Tahoma"/>
            <family val="2"/>
          </rPr>
          <t xml:space="preserve">
Select either "Simple" or "Intermediate" O&amp;M expense detail using the drop-down menu to the right.
</t>
        </r>
        <r>
          <rPr>
            <sz val="8"/>
            <color indexed="81"/>
            <rFont val="Tahoma"/>
            <family val="2"/>
          </rPr>
          <t xml:space="preserve">
</t>
        </r>
      </text>
    </comment>
    <comment ref="S30" authorId="0" shapeId="0" xr:uid="{00000000-0006-0000-0100-000031000000}">
      <text>
        <r>
          <rPr>
            <b/>
            <sz val="14"/>
            <color indexed="81"/>
            <rFont val="Tahoma"/>
            <family val="2"/>
          </rPr>
          <t xml:space="preserve">Note:
</t>
        </r>
        <r>
          <rPr>
            <sz val="14"/>
            <color indexed="81"/>
            <rFont val="Tahoma"/>
            <family val="2"/>
          </rPr>
          <t xml:space="preserve">Select here whether additional federal grants (other than the section 1603 payment in lieu of the ITC/PTC) are treated as taxable income. If no, depreciation basis is reduced. 
</t>
        </r>
      </text>
    </comment>
    <comment ref="I31" authorId="1" shapeId="0" xr:uid="{00000000-0006-0000-0100-000032000000}">
      <text>
        <r>
          <rPr>
            <b/>
            <sz val="14"/>
            <color indexed="81"/>
            <rFont val="Tahoma"/>
            <family val="2"/>
          </rPr>
          <t>Note:</t>
        </r>
        <r>
          <rPr>
            <sz val="14"/>
            <color indexed="81"/>
            <rFont val="Tahoma"/>
            <family val="2"/>
          </rPr>
          <t xml:space="preserve">
If "Simple" is selected in the cell above, then this input should reflect the </t>
        </r>
        <r>
          <rPr>
            <b/>
            <u/>
            <sz val="14"/>
            <color indexed="81"/>
            <rFont val="Tahoma"/>
            <family val="2"/>
          </rPr>
          <t>total</t>
        </r>
        <r>
          <rPr>
            <sz val="14"/>
            <color indexed="81"/>
            <rFont val="Tahoma"/>
            <family val="2"/>
          </rPr>
          <t xml:space="preserve"> expected </t>
        </r>
        <r>
          <rPr>
            <b/>
            <u/>
            <sz val="14"/>
            <color indexed="81"/>
            <rFont val="Tahoma"/>
            <family val="2"/>
          </rPr>
          <t>fixed</t>
        </r>
        <r>
          <rPr>
            <sz val="14"/>
            <color indexed="81"/>
            <rFont val="Tahoma"/>
            <family val="2"/>
          </rPr>
          <t xml:space="preserve"> cost of project operations and maintenance, in $/kW-yr.  This </t>
        </r>
        <r>
          <rPr>
            <u/>
            <sz val="14"/>
            <color indexed="81"/>
            <rFont val="Tahoma"/>
            <family val="2"/>
          </rPr>
          <t>includes</t>
        </r>
        <r>
          <rPr>
            <sz val="14"/>
            <color indexed="81"/>
            <rFont val="Tahoma"/>
            <family val="2"/>
          </rPr>
          <t xml:space="preserve"> the insurance, project management, property tax (or payment in lieu thereof), land lease, and royalty expenses which would have been broken out separately in the "Intermediate" case.  Other labor and spare parts should also be included in this estimate.
If the user has obtained O&amp;M expense estimates from a third-party, it is critical to understand which costs have been included.  If the user is not certain that all of the above-listed expenses are included in the fixed cost estimate, then the "Intermediate" approach should be used and these expenses should be entered separately.
If "Intermediate" is selected, then this input should reflect  the expected annual fixed O&amp;M cost before taking into account the additional listed expenses, which are entered below. 
In all cases, fixed O&amp;M would include - among others - the ongoing cost of obtaining daily, weekly or monthly production estimates based on weather and other factors.
Input value must be greater than zero. 
</t>
        </r>
      </text>
    </comment>
    <comment ref="I32" authorId="1" shapeId="0" xr:uid="{00000000-0006-0000-0100-000033000000}">
      <text>
        <r>
          <rPr>
            <b/>
            <sz val="14"/>
            <color indexed="81"/>
            <rFont val="Tahoma"/>
            <family val="2"/>
          </rPr>
          <t>Note:</t>
        </r>
        <r>
          <rPr>
            <sz val="14"/>
            <color indexed="81"/>
            <rFont val="Tahoma"/>
            <family val="2"/>
          </rPr>
          <t xml:space="preserve">
This cell provides the user with the option of accounting for O&amp;M expenses (such as labor and spare parts) which are more easily estimated and modeled on a variable, cents per kWh basis.  
If "Simple" is selected above, then this cell should also take into account variable costs, such as royalties, </t>
        </r>
        <r>
          <rPr>
            <b/>
            <u/>
            <sz val="14"/>
            <color indexed="81"/>
            <rFont val="Tahoma"/>
            <family val="2"/>
          </rPr>
          <t>if</t>
        </r>
        <r>
          <rPr>
            <sz val="14"/>
            <color indexed="81"/>
            <rFont val="Tahoma"/>
            <family val="2"/>
          </rPr>
          <t xml:space="preserve"> such annual expenses are not already accounted for in the fixed cost input above.
Input cannot be less than zero.
</t>
        </r>
      </text>
    </comment>
    <comment ref="P32" authorId="0" shapeId="0" xr:uid="{00000000-0006-0000-0100-000034000000}">
      <text>
        <r>
          <rPr>
            <b/>
            <sz val="8"/>
            <color indexed="81"/>
            <rFont val="Tahoma"/>
            <family val="2"/>
          </rPr>
          <t>See "unit" definitions at the bottom of this worksheet.</t>
        </r>
        <r>
          <rPr>
            <sz val="8"/>
            <color indexed="81"/>
            <rFont val="Tahoma"/>
            <family val="2"/>
          </rPr>
          <t xml:space="preserve">
</t>
        </r>
      </text>
    </comment>
    <comment ref="I33" authorId="0" shapeId="0" xr:uid="{00000000-0006-0000-0100-000035000000}">
      <text>
        <r>
          <rPr>
            <b/>
            <sz val="14"/>
            <color indexed="81"/>
            <rFont val="Tahoma"/>
            <family val="2"/>
          </rPr>
          <t>Note:</t>
        </r>
        <r>
          <rPr>
            <sz val="14"/>
            <color indexed="81"/>
            <rFont val="Tahoma"/>
            <family val="2"/>
          </rPr>
          <t xml:space="preserve">
This inflation rate applies to both fixed and variable O&amp;M expense, insurance, and project management costs entered above, if applicable. 
The model allows the user to specify an inflation assumption for an "initial period" and a second inflation assumption "thereafter." These inputs can be used to account for inflation which might be fixed during an initial O&amp;M service contract, but are unknown thereafter.  The final year of the "initial period" is  user-defined (e.g. final year of an O&amp;M service contract). 
The purpose of this feature is also to recognize that inflationary trends may change over time, or that some projects may not expect inflation of O&amp;M expenses for the first several years, but may expect inflation thereafter.
This inflation rate does not apply to PILOT or Royalty costs. Input cannot be less than zero.
</t>
        </r>
      </text>
    </comment>
    <comment ref="S33" authorId="1" shapeId="0" xr:uid="{00000000-0006-0000-0100-000036000000}">
      <text>
        <r>
          <rPr>
            <b/>
            <sz val="14"/>
            <color indexed="81"/>
            <rFont val="Tahoma"/>
            <family val="2"/>
          </rPr>
          <t xml:space="preserve">Note:
</t>
        </r>
        <r>
          <rPr>
            <sz val="14"/>
            <color indexed="81"/>
            <rFont val="Tahoma"/>
            <family val="2"/>
          </rPr>
          <t>This drop-down input cell allows the user to specify whether state, utility or other local incentives are cost-based (e.g. an investment tax credit) or performance-based (e.g. a PTC, Renewable Energy Credit (REC) or other cash payment). The magnitude and terms of these incentives are set in the cells below.
For more information, a useful resource for researching federal and state incentives online is:  
http://dsireusa.org/
*See bottom of introduction page for a list of links</t>
        </r>
      </text>
    </comment>
    <comment ref="I34" authorId="0" shapeId="0" xr:uid="{00000000-0006-0000-0100-000037000000}">
      <text>
        <r>
          <rPr>
            <b/>
            <sz val="14"/>
            <color indexed="81"/>
            <rFont val="Tahoma"/>
            <family val="2"/>
          </rPr>
          <t xml:space="preserve">Note:
</t>
        </r>
        <r>
          <rPr>
            <sz val="14"/>
            <color indexed="81"/>
            <rFont val="Tahoma"/>
            <family val="2"/>
          </rPr>
          <t xml:space="preserve">This feature allows the user to assume that the rate at which expenses change over time is not constant. This cell provides the year in which the first inflation period ends.
Input cannot be less than zero.
</t>
        </r>
      </text>
    </comment>
    <comment ref="S34" authorId="0" shapeId="0" xr:uid="{00000000-0006-0000-0100-000038000000}">
      <text>
        <r>
          <rPr>
            <b/>
            <sz val="14"/>
            <color indexed="81"/>
            <rFont val="Tahoma"/>
            <family val="2"/>
          </rPr>
          <t xml:space="preserve">NOTE:
</t>
        </r>
        <r>
          <rPr>
            <sz val="14"/>
            <color indexed="81"/>
            <rFont val="Tahoma"/>
            <family val="2"/>
          </rPr>
          <t xml:space="preserve">The maximum potential Investment Tax Credit (ITC) benefit is assumed to be 30% of those project costs which are depreciable on the 5-year MACRS schedule.
Note that the state investment tax credit can only be applied to state-specific income tax liability.
</t>
        </r>
      </text>
    </comment>
    <comment ref="I35" authorId="0" shapeId="0" xr:uid="{00000000-0006-0000-0100-000039000000}">
      <text>
        <r>
          <rPr>
            <b/>
            <sz val="14"/>
            <color indexed="81"/>
            <rFont val="Tahoma"/>
            <family val="2"/>
          </rPr>
          <t xml:space="preserve">Note:
</t>
        </r>
        <r>
          <rPr>
            <sz val="14"/>
            <color indexed="81"/>
            <rFont val="Tahoma"/>
            <family val="2"/>
          </rPr>
          <t xml:space="preserve">This cell provides the inflation rate for the remainder of the project's useful life.
Input must be greater than zero.
</t>
        </r>
      </text>
    </comment>
    <comment ref="I36" authorId="1" shapeId="0" xr:uid="{00000000-0006-0000-0100-00003A000000}">
      <text>
        <r>
          <rPr>
            <b/>
            <sz val="14"/>
            <color indexed="81"/>
            <rFont val="Tahoma"/>
            <family val="2"/>
          </rPr>
          <t xml:space="preserve">Note:
</t>
        </r>
        <r>
          <rPr>
            <sz val="14"/>
            <color indexed="81"/>
            <rFont val="Tahoma"/>
            <family val="2"/>
          </rPr>
          <t xml:space="preserve">Project owners, or hosts, are required to carry insurance. This input accounts for the estimated cost of insuring the modeling power generating facility.
Input cannot be less than zero.
</t>
        </r>
      </text>
    </comment>
    <comment ref="S36" authorId="0" shapeId="0" xr:uid="{00000000-0006-0000-0100-00003B000000}">
      <text>
        <r>
          <rPr>
            <b/>
            <sz val="14"/>
            <color indexed="81"/>
            <rFont val="Tahoma"/>
            <family val="2"/>
          </rPr>
          <t xml:space="preserve">Note:
</t>
        </r>
        <r>
          <rPr>
            <sz val="14"/>
            <color indexed="81"/>
            <rFont val="Tahoma"/>
            <family val="2"/>
          </rPr>
          <t>Specifies whether the available ITC is realized in a single year or over multiple years. This input will be specified by state-specific law or regulation.
A good resource on available state incentives is:  
http://dsireusa.org/
*See bottom of introduction page for a list of links
Input must be greater than 1 and less than the Project Useful Life.</t>
        </r>
      </text>
    </comment>
    <comment ref="I37" authorId="0" shapeId="0" xr:uid="{00000000-0006-0000-0100-00003C000000}">
      <text>
        <r>
          <rPr>
            <b/>
            <sz val="14"/>
            <color indexed="81"/>
            <rFont val="Tahoma"/>
            <family val="2"/>
          </rPr>
          <t xml:space="preserve">Note:
</t>
        </r>
        <r>
          <rPr>
            <sz val="14"/>
            <color indexed="81"/>
            <rFont val="Tahoma"/>
            <family val="2"/>
          </rPr>
          <t xml:space="preserve">This cell calculates the resulting dollar value cost of insurance based on the input above and the project installed cost (net of financing costs).  It is provided simply as a reference for the user.
</t>
        </r>
        <r>
          <rPr>
            <sz val="8"/>
            <color indexed="81"/>
            <rFont val="Tahoma"/>
            <family val="2"/>
          </rPr>
          <t xml:space="preserve">
</t>
        </r>
      </text>
    </comment>
    <comment ref="S37" authorId="0" shapeId="0" xr:uid="{00000000-0006-0000-0100-00003D000000}">
      <text>
        <r>
          <rPr>
            <b/>
            <sz val="14"/>
            <color indexed="81"/>
            <rFont val="Tahoma"/>
            <family val="2"/>
          </rPr>
          <t xml:space="preserve">Note:
</t>
        </r>
        <r>
          <rPr>
            <sz val="14"/>
            <color indexed="81"/>
            <rFont val="Tahoma"/>
            <family val="2"/>
          </rPr>
          <t xml:space="preserve">Calculates the dollar value of the State Investment Tax Credit, if applicable.
</t>
        </r>
      </text>
    </comment>
    <comment ref="I38" authorId="1" shapeId="0" xr:uid="{00000000-0006-0000-0100-00003E000000}">
      <text>
        <r>
          <rPr>
            <b/>
            <sz val="14"/>
            <color indexed="81"/>
            <rFont val="Tahoma"/>
            <family val="2"/>
          </rPr>
          <t>Note:</t>
        </r>
        <r>
          <rPr>
            <sz val="14"/>
            <color indexed="81"/>
            <rFont val="Tahoma"/>
            <family val="2"/>
          </rPr>
          <t xml:space="preserve">
"Project Management" accounts for the cost of staff time related to managing the project's PPAs, grid integration, and periodic reporting to the system operator and policymakers.  
Input cannot be less than zero.
</t>
        </r>
      </text>
    </comment>
    <comment ref="S38" authorId="0" shapeId="0" xr:uid="{00000000-0006-0000-0100-00003F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39" authorId="1" shapeId="0" xr:uid="{00000000-0006-0000-0100-000040000000}">
      <text>
        <r>
          <rPr>
            <b/>
            <sz val="14"/>
            <color indexed="81"/>
            <rFont val="Tahoma"/>
            <family val="2"/>
          </rPr>
          <t xml:space="preserve">Note:
</t>
        </r>
        <r>
          <rPr>
            <sz val="14"/>
            <color indexed="81"/>
            <rFont val="Tahoma"/>
            <family val="2"/>
          </rPr>
          <t>"Property Tax or PILOT" accounts for costs associated with any local taxes incurred by the project. Many states offer tax exemptions for renewable energy systems; to check your local applicability, please visit: http://dsireusa.org/
*See bottom of introduction page for a list of links 
This line can also be used to account for any PILOTs or Payment in Leiu of Taxes. Developers often negotiate a PILOT with the local community to secure a fixed, predictable payment that serves both parties appropriately. This model allows the user to input a year-one Property Tax or PILOT value along with an annual property tax adjsutment factor (see next cell down). As a result, taxes can be modeled as flat, increasing, or decreasing annually depending on the value entered in the adjustment factor cell below.
Input cannot be less than zero.</t>
        </r>
      </text>
    </comment>
    <comment ref="S39" authorId="0" shapeId="0" xr:uid="{00000000-0006-0000-0100-000041000000}">
      <text>
        <r>
          <rPr>
            <b/>
            <sz val="14"/>
            <color indexed="81"/>
            <rFont val="Tahoma"/>
            <family val="2"/>
          </rPr>
          <t xml:space="preserve">Note:
</t>
        </r>
        <r>
          <rPr>
            <sz val="14"/>
            <color indexed="81"/>
            <rFont val="Tahoma"/>
            <family val="2"/>
          </rPr>
          <t xml:space="preserve">Enter here the annual dollar value ("cap") of any state-specific production incentive.
</t>
        </r>
        <r>
          <rPr>
            <b/>
            <sz val="16"/>
            <color indexed="81"/>
            <rFont val="Tahoma"/>
            <family val="2"/>
          </rPr>
          <t>If no cap exists, enter zero.</t>
        </r>
        <r>
          <rPr>
            <sz val="14"/>
            <color indexed="81"/>
            <rFont val="Tahoma"/>
            <family val="2"/>
          </rPr>
          <t xml:space="preserve">
Input cannot be less than zero.
</t>
        </r>
      </text>
    </comment>
    <comment ref="I40" authorId="1" shapeId="0" xr:uid="{00000000-0006-0000-0100-000042000000}">
      <text>
        <r>
          <rPr>
            <b/>
            <sz val="14"/>
            <color indexed="81"/>
            <rFont val="Tahoma"/>
            <family val="2"/>
          </rPr>
          <t xml:space="preserve">Note:
</t>
        </r>
        <r>
          <rPr>
            <sz val="14"/>
            <color indexed="81"/>
            <rFont val="Tahoma"/>
            <family val="2"/>
          </rPr>
          <t xml:space="preserve">The Annual Property Tax Adjustment Factor allows the user to specify whether the Year One tax (or PILOT) value will remain fixed and flat, will decrease (a negative percentage value entered in this cell) or increase (a positive percentage value entered in this cell) over time.  </t>
        </r>
        <r>
          <rPr>
            <sz val="8"/>
            <color indexed="81"/>
            <rFont val="Tahoma"/>
            <family val="2"/>
          </rPr>
          <t xml:space="preserve">
</t>
        </r>
      </text>
    </comment>
    <comment ref="S40" authorId="0" shapeId="0" xr:uid="{00000000-0006-0000-0100-000043000000}">
      <text>
        <r>
          <rPr>
            <b/>
            <sz val="14"/>
            <color indexed="81"/>
            <rFont val="Tahoma"/>
            <family val="2"/>
          </rPr>
          <t xml:space="preserve">Note:
</t>
        </r>
        <r>
          <rPr>
            <sz val="14"/>
            <color indexed="81"/>
            <rFont val="Tahoma"/>
            <family val="2"/>
          </rPr>
          <t xml:space="preserve">Impacts tax treatment of PBI if owner is a taxable entity.
</t>
        </r>
      </text>
    </comment>
    <comment ref="I41" authorId="1" shapeId="0" xr:uid="{00000000-0006-0000-0100-000044000000}">
      <text>
        <r>
          <rPr>
            <b/>
            <sz val="14"/>
            <color indexed="81"/>
            <rFont val="Tahoma"/>
            <family val="2"/>
          </rPr>
          <t xml:space="preserve">Note:
</t>
        </r>
        <r>
          <rPr>
            <sz val="14"/>
            <color indexed="81"/>
            <rFont val="Tahoma"/>
            <family val="2"/>
          </rPr>
          <t xml:space="preserve">The Land Lease input represents </t>
        </r>
        <r>
          <rPr>
            <b/>
            <u/>
            <sz val="14"/>
            <color indexed="81"/>
            <rFont val="Tahoma"/>
            <family val="2"/>
          </rPr>
          <t>fixed</t>
        </r>
        <r>
          <rPr>
            <sz val="14"/>
            <color indexed="81"/>
            <rFont val="Tahoma"/>
            <family val="2"/>
          </rPr>
          <t xml:space="preserve"> payments to the site host (and possibly other affected parties) for the use of the land on which the project is located.  
Variable royalty payments may be applied in addition to, or in lieu of, the land lease payment through the "Royalties" input below, if applicable.  
Input cannot be less than zero.
</t>
        </r>
      </text>
    </comment>
    <comment ref="S41" authorId="0" shapeId="0" xr:uid="{00000000-0006-0000-0100-000045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42" authorId="1" shapeId="0" xr:uid="{00000000-0006-0000-0100-000046000000}">
      <text>
        <r>
          <rPr>
            <b/>
            <sz val="14"/>
            <color indexed="81"/>
            <rFont val="Tahoma"/>
            <family val="2"/>
          </rPr>
          <t xml:space="preserve">Note:
</t>
        </r>
        <r>
          <rPr>
            <sz val="14"/>
            <color indexed="81"/>
            <rFont val="Tahoma"/>
            <family val="2"/>
          </rPr>
          <t xml:space="preserve">The royalties input accounts for </t>
        </r>
        <r>
          <rPr>
            <b/>
            <u/>
            <sz val="14"/>
            <color indexed="81"/>
            <rFont val="Tahoma"/>
            <family val="2"/>
          </rPr>
          <t>variable</t>
        </r>
        <r>
          <rPr>
            <sz val="14"/>
            <color indexed="81"/>
            <rFont val="Tahoma"/>
            <family val="2"/>
          </rPr>
          <t xml:space="preserve"> payments to site hosts, neighbors, partners, or other parties which may have a stake in the project and which are NOT covered by the fixed "Land Lease" payment. 
Fixed payments may be applied in addition to, or in lieu of, the royalty payment through the "Land Lease" input above, if applicable.  
</t>
        </r>
        <r>
          <rPr>
            <b/>
            <sz val="14"/>
            <color indexed="81"/>
            <rFont val="Tahoma"/>
            <family val="2"/>
          </rPr>
          <t>Inflation is NOT applied to this input.</t>
        </r>
        <r>
          <rPr>
            <sz val="14"/>
            <color indexed="81"/>
            <rFont val="Tahoma"/>
            <family val="2"/>
          </rPr>
          <t xml:space="preserve"> However, if tariff escalation is selected, then the assumed royalty payment will increase over time since it is calculated as a function of revenue over time.</t>
        </r>
        <r>
          <rPr>
            <b/>
            <sz val="14"/>
            <color indexed="81"/>
            <rFont val="Tahoma"/>
            <family val="2"/>
          </rPr>
          <t xml:space="preserve">
</t>
        </r>
        <r>
          <rPr>
            <sz val="14"/>
            <color indexed="81"/>
            <rFont val="Tahoma"/>
            <family val="2"/>
          </rPr>
          <t xml:space="preserve">If your project's royalty payments are not the same over time, then an average annual royalty payment should be calculated externally and entered in this cell. 
This input cannot be less than zero.
</t>
        </r>
        <r>
          <rPr>
            <sz val="8"/>
            <color indexed="81"/>
            <rFont val="Tahoma"/>
            <family val="2"/>
          </rPr>
          <t xml:space="preserve">
</t>
        </r>
      </text>
    </comment>
    <comment ref="I43" authorId="0" shapeId="0" xr:uid="{00000000-0006-0000-0100-000047000000}">
      <text>
        <r>
          <rPr>
            <b/>
            <sz val="14"/>
            <color indexed="81"/>
            <rFont val="Tahoma"/>
            <family val="2"/>
          </rPr>
          <t xml:space="preserve">Note:
</t>
        </r>
        <r>
          <rPr>
            <sz val="14"/>
            <color indexed="81"/>
            <rFont val="Tahoma"/>
            <family val="2"/>
          </rPr>
          <t xml:space="preserve">This cell calculates the resulting dollar value cost of royalties paid to landowners or other stakeholders based on the input above and project revenue.  It is provided simply as a reference for the user.
</t>
        </r>
        <r>
          <rPr>
            <sz val="8"/>
            <color indexed="81"/>
            <rFont val="Tahoma"/>
            <family val="2"/>
          </rPr>
          <t xml:space="preserve">
</t>
        </r>
      </text>
    </comment>
    <comment ref="S43" authorId="0" shapeId="0" xr:uid="{00000000-0006-0000-0100-000048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44" authorId="0" shapeId="0" xr:uid="{00000000-0006-0000-0100-000049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text>
    </comment>
    <comment ref="F45" authorId="0" shapeId="0" xr:uid="{00000000-0006-0000-0100-00004A000000}">
      <text>
        <r>
          <rPr>
            <b/>
            <sz val="8"/>
            <color indexed="81"/>
            <rFont val="Tahoma"/>
            <family val="2"/>
          </rPr>
          <t>See "unit" definitions at the bottom of this worksheet.</t>
        </r>
        <r>
          <rPr>
            <sz val="8"/>
            <color indexed="81"/>
            <rFont val="Tahoma"/>
            <family val="2"/>
          </rPr>
          <t xml:space="preserve">
</t>
        </r>
      </text>
    </comment>
    <comment ref="S45" authorId="0" shapeId="0" xr:uid="{00000000-0006-0000-0100-00004B000000}">
      <text>
        <r>
          <rPr>
            <b/>
            <sz val="14"/>
            <color indexed="81"/>
            <rFont val="Tahoma"/>
            <family val="2"/>
          </rPr>
          <t xml:space="preserve">Note:
</t>
        </r>
        <r>
          <rPr>
            <sz val="14"/>
            <color indexed="81"/>
            <rFont val="Tahoma"/>
            <family val="2"/>
          </rPr>
          <t xml:space="preserve">Include here the dollar per Watt value of any state-specific rebates or cash grants.
Input cannot be less than zero.
</t>
        </r>
      </text>
    </comment>
    <comment ref="I46" authorId="0" shapeId="0" xr:uid="{00000000-0006-0000-0100-00004C000000}">
      <text>
        <r>
          <rPr>
            <b/>
            <sz val="14"/>
            <color indexed="81"/>
            <rFont val="Tahoma"/>
            <family val="2"/>
          </rPr>
          <t xml:space="preserve">Note:
</t>
        </r>
        <r>
          <rPr>
            <sz val="14"/>
            <color indexed="81"/>
            <rFont val="Tahoma"/>
            <family val="2"/>
          </rPr>
          <t xml:space="preserve">The # of months from construction start to commercial operation. This input cannot be less than zero.
</t>
        </r>
      </text>
    </comment>
    <comment ref="S46" authorId="0" shapeId="0" xr:uid="{00000000-0006-0000-0100-00004D000000}">
      <text>
        <r>
          <rPr>
            <b/>
            <sz val="14"/>
            <color indexed="81"/>
            <rFont val="Tahoma"/>
            <family val="2"/>
          </rPr>
          <t xml:space="preserve">Note:
</t>
        </r>
        <r>
          <rPr>
            <sz val="14"/>
            <color indexed="81"/>
            <rFont val="Tahoma"/>
            <family val="2"/>
          </rPr>
          <t xml:space="preserve">Enter here the maximum dollar value ("cap") of any state-specific rebate or grant.
If no cap exists, enter zero.
Input cannot be less than zero.
</t>
        </r>
      </text>
    </comment>
    <comment ref="I47" authorId="0" shapeId="0" xr:uid="{00000000-0006-0000-0100-00004E000000}">
      <text>
        <r>
          <rPr>
            <b/>
            <sz val="14"/>
            <color indexed="81"/>
            <rFont val="Tahoma"/>
            <family val="2"/>
          </rPr>
          <t xml:space="preserve">Note:
</t>
        </r>
        <r>
          <rPr>
            <sz val="14"/>
            <color indexed="81"/>
            <rFont val="Tahoma"/>
            <family val="2"/>
          </rPr>
          <t xml:space="preserve">The annual interest rate on construction debt. This input cannot be less than zero.
</t>
        </r>
      </text>
    </comment>
    <comment ref="S47" authorId="0" shapeId="0" xr:uid="{00000000-0006-0000-0100-00004F000000}">
      <text>
        <r>
          <rPr>
            <b/>
            <sz val="14"/>
            <color indexed="81"/>
            <rFont val="Tahoma"/>
            <family val="2"/>
          </rPr>
          <t xml:space="preserve">Note:
</t>
        </r>
        <r>
          <rPr>
            <sz val="14"/>
            <color indexed="81"/>
            <rFont val="Tahoma"/>
            <family val="2"/>
          </rPr>
          <t xml:space="preserve">Select here whether state grants are treated as taxable income.  If no, depreciation basis is reduced. 
</t>
        </r>
      </text>
    </comment>
    <comment ref="I48" authorId="0" shapeId="0" xr:uid="{00000000-0006-0000-0100-000050000000}">
      <text>
        <r>
          <rPr>
            <b/>
            <sz val="14"/>
            <color indexed="81"/>
            <rFont val="Tahoma"/>
            <family val="2"/>
          </rPr>
          <t xml:space="preserve">Note:
</t>
        </r>
        <r>
          <rPr>
            <sz val="14"/>
            <color indexed="81"/>
            <rFont val="Tahoma"/>
            <family val="2"/>
          </rPr>
          <t xml:space="preserve">A calculated value showing the interest accrued during the construction period. Rather than requiring the user to define a detailed construction draw-down schedule, this calculation makes the simplifying assumption that the total project cost is spent in equal parts in each month of the construction period.
IDC is calculated on total project cost, assuming that any grants are collected after construction financing is repaid at time of permanent financing.
This cell is only used with the "Intermediate" and "Complex" capital cost options. The "Simple" capital cost option assumes that all project costs, including IDC, are included in the single input.
</t>
        </r>
      </text>
    </comment>
    <comment ref="F50" authorId="0" shapeId="0" xr:uid="{00000000-0006-0000-0100-000051000000}">
      <text>
        <r>
          <rPr>
            <b/>
            <sz val="8"/>
            <color indexed="81"/>
            <rFont val="Tahoma"/>
            <family val="2"/>
          </rPr>
          <t>See "unit" definitions at the bottom of this worksheet.</t>
        </r>
        <r>
          <rPr>
            <sz val="8"/>
            <color indexed="81"/>
            <rFont val="Tahoma"/>
            <family val="2"/>
          </rPr>
          <t xml:space="preserve">
</t>
        </r>
      </text>
    </comment>
    <comment ref="S50" authorId="0" shapeId="0" xr:uid="{00000000-0006-0000-0100-000052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zero and less than the Project Useful Life.
</t>
        </r>
      </text>
    </comment>
    <comment ref="I51" authorId="0" shapeId="0" xr:uid="{00000000-0006-0000-0100-000053000000}">
      <text>
        <r>
          <rPr>
            <b/>
            <sz val="14"/>
            <color indexed="81"/>
            <rFont val="Tahoma"/>
            <family val="2"/>
          </rPr>
          <t xml:space="preserve">Note:
</t>
        </r>
        <r>
          <rPr>
            <sz val="14"/>
            <color indexed="81"/>
            <rFont val="Tahoma"/>
            <family val="2"/>
          </rPr>
          <t xml:space="preserve">For ease of use and comprehension by a wide range of stakeholders, this model allows the user to define the capital structure, and relies on mortgage-style amortization of the project debt. The "% Debt" input specifies the portion of funds borrowed, as a percentage of the total "hard costs." Equity is assumed to fund the remaining hard costs PLUS all "soft costs" (e.g. transaction costs and funding of initial reserve accounts, if applicable).  This input cannot be less than zero.
Where maximum sustainable leverage is desired, the user must manually adjust the "% Debt" entry upward to the highest point </t>
        </r>
        <r>
          <rPr>
            <b/>
            <i/>
            <sz val="14"/>
            <color indexed="81"/>
            <rFont val="Tahoma"/>
            <family val="2"/>
          </rPr>
          <t>before</t>
        </r>
        <r>
          <rPr>
            <sz val="14"/>
            <color indexed="81"/>
            <rFont val="Tahoma"/>
            <family val="2"/>
          </rPr>
          <t xml:space="preserve"> the DSCRs no longer "Pass."
If a specific % Debt is desired, </t>
        </r>
        <r>
          <rPr>
            <u/>
            <sz val="14"/>
            <color indexed="81"/>
            <rFont val="Tahoma"/>
            <family val="2"/>
          </rPr>
          <t>and such % is higher than the maximum sustainable debt</t>
        </r>
        <r>
          <rPr>
            <sz val="14"/>
            <color indexed="81"/>
            <rFont val="Tahoma"/>
            <family val="2"/>
          </rPr>
          <t xml:space="preserve"> (such that it causes the DSCR to "Fail"), then the user must define the % Debt and then manually adjust the "Target After-Tax Equity IRR" upward until the DSCRs are met.  The user should </t>
        </r>
        <r>
          <rPr>
            <b/>
            <sz val="14"/>
            <color indexed="81"/>
            <rFont val="Tahoma"/>
            <family val="2"/>
          </rPr>
          <t>take note</t>
        </r>
        <r>
          <rPr>
            <sz val="14"/>
            <color indexed="81"/>
            <rFont val="Tahoma"/>
            <family val="2"/>
          </rPr>
          <t xml:space="preserve"> that when leverage becomes very high (and the corresponding equity contribution low), the "Target After-Tax Equity IRR" will need to be adjusted to levels exceeding typical commercial returns </t>
        </r>
        <r>
          <rPr>
            <u/>
            <sz val="14"/>
            <color indexed="81"/>
            <rFont val="Tahoma"/>
            <family val="2"/>
          </rPr>
          <t>in order to maintain the DSCR ratio</t>
        </r>
        <r>
          <rPr>
            <sz val="14"/>
            <color indexed="81"/>
            <rFont val="Tahoma"/>
            <family val="2"/>
          </rPr>
          <t xml:space="preserve"> on such high debt levels.  For this reason, it is not recommended that users solve for the COE associated with a % Debt that is beyond the maximum sustainable leverage.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51" authorId="0" shapeId="0" xr:uid="{00000000-0006-0000-0100-000054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2" authorId="1" shapeId="0" xr:uid="{00000000-0006-0000-0100-000055000000}">
      <text>
        <r>
          <rPr>
            <b/>
            <sz val="14"/>
            <color indexed="81"/>
            <rFont val="Tahoma"/>
            <family val="2"/>
          </rPr>
          <t>Note:</t>
        </r>
        <r>
          <rPr>
            <sz val="14"/>
            <color indexed="81"/>
            <rFont val="Tahoma"/>
            <family val="2"/>
          </rPr>
          <t xml:space="preserve">
Debt "tenor" (also casually referred to as "term"), is the number of years in the debt repayment schedule.   
Caution: If the project will utilize debt, this value must be greater than zero but less than or equal to the total FIT contract duration.
</t>
        </r>
      </text>
    </comment>
    <comment ref="S52" authorId="0" shapeId="0" xr:uid="{00000000-0006-0000-0100-000056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the year of 1st Equipment Replacement and less than the Project Useful Life.
</t>
        </r>
      </text>
    </comment>
    <comment ref="I53" authorId="1" shapeId="0" xr:uid="{00000000-0006-0000-0100-000057000000}">
      <text>
        <r>
          <rPr>
            <b/>
            <sz val="14"/>
            <color indexed="81"/>
            <rFont val="Tahoma"/>
            <family val="2"/>
          </rPr>
          <t>Note:</t>
        </r>
        <r>
          <rPr>
            <sz val="14"/>
            <color indexed="81"/>
            <rFont val="Tahoma"/>
            <family val="2"/>
          </rPr>
          <t xml:space="preserve">
The all-in interest rate is the financing rate provided by the bank or other debt investor.
This input cannot be less than zero.
</t>
        </r>
      </text>
    </comment>
    <comment ref="S53" authorId="0" shapeId="0" xr:uid="{00000000-0006-0000-0100-000058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4" authorId="0" shapeId="0" xr:uid="{00000000-0006-0000-0100-000059000000}">
      <text>
        <r>
          <rPr>
            <b/>
            <sz val="14"/>
            <color indexed="81"/>
            <rFont val="Tahoma"/>
            <family val="2"/>
          </rPr>
          <t xml:space="preserve">Note:
</t>
        </r>
        <r>
          <rPr>
            <sz val="14"/>
            <color indexed="81"/>
            <rFont val="Tahoma"/>
            <family val="2"/>
          </rPr>
          <t xml:space="preserve">A one-time fee collected by the lender and calculated as a % of the total loan amount. This value is typically between 1% and 4%.
This input cannot be less than zero.
</t>
        </r>
      </text>
    </comment>
    <comment ref="I55" authorId="1" shapeId="0" xr:uid="{00000000-0006-0000-0100-00005A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Average DSCRs over the life of the loan typically range from 1.2 to 1.5 for private, commercially financed projects, or from 1.1 to 1.3 for publicly owned, bond-financed projects - depending on the level of reserves, or other surety, provided. 
The annual minimum DSCR will depend on the specific terms of the loan and the probability-weighting of the production estimate, but will likely be in the range of 1.0 to 1.3. This input must be greater than 1.
</t>
        </r>
      </text>
    </comment>
    <comment ref="P55" authorId="0" shapeId="0" xr:uid="{00000000-0006-0000-0100-00005B000000}">
      <text>
        <r>
          <rPr>
            <b/>
            <sz val="8"/>
            <color indexed="81"/>
            <rFont val="Tahoma"/>
            <family val="2"/>
          </rPr>
          <t>See "unit" definitions at the bottom of this worksheet.</t>
        </r>
        <r>
          <rPr>
            <sz val="8"/>
            <color indexed="81"/>
            <rFont val="Tahoma"/>
            <family val="2"/>
          </rPr>
          <t xml:space="preserve">
</t>
        </r>
      </text>
    </comment>
    <comment ref="I56" authorId="0" shapeId="0" xr:uid="{00000000-0006-0000-0100-00005C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57" authorId="1" shapeId="0" xr:uid="{00000000-0006-0000-0100-00005D000000}">
      <text>
        <r>
          <rPr>
            <b/>
            <sz val="14"/>
            <color indexed="81"/>
            <rFont val="Tahoma"/>
            <family val="2"/>
          </rPr>
          <t>Note:</t>
        </r>
        <r>
          <rPr>
            <sz val="14"/>
            <color indexed="81"/>
            <rFont val="Tahoma"/>
            <family val="2"/>
          </rPr>
          <t xml:space="preserve">
This cell checks that the debt service coverage ratio exceeds the user-defined minimum in each operating year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S57" authorId="1" shapeId="0" xr:uid="{00000000-0006-0000-0100-00005E000000}">
      <text>
        <r>
          <rPr>
            <b/>
            <sz val="14"/>
            <color indexed="81"/>
            <rFont val="Tahoma"/>
            <family val="2"/>
          </rPr>
          <t xml:space="preserve">Note:
</t>
        </r>
        <r>
          <rPr>
            <sz val="14"/>
            <color indexed="81"/>
            <rFont val="Tahoma"/>
            <family val="2"/>
          </rPr>
          <t xml:space="preserve">In order to ensure that project owners have sufficient funds to decommission and remove equipment at the end of a project's life, many owners choose to create and fund a reserve account throughout the course of project. 
This input cell allows the modeler to choose whether to pay for project removal by creating and funding a reserve account over the project life by selecting "Operations" or to assume that a project's removal will be funded by selling the equipment, by selecting "Salvage".
</t>
        </r>
      </text>
    </comment>
    <comment ref="I58" authorId="1" shapeId="0" xr:uid="{00000000-0006-0000-0100-00005F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t>
        </r>
        <r>
          <rPr>
            <u/>
            <sz val="14"/>
            <color indexed="81"/>
            <rFont val="Tahoma"/>
            <family val="2"/>
          </rPr>
          <t>Average</t>
        </r>
        <r>
          <rPr>
            <sz val="14"/>
            <color indexed="81"/>
            <rFont val="Tahoma"/>
            <family val="2"/>
          </rPr>
          <t xml:space="preserve"> DSCRs over the life of the loan typically range from 1.2 to 1.5 for private, commercially financed projects, or from 1.1 to 1.3 for publicly owned, bond-financed projects - depending on the level of reserves, or other surety, provided. 
The </t>
        </r>
        <r>
          <rPr>
            <u/>
            <sz val="14"/>
            <color indexed="81"/>
            <rFont val="Tahoma"/>
            <family val="2"/>
          </rPr>
          <t>annual minimum</t>
        </r>
        <r>
          <rPr>
            <sz val="14"/>
            <color indexed="81"/>
            <rFont val="Tahoma"/>
            <family val="2"/>
          </rPr>
          <t xml:space="preserve"> DSCR will depend on the specific terms of the loan and the probability-weighting of the production estimate, but will likely be in the range of 1.0 to 1.3. This input must be greater than 1.
</t>
        </r>
      </text>
    </comment>
    <comment ref="S58" authorId="0" shapeId="0" xr:uid="{00000000-0006-0000-0100-000060000000}">
      <text>
        <r>
          <rPr>
            <b/>
            <sz val="14"/>
            <color indexed="81"/>
            <rFont val="Tahoma"/>
            <family val="2"/>
          </rPr>
          <t>Note:</t>
        </r>
        <r>
          <rPr>
            <sz val="14"/>
            <color indexed="81"/>
            <rFont val="Tahoma"/>
            <family val="2"/>
          </rPr>
          <t xml:space="preserve">
This input cell allows the user to assume the creation of a reserve account. The value entered here will be accounted for in the project's cash flow, and would be funded evenly over the number of years available between the project's commercial operation and the end of its useful life.
Input cannot be less than zero.
</t>
        </r>
      </text>
    </comment>
    <comment ref="I59" authorId="0" shapeId="0" xr:uid="{00000000-0006-0000-0100-000061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60" authorId="1" shapeId="0" xr:uid="{00000000-0006-0000-0100-000062000000}">
      <text>
        <r>
          <rPr>
            <b/>
            <sz val="14"/>
            <color indexed="81"/>
            <rFont val="Tahoma"/>
            <family val="2"/>
          </rPr>
          <t>Note:</t>
        </r>
        <r>
          <rPr>
            <sz val="14"/>
            <color indexed="81"/>
            <rFont val="Tahoma"/>
            <family val="2"/>
          </rPr>
          <t xml:space="preserve">
This cell checks that the average debt service coverage ratio exceeds the user-defined minimum during the period for which debt is outstanding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P60" authorId="0" shapeId="0" xr:uid="{00000000-0006-0000-0100-000063000000}">
      <text>
        <r>
          <rPr>
            <b/>
            <sz val="8"/>
            <color indexed="81"/>
            <rFont val="Tahoma"/>
            <family val="2"/>
          </rPr>
          <t>See "unit" definitions at the bottom of this worksheet.</t>
        </r>
        <r>
          <rPr>
            <sz val="8"/>
            <color indexed="81"/>
            <rFont val="Tahoma"/>
            <family val="2"/>
          </rPr>
          <t xml:space="preserve">
</t>
        </r>
      </text>
    </comment>
    <comment ref="I61" authorId="0" shapeId="0" xr:uid="{00000000-0006-0000-0100-000064000000}">
      <text>
        <r>
          <rPr>
            <b/>
            <sz val="14"/>
            <color indexed="81"/>
            <rFont val="Tahoma"/>
            <family val="2"/>
          </rPr>
          <t xml:space="preserve">Note:
</t>
        </r>
        <r>
          <rPr>
            <sz val="14"/>
            <color indexed="81"/>
            <rFont val="Tahoma"/>
            <family val="2"/>
          </rPr>
          <t xml:space="preserve">The portion of total project cost funded from equity investors. This cell is a calculation and not an input. It is calculated as 100% minus the "% Debt" entered above.
</t>
        </r>
      </text>
    </comment>
    <comment ref="I62" authorId="1" shapeId="0" xr:uid="{00000000-0006-0000-0100-000065000000}">
      <text>
        <r>
          <rPr>
            <b/>
            <sz val="14"/>
            <color indexed="81"/>
            <rFont val="Tahoma"/>
            <family val="2"/>
          </rPr>
          <t>Note:</t>
        </r>
        <r>
          <rPr>
            <sz val="14"/>
            <color indexed="81"/>
            <rFont val="Tahoma"/>
            <family val="2"/>
          </rPr>
          <t xml:space="preserve">
The target after-tax equity IRR is the equity investor's cost of capital -- or "discount rate" -- and is the minimum rate of return that the project owner will seek to attain in order to justify the project compared to alternative investments.  The CREST model assumes a single equity investor taking both cash and tax benefits.  As a result, the target after-tax equity IRR entered here should represent a blend of expected returns for both cash and tax equity investments.
The user should be explicit in his or her assumption regarding the term over which the target after-tax IRR is assumed to be realized. For example, the user could elect to align the return requirement with the tariff payment duration. In this case, the project useful life should be set equal to the tariff duration in order to calculate the COE associated with the target IRR over that period of time. 
In a second example, the user could elect to align the return requirement with the project's useful life. In this case, the user can either assume a tariff duration equal to the project life, or assume market-based revenue for the period after the tariff and before the end of the assumed project useful life.
This input cannot be less than zero.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62" authorId="0" shapeId="0" xr:uid="{00000000-0006-0000-0100-000066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loan repayments occur in full and on time even if the project has insufficient operating cash flow in a specific period due to lower than expected production, higher costs, or both. The size of the reserve account is typically equal to 6 months of debt service obligation.
Input cannot be less than zero.
</t>
        </r>
      </text>
    </comment>
    <comment ref="I63" authorId="0" shapeId="0" xr:uid="{00000000-0006-0000-0100-000067000000}">
      <text>
        <r>
          <rPr>
            <b/>
            <sz val="14"/>
            <color indexed="81"/>
            <rFont val="Tahoma"/>
            <family val="2"/>
          </rPr>
          <t xml:space="preserve">Note:
</t>
        </r>
        <r>
          <rPr>
            <sz val="14"/>
            <color indexed="81"/>
            <rFont val="Tahoma"/>
            <family val="2"/>
          </rPr>
          <t xml:space="preserve">The weighted average cost of capital combines the after-tax cost of both equity and debt in proportion to their use, and is calculated here for reference.
</t>
        </r>
      </text>
    </comment>
    <comment ref="S63" authorId="0" shapeId="0" xr:uid="{00000000-0006-0000-0100-000068000000}">
      <text>
        <r>
          <rPr>
            <b/>
            <sz val="14"/>
            <color indexed="81"/>
            <rFont val="Tahoma"/>
            <family val="2"/>
          </rPr>
          <t>Note:</t>
        </r>
        <r>
          <rPr>
            <sz val="14"/>
            <color indexed="81"/>
            <rFont val="Tahoma"/>
            <family val="2"/>
          </rPr>
          <t xml:space="preserve">
Calculated value based on the # months of required reserve and the capital structure and associated periodic debt obligation.
</t>
        </r>
      </text>
    </comment>
    <comment ref="I64" authorId="0" shapeId="0" xr:uid="{00000000-0006-0000-0100-000069000000}">
      <text>
        <r>
          <rPr>
            <b/>
            <sz val="14"/>
            <color indexed="81"/>
            <rFont val="Tahoma"/>
            <family val="2"/>
          </rPr>
          <t xml:space="preserve">Note:
</t>
        </r>
        <r>
          <rPr>
            <sz val="14"/>
            <color indexed="81"/>
            <rFont val="Tahoma"/>
            <family val="2"/>
          </rPr>
          <t>This cell represents the costs of both equity and debt due diligence (if applicable) and other transaction costs.
Input cannot be less than zero.</t>
        </r>
      </text>
    </comment>
    <comment ref="S65" authorId="0" shapeId="0" xr:uid="{00000000-0006-0000-0100-00006A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all O&amp;M expenses can be met even if the project has insufficient operating cash flow in a specific period due to lower than expected production, higher costs, or both. The size of the reserve account is typically 3 to 6 months of O&amp;M expenses, and includes all categories of O&amp;M expenses.
Input cannot be less than zero.
</t>
        </r>
      </text>
    </comment>
    <comment ref="S66" authorId="0" shapeId="0" xr:uid="{00000000-0006-0000-0100-00006B000000}">
      <text>
        <r>
          <rPr>
            <b/>
            <sz val="14"/>
            <color indexed="81"/>
            <rFont val="Tahoma"/>
            <family val="2"/>
          </rPr>
          <t>Note:</t>
        </r>
        <r>
          <rPr>
            <sz val="14"/>
            <color indexed="81"/>
            <rFont val="Tahoma"/>
            <family val="2"/>
          </rPr>
          <t xml:space="preserve">
Calculated value based on the # months of required reserve and all annual operating expenses.
</t>
        </r>
      </text>
    </comment>
    <comment ref="I67" authorId="0" shapeId="0" xr:uid="{00000000-0006-0000-0100-00006C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at the project's "Total Installed Cost."
</t>
        </r>
      </text>
    </comment>
    <comment ref="S67" authorId="0" shapeId="0" xr:uid="{00000000-0006-0000-0100-00006D000000}">
      <text>
        <r>
          <rPr>
            <b/>
            <sz val="14"/>
            <color indexed="81"/>
            <rFont val="Tahoma"/>
            <family val="2"/>
          </rPr>
          <t>Note:</t>
        </r>
        <r>
          <rPr>
            <sz val="14"/>
            <color indexed="81"/>
            <rFont val="Tahoma"/>
            <family val="2"/>
          </rPr>
          <t xml:space="preserve">
Unused reserves earn interest at this rate. Input cannot be less than zero.
</t>
        </r>
      </text>
    </comment>
    <comment ref="I68" authorId="0" shapeId="0" xr:uid="{00000000-0006-0000-0100-00006E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I69" authorId="1" shapeId="0" xr:uid="{00000000-0006-0000-0100-00006F000000}">
      <text>
        <r>
          <rPr>
            <b/>
            <sz val="14"/>
            <color indexed="81"/>
            <rFont val="Tahoma"/>
            <family val="2"/>
          </rPr>
          <t xml:space="preserve">Note:
</t>
        </r>
        <r>
          <rPr>
            <sz val="14"/>
            <color indexed="81"/>
            <rFont val="Tahoma"/>
            <family val="2"/>
          </rPr>
          <t xml:space="preserve">This cell calculates the total of all applicable grants, excluding the payment in lieu of the Federal ITC (also known as the ITC Cash Grant, or Cash Grant), if applicable.  The ITC Cash Grant is considered separately because unlike grants issued upfront and used to offset capital costs, the ITC Cash Grant is disbursed approxiamtely 60 days after the start of commercial operations and therefore becomes an integral part of the project's financing.
Where grants are treated as taxable income, this cell calculates the after-tax impact on the total cost of the project.
  </t>
        </r>
        <r>
          <rPr>
            <sz val="8"/>
            <color indexed="81"/>
            <rFont val="Tahoma"/>
            <family val="2"/>
          </rPr>
          <t xml:space="preserve">
</t>
        </r>
      </text>
    </comment>
    <comment ref="I70" authorId="0" shapeId="0" xr:uid="{00000000-0006-0000-0100-000070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S70" authorId="0" shapeId="0" xr:uid="{00000000-0006-0000-0100-000071000000}">
      <text>
        <r>
          <rPr>
            <b/>
            <sz val="14"/>
            <color indexed="81"/>
            <rFont val="Tahoma"/>
            <family val="2"/>
          </rPr>
          <t>Note:</t>
        </r>
        <r>
          <rPr>
            <sz val="14"/>
            <color indexed="81"/>
            <rFont val="Tahoma"/>
            <family val="2"/>
          </rPr>
          <t xml:space="preserve">
To qualify for Bonus Depreciation the property must have a recovery period of 20 years or less (under normal federal tax depreciation rules), and the project must commence operation in the year in which bonus depreciation is in effect and under the ownership of the entity claiming the deduction. 
For qualifying projects, the owner is entitled to deduct 50% of the adjusted basis of the property during the tax year the property is first placed in service. The remaining 50% of the adjusted basis of the property is depreciated over the ordinary MACRS depreciation schedule. The bonus depreciation rules do not override the depreciation limit applicable to projects qualifying for the federal ITC. Before calculating depreciation for such a project, including any bonus depreciation, the adjusted basis of the project must be reduced by one-half of the amount of the ITC for which the project qualifies. 
</t>
        </r>
      </text>
    </comment>
    <comment ref="S71" authorId="0" shapeId="0" xr:uid="{00000000-0006-0000-0100-000072000000}">
      <text>
        <r>
          <rPr>
            <b/>
            <sz val="14"/>
            <color indexed="81"/>
            <rFont val="Tahoma"/>
            <family val="2"/>
          </rPr>
          <t>Note:</t>
        </r>
        <r>
          <rPr>
            <sz val="14"/>
            <color indexed="81"/>
            <rFont val="Tahoma"/>
            <family val="2"/>
          </rPr>
          <t xml:space="preserve">
This input allows the user to define the bonus depreciation % applied in Year 1, if applicable.  Historically, federal bonus depreciation has been 50% of the eligible cost basis (after taking into account reductions in such cost basis for the ITC, if applicable).  
Input cannot be less than zero.
</t>
        </r>
      </text>
    </comment>
    <comment ref="F72" authorId="0" shapeId="0" xr:uid="{00000000-0006-0000-0100-000073000000}">
      <text>
        <r>
          <rPr>
            <b/>
            <sz val="8"/>
            <color indexed="81"/>
            <rFont val="Tahoma"/>
            <family val="2"/>
          </rPr>
          <t>See "unit" definitions at the bottom of this worksheet.</t>
        </r>
        <r>
          <rPr>
            <sz val="8"/>
            <color indexed="81"/>
            <rFont val="Tahoma"/>
            <family val="2"/>
          </rPr>
          <t xml:space="preserve">
</t>
        </r>
      </text>
    </comment>
    <comment ref="I73" authorId="0" shapeId="0" xr:uid="{00000000-0006-0000-0100-000074000000}">
      <text>
        <r>
          <rPr>
            <b/>
            <sz val="14"/>
            <color indexed="81"/>
            <rFont val="Tahoma"/>
            <family val="2"/>
          </rPr>
          <t xml:space="preserve">Note:
</t>
        </r>
        <r>
          <rPr>
            <sz val="14"/>
            <color indexed="81"/>
            <rFont val="Tahoma"/>
            <family val="2"/>
          </rPr>
          <t xml:space="preserve">Defines whether the project owner is a taxable or non-taxable entity. This determines the treatment of income taxes and other tax-related items.
</t>
        </r>
      </text>
    </comment>
    <comment ref="AB73" authorId="0" shapeId="0" xr:uid="{00000000-0006-0000-0100-000075000000}">
      <text>
        <r>
          <rPr>
            <b/>
            <sz val="14"/>
            <color indexed="81"/>
            <rFont val="Tahoma"/>
            <family val="2"/>
          </rPr>
          <t>Note:</t>
        </r>
        <r>
          <rPr>
            <sz val="14"/>
            <color indexed="81"/>
            <rFont val="Tahoma"/>
            <family val="2"/>
          </rPr>
          <t xml:space="preserve">
When the "Simple" capital cost option is selected, the depreciation of total project costs is divided among the classifications using this row. The depreciation options associated with other levels of cost detail will be hidden.
</t>
        </r>
        <r>
          <rPr>
            <b/>
            <sz val="14"/>
            <color indexed="81"/>
            <rFont val="Tahoma"/>
            <family val="2"/>
          </rPr>
          <t xml:space="preserve">This row must sum to 100%.
</t>
        </r>
      </text>
    </comment>
    <comment ref="I74" authorId="0" shapeId="0" xr:uid="{00000000-0006-0000-0100-000076000000}">
      <text>
        <r>
          <rPr>
            <b/>
            <sz val="14"/>
            <color indexed="81"/>
            <rFont val="Tahoma"/>
            <family val="2"/>
          </rPr>
          <t xml:space="preserve">Note:
</t>
        </r>
        <r>
          <rPr>
            <sz val="14"/>
            <color indexed="81"/>
            <rFont val="Tahoma"/>
            <family val="2"/>
          </rPr>
          <t xml:space="preserve">Defines the project's federal income tax rate, if applicable.
Input cannot be less than zero.
</t>
        </r>
      </text>
    </comment>
    <comment ref="AB74" authorId="0" shapeId="0" xr:uid="{00000000-0006-0000-0100-000077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5" authorId="0" shapeId="0" xr:uid="{00000000-0006-0000-0100-000078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5" authorId="0" shapeId="0" xr:uid="{00000000-0006-0000-0100-000079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6" authorId="0" shapeId="0" xr:uid="{00000000-0006-0000-0100-00007A000000}">
      <text>
        <r>
          <rPr>
            <b/>
            <sz val="14"/>
            <color indexed="81"/>
            <rFont val="Tahoma"/>
            <family val="2"/>
          </rPr>
          <t xml:space="preserve">Note:
</t>
        </r>
        <r>
          <rPr>
            <sz val="14"/>
            <color indexed="81"/>
            <rFont val="Tahoma"/>
            <family val="2"/>
          </rPr>
          <t xml:space="preserve">Defines the project's state income tax rate, if applicable.
Input cannot be less than zero.
</t>
        </r>
      </text>
    </comment>
    <comment ref="AB76" authorId="0" shapeId="0" xr:uid="{00000000-0006-0000-0100-00007B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7" authorId="0" shapeId="0" xr:uid="{00000000-0006-0000-0100-00007C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7" authorId="0" shapeId="0" xr:uid="{00000000-0006-0000-0100-00007D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8" authorId="0" shapeId="0" xr:uid="{00000000-0006-0000-0100-00007E000000}">
      <text>
        <r>
          <rPr>
            <b/>
            <sz val="14"/>
            <color indexed="81"/>
            <rFont val="Tahoma"/>
            <family val="2"/>
          </rPr>
          <t xml:space="preserve">Note:
</t>
        </r>
        <r>
          <rPr>
            <sz val="14"/>
            <color indexed="81"/>
            <rFont val="Tahoma"/>
            <family val="2"/>
          </rPr>
          <t xml:space="preserve">Takes into account the interaction between federal and state tax rates. This is a calculated value.
</t>
        </r>
      </text>
    </comment>
    <comment ref="AB78" authorId="0" shapeId="0" xr:uid="{00000000-0006-0000-0100-00007F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9" authorId="0" shapeId="0" xr:uid="{00000000-0006-0000-0100-000080000000}">
      <text>
        <r>
          <rPr>
            <b/>
            <sz val="14"/>
            <color indexed="81"/>
            <rFont val="Tahoma"/>
            <family val="2"/>
          </rPr>
          <t xml:space="preserve">Note:
</t>
        </r>
        <r>
          <rPr>
            <sz val="14"/>
            <color indexed="81"/>
            <rFont val="Tahoma"/>
            <family val="2"/>
          </rPr>
          <t>Depreciation accounts for the "use" of equipment for tax purposes. The depreciation inputs are provided in the table to the right and on the Complex Capital Costs tab when this option is selected.</t>
        </r>
      </text>
    </comment>
    <comment ref="AB79" authorId="0" shapeId="0" xr:uid="{00000000-0006-0000-0100-000081000000}">
      <text>
        <r>
          <rPr>
            <b/>
            <sz val="14"/>
            <color indexed="81"/>
            <rFont val="Tahoma"/>
            <family val="2"/>
          </rPr>
          <t>Note:</t>
        </r>
        <r>
          <rPr>
            <sz val="14"/>
            <color indexed="81"/>
            <rFont val="Tahoma"/>
            <family val="2"/>
          </rPr>
          <t xml:space="preserve">
When the "Complex" capital cost option is selected, each line items is assigned its own depreciation classification using a drop-down menu on the Complex Capital Costs tab.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B5" authorId="0" shapeId="0" xr:uid="{00000000-0006-0000-0200-000001000000}">
      <text>
        <r>
          <rPr>
            <b/>
            <sz val="12"/>
            <color indexed="81"/>
            <rFont val="Tahoma"/>
            <family val="2"/>
          </rPr>
          <t>Note:</t>
        </r>
        <r>
          <rPr>
            <sz val="12"/>
            <color indexed="81"/>
            <rFont val="Tahoma"/>
            <family val="2"/>
          </rPr>
          <t xml:space="preserve">
One of the CREST model development objectives was to incorporate maximum functionality and flexibility, while maintaining a macro-free file.
As a result, the model calculates using a series of three data tables which converge onto the COE within several one-hundredths of a cent.
Because the three data tables rely on one another to calculate the COE, and the "Automatic" calculation setting only re-calculates the first data table under certain circumstances, it is sometimes necessary to press F9 more than once in order for the calculation to cascade through each of the three data tables.
If "#N/A" appears, F9 should be pressed until the calculated COE achieves it's final value.
</t>
        </r>
      </text>
    </comment>
    <comment ref="B14" authorId="0" shapeId="0" xr:uid="{00000000-0006-0000-0200-000002000000}">
      <text>
        <r>
          <rPr>
            <b/>
            <sz val="14"/>
            <color indexed="81"/>
            <rFont val="Tahoma"/>
            <family val="2"/>
          </rPr>
          <t xml:space="preserve">NOTE:
</t>
        </r>
        <r>
          <rPr>
            <sz val="14"/>
            <color indexed="81"/>
            <rFont val="Tahoma"/>
            <family val="2"/>
          </rPr>
          <t>The Nominal Levelized Cost of Energy (LCOE)
is the single, fixed rate with the same economic impact over the life of the project as the Year-One value escalated over time.  When a 0% escalator is assumed, the "Year-One COE" and "LCOE" are the same.
Both the Year One COE and the LCOE reflect the tariff rate necessary to achieve the project investor's required after tax rate of return, taking into account all applicable incentives and any market value of production assumed after the tariff expires and before the end of the project's useful life.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C4" authorId="0" shapeId="0" xr:uid="{00000000-0006-0000-0300-000001000000}">
      <text>
        <r>
          <rPr>
            <b/>
            <sz val="14"/>
            <color indexed="81"/>
            <rFont val="Tahoma"/>
            <family val="2"/>
          </rPr>
          <t xml:space="preserve">Note:
</t>
        </r>
        <r>
          <rPr>
            <sz val="14"/>
            <color indexed="81"/>
            <rFont val="Tahoma"/>
            <family val="2"/>
          </rPr>
          <t>During the FIT contract period, this column represents the feed-in tariff rate, including escalation if applicable.  After the FIT contract ends, this column represents the value of energy, capacity, renewable energy credits, or other attributes as defined and enterred by the user, if applicable.</t>
        </r>
      </text>
    </comment>
    <comment ref="D4" authorId="0" shapeId="0" xr:uid="{00000000-0006-0000-0300-000002000000}">
      <text>
        <r>
          <rPr>
            <sz val="8"/>
            <color indexed="81"/>
            <rFont val="Tahoma"/>
            <family val="2"/>
          </rPr>
          <t xml:space="preserve">
</t>
        </r>
        <r>
          <rPr>
            <b/>
            <sz val="14"/>
            <color indexed="81"/>
            <rFont val="Tahoma"/>
            <family val="2"/>
          </rPr>
          <t>Note:</t>
        </r>
        <r>
          <rPr>
            <sz val="8"/>
            <color indexed="81"/>
            <rFont val="Tahoma"/>
            <family val="2"/>
          </rPr>
          <t xml:space="preserve">
</t>
        </r>
        <r>
          <rPr>
            <sz val="14"/>
            <color indexed="81"/>
            <rFont val="Tahoma"/>
            <family val="2"/>
          </rPr>
          <t>includes performance-based incentives.</t>
        </r>
      </text>
    </comment>
    <comment ref="E4" authorId="0" shapeId="0" xr:uid="{00000000-0006-0000-0300-000003000000}">
      <text>
        <r>
          <rPr>
            <b/>
            <sz val="14"/>
            <color indexed="81"/>
            <rFont val="Tahoma"/>
            <family val="2"/>
          </rPr>
          <t>Note:</t>
        </r>
        <r>
          <rPr>
            <sz val="14"/>
            <color indexed="81"/>
            <rFont val="Tahoma"/>
            <family val="2"/>
          </rPr>
          <t xml:space="preserve">
Includes all land lease, royalty and local tax or PILOT.
</t>
        </r>
      </text>
    </comment>
    <comment ref="F4" authorId="0" shapeId="0" xr:uid="{00000000-0006-0000-0300-000004000000}">
      <text>
        <r>
          <rPr>
            <b/>
            <sz val="12"/>
            <color indexed="81"/>
            <rFont val="Tahoma"/>
            <family val="2"/>
          </rPr>
          <t xml:space="preserve">Note:
</t>
        </r>
        <r>
          <rPr>
            <sz val="12"/>
            <color indexed="81"/>
            <rFont val="Tahoma"/>
            <family val="2"/>
          </rPr>
          <t>Includes principle and interest, if debt is used.</t>
        </r>
      </text>
    </comment>
    <comment ref="G4" authorId="0" shapeId="0" xr:uid="{00000000-0006-0000-0300-000005000000}">
      <text>
        <r>
          <rPr>
            <b/>
            <sz val="14"/>
            <color indexed="81"/>
            <rFont val="Tahoma"/>
            <family val="2"/>
          </rPr>
          <t xml:space="preserve">Note:
</t>
        </r>
        <r>
          <rPr>
            <sz val="14"/>
            <color indexed="81"/>
            <rFont val="Tahoma"/>
            <family val="2"/>
          </rPr>
          <t xml:space="preserve">Positive values denote net withdrawal from reserve accounts as reserved capital is returned to project owners.
</t>
        </r>
      </text>
    </comment>
    <comment ref="M4" authorId="0" shapeId="0" xr:uid="{00000000-0006-0000-0300-000006000000}">
      <text>
        <r>
          <rPr>
            <b/>
            <sz val="14"/>
            <color indexed="81"/>
            <rFont val="Tahoma"/>
            <family val="2"/>
          </rPr>
          <t xml:space="preserve">Note:
</t>
        </r>
        <r>
          <rPr>
            <sz val="14"/>
            <color indexed="81"/>
            <rFont val="Tahoma"/>
            <family val="2"/>
          </rPr>
          <t xml:space="preserve">This is the annual cash flow disbursed to the project's equity investors, after tax.
</t>
        </r>
      </text>
    </comment>
    <comment ref="N4" authorId="0" shapeId="0" xr:uid="{00000000-0006-0000-0300-000007000000}">
      <text>
        <r>
          <rPr>
            <b/>
            <sz val="14"/>
            <color indexed="81"/>
            <rFont val="Tahoma"/>
            <family val="2"/>
          </rPr>
          <t xml:space="preserve">Note:
</t>
        </r>
        <r>
          <rPr>
            <sz val="14"/>
            <color indexed="81"/>
            <rFont val="Tahoma"/>
            <family val="2"/>
          </rPr>
          <t xml:space="preserve">This is the cumulative benefit of annual net cash flows.  The year in which the values become positive represents the return "of" the equity investor's original cash contribution.  The equity investor does not earn its return "on" investment until the required rate is met - which in this model will be in the final project year.
</t>
        </r>
      </text>
    </comment>
    <comment ref="O4" authorId="0" shapeId="0" xr:uid="{00000000-0006-0000-0300-000008000000}">
      <text>
        <r>
          <rPr>
            <b/>
            <sz val="14"/>
            <color indexed="81"/>
            <rFont val="Tahoma"/>
            <family val="2"/>
          </rPr>
          <t xml:space="preserve">Note:
</t>
        </r>
        <r>
          <rPr>
            <sz val="14"/>
            <color indexed="81"/>
            <rFont val="Tahoma"/>
            <family val="2"/>
          </rPr>
          <t xml:space="preserve">This is a running tally on the equity investor's after tax internal rate of return.
</t>
        </r>
      </text>
    </comment>
    <comment ref="P4" authorId="0" shapeId="0" xr:uid="{00000000-0006-0000-0300-000009000000}">
      <text>
        <r>
          <rPr>
            <b/>
            <sz val="14"/>
            <color indexed="81"/>
            <rFont val="Tahoma"/>
            <family val="2"/>
          </rPr>
          <t xml:space="preserve">Note:
</t>
        </r>
        <r>
          <rPr>
            <sz val="14"/>
            <color indexed="81"/>
            <rFont val="Tahoma"/>
            <family val="2"/>
          </rPr>
          <t xml:space="preserve">The Debt Service Coverage Ratio is calculated by dividing the sum of the annual principal and interest payment into that year's operating cash flow.  Lenders will require the DSCR to demonstrate the project's ability to easily meet its annual debt service obligation.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E60" authorId="0" shapeId="0" xr:uid="{00000000-0006-0000-0400-000001000000}">
      <text>
        <r>
          <rPr>
            <b/>
            <sz val="14"/>
            <color indexed="81"/>
            <rFont val="Tahoma"/>
            <family val="2"/>
          </rPr>
          <t xml:space="preserve">NOTE:
</t>
        </r>
        <r>
          <rPr>
            <sz val="14"/>
            <color indexed="81"/>
            <rFont val="Tahoma"/>
            <family val="2"/>
          </rPr>
          <t>If operating loss carry-forward is NOT applied, the values in the "Taxable Income" lines should be the same.</t>
        </r>
        <r>
          <rPr>
            <sz val="8"/>
            <color indexed="81"/>
            <rFont val="Tahoma"/>
            <family val="2"/>
          </rPr>
          <t xml:space="preserve">
</t>
        </r>
      </text>
    </comment>
    <comment ref="C98" authorId="0" shapeId="0" xr:uid="{00000000-0006-0000-0400-000002000000}">
      <text>
        <r>
          <rPr>
            <b/>
            <sz val="14"/>
            <color indexed="81"/>
            <rFont val="Tahoma"/>
            <family val="2"/>
          </rPr>
          <t>Note:</t>
        </r>
        <r>
          <rPr>
            <sz val="14"/>
            <color indexed="81"/>
            <rFont val="Tahoma"/>
            <family val="2"/>
          </rPr>
          <t xml:space="preserve">
Adjustments include (if applicable): reduction of cost basis by 50% of ITC (or ITC Cash Grant), reduction of cost basis for other non-taxable grants, and allocation of Bonus Depreciation. </t>
        </r>
      </text>
    </comment>
    <comment ref="E98" authorId="0" shapeId="0" xr:uid="{00000000-0006-0000-0400-000003000000}">
      <text>
        <r>
          <rPr>
            <b/>
            <sz val="14"/>
            <color indexed="81"/>
            <rFont val="Tahoma"/>
            <family val="2"/>
          </rPr>
          <t xml:space="preserve">Note:
</t>
        </r>
        <r>
          <rPr>
            <sz val="14"/>
            <color indexed="81"/>
            <rFont val="Tahoma"/>
            <family val="2"/>
          </rPr>
          <t xml:space="preserve">Adjustments include (if applicable): reduction of cost basis by 50% of ITC (or ITC Cash Grant), reduction of cost basis for other non-taxable grants, and allocation of Bonus Depreciation. </t>
        </r>
      </text>
    </comment>
    <comment ref="G173" authorId="0" shapeId="0" xr:uid="{00000000-0006-0000-0400-000004000000}">
      <text>
        <r>
          <rPr>
            <b/>
            <sz val="12"/>
            <color indexed="81"/>
            <rFont val="Tahoma"/>
            <family val="2"/>
          </rPr>
          <t>Note:</t>
        </r>
        <r>
          <rPr>
            <sz val="12"/>
            <color indexed="81"/>
            <rFont val="Tahoma"/>
            <family val="2"/>
          </rPr>
          <t xml:space="preserve">
ITC earned in first quarter of operation assumed eligible to offset tax on state income taxes saved in first operating year, when applicable. Remainder of ITC carried forward.
</t>
        </r>
      </text>
    </comment>
    <comment ref="B197" authorId="0" shapeId="0" xr:uid="{00000000-0006-0000-0400-000005000000}">
      <text>
        <r>
          <rPr>
            <sz val="14"/>
            <color indexed="81"/>
            <rFont val="Tahoma"/>
            <family val="2"/>
          </rPr>
          <t>If decommissioning paid for through operations (e.g. a decommissioning reserve account) then the "Ending Balance" in the project's final operating year should equal the total decommission reserve requirement specified on the inputs tab; if decommissioning is paid for from the salvage value of the equipment, then the "Ending Balance" in the project's final operating year should be zero.</t>
        </r>
      </text>
    </comment>
  </commentList>
</comments>
</file>

<file path=xl/sharedStrings.xml><?xml version="1.0" encoding="utf-8"?>
<sst xmlns="http://schemas.openxmlformats.org/spreadsheetml/2006/main" count="1033" uniqueCount="521">
  <si>
    <t>$</t>
  </si>
  <si>
    <t>%</t>
  </si>
  <si>
    <t>kWh</t>
  </si>
  <si>
    <t>Production</t>
  </si>
  <si>
    <t>years</t>
  </si>
  <si>
    <t>Construction Period</t>
  </si>
  <si>
    <t>Federal Income Tax Rate</t>
  </si>
  <si>
    <t>State Income Tax Rate</t>
  </si>
  <si>
    <t>?</t>
  </si>
  <si>
    <t>Select Cost Level of Detail</t>
  </si>
  <si>
    <t>Operations &amp; Maintenance</t>
  </si>
  <si>
    <t>$/yr</t>
  </si>
  <si>
    <t>Operating Expenses</t>
  </si>
  <si>
    <t>Yes</t>
  </si>
  <si>
    <t>Photovoltaic</t>
  </si>
  <si>
    <t>Technology Options</t>
  </si>
  <si>
    <t>Selected Technology</t>
  </si>
  <si>
    <t>Project Size and Performance</t>
  </si>
  <si>
    <t>Is owner a taxable entity?</t>
  </si>
  <si>
    <t>ITC utilization factor, if applicable</t>
  </si>
  <si>
    <t>Notes</t>
  </si>
  <si>
    <t>Check</t>
  </si>
  <si>
    <t>5-year MACRS</t>
  </si>
  <si>
    <t>15-year MACRS</t>
  </si>
  <si>
    <t>15-year SL</t>
  </si>
  <si>
    <t>20-year SL</t>
  </si>
  <si>
    <t>Non-Depreciable</t>
  </si>
  <si>
    <t>Federal Incentives</t>
  </si>
  <si>
    <t>Utilization Factor, if applicable</t>
  </si>
  <si>
    <t>Cost Category</t>
  </si>
  <si>
    <t>year</t>
  </si>
  <si>
    <t>Generator Nameplate Capacity</t>
  </si>
  <si>
    <t>$/Watt</t>
  </si>
  <si>
    <t>Effective Income Tax Rate</t>
  </si>
  <si>
    <t>State ITC realization period</t>
  </si>
  <si>
    <t>yrs</t>
  </si>
  <si>
    <t>PBI Duration</t>
  </si>
  <si>
    <t>Permanent Financing</t>
  </si>
  <si>
    <t>Interest Rate (Annual)</t>
  </si>
  <si>
    <t>months</t>
  </si>
  <si>
    <t>Interest During Construction</t>
  </si>
  <si>
    <t>Initial Funding of Reserve Accounts</t>
  </si>
  <si>
    <t>Debt Service Reserve</t>
  </si>
  <si>
    <t># of months of O&amp;M Expense</t>
  </si>
  <si>
    <t>Initial O&amp;M and WC Reserve</t>
  </si>
  <si>
    <t>Initial Debt Service Reserve</t>
  </si>
  <si>
    <t># of months of Debt Service</t>
  </si>
  <si>
    <t>Decommissioning Reserve</t>
  </si>
  <si>
    <t>Reserves Funded from Operations</t>
  </si>
  <si>
    <t>Fund from Operations or Salvage Value?</t>
  </si>
  <si>
    <t>Reserve Requirement</t>
  </si>
  <si>
    <t>Lender's Fee (% of total borrowing)</t>
  </si>
  <si>
    <t>Other Equity &amp; Debt Closing Costs</t>
  </si>
  <si>
    <t>Inputs Summary</t>
  </si>
  <si>
    <t>Outputs Summary</t>
  </si>
  <si>
    <t>Years</t>
  </si>
  <si>
    <t>¢/kWh</t>
  </si>
  <si>
    <t>Annual Project Cash Flows, Returns &amp; Other Metrics</t>
  </si>
  <si>
    <t>Revenue</t>
  </si>
  <si>
    <t>Year</t>
  </si>
  <si>
    <t>Cumulative Cash Flow</t>
  </si>
  <si>
    <t>After Tax IRR</t>
  </si>
  <si>
    <t>Debt Service</t>
  </si>
  <si>
    <t>Coverage</t>
  </si>
  <si>
    <t>Current Model Run</t>
  </si>
  <si>
    <t>units</t>
  </si>
  <si>
    <t>O&amp;M Reserve/Working Capital</t>
  </si>
  <si>
    <t>1st Equipment Replacement</t>
  </si>
  <si>
    <t xml:space="preserve">2nd Equipment Replacement </t>
  </si>
  <si>
    <t>Insurance, Yr 1 (% of Total Cost)</t>
  </si>
  <si>
    <t>COD</t>
  </si>
  <si>
    <t>Production Degradation Factor</t>
  </si>
  <si>
    <t>Project Expenses</t>
  </si>
  <si>
    <t>Project Administration</t>
  </si>
  <si>
    <t>Insurance</t>
  </si>
  <si>
    <t>Spare Parts</t>
  </si>
  <si>
    <t>Operating Income After Interest Expense</t>
  </si>
  <si>
    <t>Pre-Tax Cash Flow to Equity</t>
  </si>
  <si>
    <t>Project Cash Flows</t>
  </si>
  <si>
    <t>Running IRR (Cash Only)</t>
  </si>
  <si>
    <t>Supporting Calculations</t>
  </si>
  <si>
    <t>5 Year MACRS</t>
  </si>
  <si>
    <t>15 Year MACRS</t>
  </si>
  <si>
    <t>20 Year MACRS</t>
  </si>
  <si>
    <t>20 Year SL</t>
  </si>
  <si>
    <t>39 Year SL</t>
  </si>
  <si>
    <t>Total Project Cost, adj for ITC/Grant if applicable</t>
  </si>
  <si>
    <t xml:space="preserve">Total  </t>
  </si>
  <si>
    <t xml:space="preserve">Debt Service:            </t>
  </si>
  <si>
    <t>Size of Debt</t>
  </si>
  <si>
    <t>Debt Sizing (Defined Capital Structure Method)</t>
  </si>
  <si>
    <t>Installed Cost (excluding cost of financing)</t>
  </si>
  <si>
    <t>Defined Debt-to-Total-Capital</t>
  </si>
  <si>
    <t>Beginning Balance</t>
  </si>
  <si>
    <t>Drawdowns</t>
  </si>
  <si>
    <t>Ending Balance</t>
  </si>
  <si>
    <t>Interest</t>
  </si>
  <si>
    <t>Principal</t>
  </si>
  <si>
    <t>Structured Debt Service Payment</t>
  </si>
  <si>
    <t>Depreciation Allocation</t>
  </si>
  <si>
    <t>% Eligible for ITC</t>
  </si>
  <si>
    <t>placeholder</t>
  </si>
  <si>
    <t>Click Here to Return to Inputs Worksheet</t>
  </si>
  <si>
    <t>Substation</t>
  </si>
  <si>
    <t>Reserves &amp; Financing Costs</t>
  </si>
  <si>
    <t>Variable O&amp;M Expense, Yr 1</t>
  </si>
  <si>
    <t xml:space="preserve">¢/kWh </t>
  </si>
  <si>
    <t>see table ==&gt;</t>
  </si>
  <si>
    <t>Tariff Rate &amp; Cash Incentives</t>
  </si>
  <si>
    <t>Percentage of Tariff Escalated</t>
  </si>
  <si>
    <t>Tariff Rate Escalator, if applicable</t>
  </si>
  <si>
    <t>Revenue from Tariff</t>
  </si>
  <si>
    <t>Federal Cash Incentive Rate</t>
  </si>
  <si>
    <t xml:space="preserve">Federal Cash Incentive  </t>
  </si>
  <si>
    <t>State Cash Incentive Rate</t>
  </si>
  <si>
    <t xml:space="preserve">State Cash Incentive  </t>
  </si>
  <si>
    <t>Operating Expense Inflation Factor</t>
  </si>
  <si>
    <t>Fixed O&amp;M Expense</t>
  </si>
  <si>
    <t>Variable O&amp;M Expense</t>
  </si>
  <si>
    <t>Property Tax or Payment in Lieu of Taxes (PILOT)</t>
  </si>
  <si>
    <t>Royalties</t>
  </si>
  <si>
    <t>Royalties (% of revenue)</t>
  </si>
  <si>
    <t>Project Revenue, All Sources</t>
  </si>
  <si>
    <t xml:space="preserve">Total Operating Expenses </t>
  </si>
  <si>
    <t>EBITDA (Operating Income)</t>
  </si>
  <si>
    <t>Principal Repayments</t>
  </si>
  <si>
    <t>Loan Amortization</t>
  </si>
  <si>
    <t xml:space="preserve">Loan Repayment </t>
  </si>
  <si>
    <t>Repayment of Loan Principal</t>
  </si>
  <si>
    <t>Loan Interest Expense</t>
  </si>
  <si>
    <t>Net Pre-Tax Cash Flow to Equity</t>
  </si>
  <si>
    <t>Project/Contract Year</t>
  </si>
  <si>
    <t>Depreciation Schedules, Half-Year Convention</t>
  </si>
  <si>
    <t>7 Year MACRS</t>
  </si>
  <si>
    <t>5 Year SL</t>
  </si>
  <si>
    <t>15 Year SL</t>
  </si>
  <si>
    <t>7-year MACRS</t>
  </si>
  <si>
    <t>20-year MACRS</t>
  </si>
  <si>
    <t>5-year SL</t>
  </si>
  <si>
    <t>39-year SL</t>
  </si>
  <si>
    <t>Allocation</t>
  </si>
  <si>
    <t xml:space="preserve">ITC or Cash Grant  </t>
  </si>
  <si>
    <t>check</t>
  </si>
  <si>
    <t>Total Installed Cost</t>
  </si>
  <si>
    <t>PBI Rate</t>
  </si>
  <si>
    <t>Federal Income Taxes Saved / (Paid), before ITC/PTC</t>
  </si>
  <si>
    <t>Running IRR (After Tax)</t>
  </si>
  <si>
    <t>After-Tax Cash Flow to Equity</t>
  </si>
  <si>
    <t>Cash Benefit of State ITC and/or PTC</t>
  </si>
  <si>
    <t>PBI Escalation Rate</t>
  </si>
  <si>
    <t>Federal PBI Escalator, if applicable</t>
  </si>
  <si>
    <t>State PBI Escalator, if applicable</t>
  </si>
  <si>
    <t>Reserve Accounts:</t>
  </si>
  <si>
    <t>Interest on All Reserves</t>
  </si>
  <si>
    <t>Annual Debt Service Coverage Ratio</t>
  </si>
  <si>
    <t>Depreciation:</t>
  </si>
  <si>
    <t>Annual Depreciation Expense, Initial Installation</t>
  </si>
  <si>
    <t>Annual Depreciation Expense, Repairs &amp; Replacements</t>
  </si>
  <si>
    <t>1st Replacement</t>
  </si>
  <si>
    <t>2nd Replacement</t>
  </si>
  <si>
    <t>Depreciation Timing</t>
  </si>
  <si>
    <t>Depreciation Expense</t>
  </si>
  <si>
    <t>Tax</t>
  </si>
  <si>
    <t>Solar Thermal Electric</t>
  </si>
  <si>
    <t>After Tax Cash Flow</t>
  </si>
  <si>
    <t>Reserves</t>
  </si>
  <si>
    <t>PBI Utilization Factor, if applicable</t>
  </si>
  <si>
    <t>Capital Costs</t>
  </si>
  <si>
    <t>Generation Equipment</t>
  </si>
  <si>
    <t>Depreciation Classification</t>
  </si>
  <si>
    <t>Balance of Plant</t>
  </si>
  <si>
    <t>Interconnection</t>
  </si>
  <si>
    <t>Development Costs &amp; Fee</t>
  </si>
  <si>
    <t>Sample inputs provided on this tab are illustrative only, all inputs must be provided and validated by the user.</t>
  </si>
  <si>
    <t>Total Generation Equipment Cost</t>
  </si>
  <si>
    <t>Total Project Costs</t>
  </si>
  <si>
    <t>Total Balance of Plant Cost</t>
  </si>
  <si>
    <t>Total Interconnection Cost</t>
  </si>
  <si>
    <t>$ Eligible for ITC</t>
  </si>
  <si>
    <t>Lender Fee</t>
  </si>
  <si>
    <t>Initial Funding of Debt Service &amp; Working Capital/O&amp;M Reserves</t>
  </si>
  <si>
    <t>Total Development Costs &amp; Fees</t>
  </si>
  <si>
    <t>Solar Panels</t>
  </si>
  <si>
    <t>Installation Labor</t>
  </si>
  <si>
    <t>Inverters</t>
  </si>
  <si>
    <t>Maintenance Building</t>
  </si>
  <si>
    <t>Access Roads</t>
  </si>
  <si>
    <t>Site Selection &amp; Evaluation</t>
  </si>
  <si>
    <t>Permitting</t>
  </si>
  <si>
    <t>Engineering/Design</t>
  </si>
  <si>
    <t>Site Acquisition Cost</t>
  </si>
  <si>
    <t>Other Development Costs</t>
  </si>
  <si>
    <t>Resource Analysis</t>
  </si>
  <si>
    <t>Transportation/Delivery</t>
  </si>
  <si>
    <t>Mounting Hardware</t>
  </si>
  <si>
    <t>Site Survey &amp; Preparation</t>
  </si>
  <si>
    <t>Commissioning</t>
  </si>
  <si>
    <t>Metering</t>
  </si>
  <si>
    <t>Transformer</t>
  </si>
  <si>
    <t>Utility System Improvements</t>
  </si>
  <si>
    <t>Other Closing Costs</t>
  </si>
  <si>
    <t>Other Grants or Rebates</t>
  </si>
  <si>
    <t>State Income Taxes Saved / (Paid), before ITC/PTC</t>
  </si>
  <si>
    <t>Title:</t>
  </si>
  <si>
    <t>Introduction:</t>
  </si>
  <si>
    <t>Yr 1 COE</t>
  </si>
  <si>
    <t>Interest Earned on Reserve Accounts</t>
  </si>
  <si>
    <t>O&amp;M/Working Capital Reserve</t>
  </si>
  <si>
    <t>Interest on Reserves</t>
  </si>
  <si>
    <t>Annual Contributions to/(Liquidations of) Reserves</t>
  </si>
  <si>
    <t>(Contributions to), and Liquidation of, Reserve Accounts</t>
  </si>
  <si>
    <t>Adjustment(s) for Major Equipment Replacement(s)</t>
  </si>
  <si>
    <t>Major Equipment Replacement Reserves</t>
  </si>
  <si>
    <t>Annual Depreciation Benefit</t>
  </si>
  <si>
    <t>Model Architecture:</t>
  </si>
  <si>
    <t>Black Text is strictly reserved for cells that are calculated automatically . These cells should not be modified.</t>
  </si>
  <si>
    <t>Pass/Fail</t>
  </si>
  <si>
    <t>Min DSCR</t>
  </si>
  <si>
    <t>Taxable Entity? (turns on/off ITC and depreciation input cells)</t>
  </si>
  <si>
    <t>Construction Financing</t>
  </si>
  <si>
    <t>Federal PTC (as generated)</t>
  </si>
  <si>
    <t>State PTC (as generated)</t>
  </si>
  <si>
    <t>Version:</t>
  </si>
  <si>
    <t>Entering Inputs:  Model Conventions</t>
  </si>
  <si>
    <t>In the "Check" column, green cells are used to indicate that the user has entered an acceptable value in a required field.</t>
  </si>
  <si>
    <t>Annual Escalation of Year-One COE</t>
  </si>
  <si>
    <t>Annual Production Degradation</t>
  </si>
  <si>
    <t>% of Year-One Tariff Rate Escalated</t>
  </si>
  <si>
    <t>Project Management Yr 1</t>
  </si>
  <si>
    <t xml:space="preserve">ITC Amount </t>
  </si>
  <si>
    <t>Paste Results of Multiple Model Runs Below</t>
  </si>
  <si>
    <t>[Insert Scenario Name]</t>
  </si>
  <si>
    <t>Results of multiple scenarios may be compared here by using the "copy" and "paste special - values" feature to transfer values from column D to columns F through O</t>
  </si>
  <si>
    <t>Balance of Facility / Electrical Collection System</t>
  </si>
  <si>
    <t>Interest Rate on Term Debt</t>
  </si>
  <si>
    <t>Initial Period ends last day of:</t>
  </si>
  <si>
    <t>O&amp;M Cost Inflation, thereafter</t>
  </si>
  <si>
    <t>O&amp;M Cost Inflation, initial period</t>
  </si>
  <si>
    <t>Fixed O&amp;M Expense, Yr 1</t>
  </si>
  <si>
    <t>Project Useful Life</t>
  </si>
  <si>
    <t>Value of energy, capacity &amp; RECs, Yr 1</t>
  </si>
  <si>
    <t>Market Value Escalation Rate</t>
  </si>
  <si>
    <t>Year-by-Year Inputs for Market Value of Production, if applicable</t>
  </si>
  <si>
    <t>Complex Inputs for Deriving Total Project Capital Cost, if applicable</t>
  </si>
  <si>
    <t>* Includes energy, capacity &amp; RECs</t>
  </si>
  <si>
    <t>Market Revenue</t>
  </si>
  <si>
    <t>Post-Tariff Market Value of Production</t>
  </si>
  <si>
    <t>Required Minimum Annual DSCR</t>
  </si>
  <si>
    <t>Actual Minimum DSCR, occurs in →</t>
  </si>
  <si>
    <t xml:space="preserve">ITC or Cash Grant Amount </t>
  </si>
  <si>
    <t>Tariff or Market Value</t>
  </si>
  <si>
    <t>Project</t>
  </si>
  <si>
    <t>Summary Results</t>
  </si>
  <si>
    <t>Taxable Income / (Operating Loss)</t>
  </si>
  <si>
    <t>Operating Loss Carry-Forward, if applicable:</t>
  </si>
  <si>
    <t>Utilization of Operating Loss Carry-Forward</t>
  </si>
  <si>
    <t>Operating Loss Carry-Forward, Beginning Balance</t>
  </si>
  <si>
    <t>Additional Operating Loss Carried-Forward</t>
  </si>
  <si>
    <t>Operating Loss Carry-Forward, Ending Balance</t>
  </si>
  <si>
    <t>Taxable Income with Operating Loss Carry-Forward</t>
  </si>
  <si>
    <t>Annual Depreciation Expense</t>
  </si>
  <si>
    <t>Federal Tax Credit Benefits, if applicable:</t>
  </si>
  <si>
    <t>Federal ITC (as generated)</t>
  </si>
  <si>
    <t>State ITC (as generated)</t>
  </si>
  <si>
    <t>Applicable Tax Credits, as generated</t>
  </si>
  <si>
    <t>Carry-Forward Scenario:</t>
  </si>
  <si>
    <t>State Tax Credit Benefits, if applicable:</t>
  </si>
  <si>
    <t>Performance, Cost, Operating, Tax &amp; Financing Inputs</t>
  </si>
  <si>
    <t>Federal Grants Treated as Taxable Income?</t>
  </si>
  <si>
    <t>Annual Property Tax Adjustment Factor</t>
  </si>
  <si>
    <t>Property Tax or PILOT, Yr 1</t>
  </si>
  <si>
    <t>% Debt (% of hard costs) (mortgage-style amort.)</t>
  </si>
  <si>
    <t>Senior Debt (funds portion of hard costs)</t>
  </si>
  <si>
    <t>Equity (funds balance of hard costs + all soft costs)</t>
  </si>
  <si>
    <t>Summary of Sources of Funding for Total Installed Cost</t>
  </si>
  <si>
    <t>Actual Average DSCR</t>
  </si>
  <si>
    <t>Required Average DSCR</t>
  </si>
  <si>
    <t>Select Market Value Forecast Methodology</t>
  </si>
  <si>
    <t>Project Year</t>
  </si>
  <si>
    <t>1st Replacement Cost  ($ in year replaced)</t>
  </si>
  <si>
    <t>2nd Replacement Cost ($ in year replaced)</t>
  </si>
  <si>
    <t>Bundled* Market Value of Production (¢/kWh)</t>
  </si>
  <si>
    <t>Avg. DSCR</t>
  </si>
  <si>
    <t>Tariff Rate (Fixed Portion)</t>
  </si>
  <si>
    <t>Tariff Rate (Total)</t>
  </si>
  <si>
    <t>Tariff Rate (Escalating Portion)</t>
  </si>
  <si>
    <t>Equity Investment</t>
  </si>
  <si>
    <t>Pre-Tax Cash Flow</t>
  </si>
  <si>
    <t>Expenses + Cash Obligations</t>
  </si>
  <si>
    <t>Graph Data</t>
  </si>
  <si>
    <t>Operating the Model:</t>
  </si>
  <si>
    <t>Understanding the Results:</t>
  </si>
  <si>
    <t>Cash Benefit of Federal ITC, Cash Grant, or PTC</t>
  </si>
  <si>
    <t>Net Capacity Factor, Yr 1</t>
  </si>
  <si>
    <t>Target After-Tax Equity IRR</t>
  </si>
  <si>
    <t>COE Data Tables</t>
  </si>
  <si>
    <t>NPV</t>
  </si>
  <si>
    <t>(cents/kWh)</t>
  </si>
  <si>
    <t>Range Min</t>
  </si>
  <si>
    <t>Range Max</t>
  </si>
  <si>
    <t>Calculation of COE when tax benefits are "Carried Forward"</t>
  </si>
  <si>
    <t>Production, Yr 1</t>
  </si>
  <si>
    <t>Capital Expenditures During Operations: Inverter Replacement</t>
  </si>
  <si>
    <t>Tax Benefit Carry-Forward, Beginning Balance</t>
  </si>
  <si>
    <t>Additional Tax Benefit Carry-Forward</t>
  </si>
  <si>
    <t>Utilization of Tax Benefit Carry-Forward</t>
  </si>
  <si>
    <t>Tax Benefit Carry-Forward, Ending Balance</t>
  </si>
  <si>
    <r>
      <t xml:space="preserve">Taxable Income </t>
    </r>
    <r>
      <rPr>
        <sz val="12"/>
        <rFont val="Arial"/>
        <family val="2"/>
      </rPr>
      <t>(operating loss used as generated)</t>
    </r>
  </si>
  <si>
    <t>Federal Tax Benefits used as generated or carried forward?</t>
  </si>
  <si>
    <t>State Tax Benefits used as generated or carried forward?</t>
  </si>
  <si>
    <t>Federal Carry-Forward</t>
  </si>
  <si>
    <t>State Carry-Forward</t>
  </si>
  <si>
    <t>Minimum DSSCR Year</t>
  </si>
  <si>
    <t>Units</t>
  </si>
  <si>
    <t>Unit Definitions</t>
  </si>
  <si>
    <t>Pass/Fail – denotes whether the two debt service coverage ratio tests have passed or failed.</t>
  </si>
  <si>
    <t>(kW) kilowatt – a standard measure of electrical capacity, equal to 1000 Watts.</t>
  </si>
  <si>
    <t>(kWh) kilowatt hour – a standard measure of electrical output. A 1 kW generator operating at rated capacity for one hour will produce 1 kWh of electricity.</t>
  </si>
  <si>
    <t>(DC) direct current – the unidirectional flow of electric charge</t>
  </si>
  <si>
    <t>(AC) alternating current – the multidirectional flow of electric charge</t>
  </si>
  <si>
    <t>(¢/kWh) –cents per kilowatt hour</t>
  </si>
  <si>
    <t>(%) – an input with units expressed as a percentage</t>
  </si>
  <si>
    <t>(years or year) – an input applicable to a specified duration or project year</t>
  </si>
  <si>
    <t>($/yr) – inputs measured in dollars and applied annually</t>
  </si>
  <si>
    <t>(months) –designates the number of months to which an input applies</t>
  </si>
  <si>
    <r>
      <t xml:space="preserve">Does modeled project meet </t>
    </r>
    <r>
      <rPr>
        <b/>
        <i/>
        <sz val="11"/>
        <color theme="1"/>
        <rFont val="Arial"/>
        <family val="2"/>
      </rPr>
      <t>minimum</t>
    </r>
    <r>
      <rPr>
        <b/>
        <sz val="11"/>
        <color theme="1"/>
        <rFont val="Arial"/>
        <family val="2"/>
      </rPr>
      <t xml:space="preserve"> DSCR requirements?</t>
    </r>
  </si>
  <si>
    <r>
      <t xml:space="preserve">Does modeled project meet </t>
    </r>
    <r>
      <rPr>
        <b/>
        <i/>
        <sz val="11"/>
        <color theme="1"/>
        <rFont val="Arial"/>
        <family val="2"/>
      </rPr>
      <t>average</t>
    </r>
    <r>
      <rPr>
        <b/>
        <sz val="11"/>
        <color theme="1"/>
        <rFont val="Arial"/>
        <family val="2"/>
      </rPr>
      <t xml:space="preserve"> DSCR requirements?</t>
    </r>
  </si>
  <si>
    <t>Notes: User-Defined</t>
  </si>
  <si>
    <t>Tax Credit</t>
  </si>
  <si>
    <t>Investment Tax Credit (ITC) or Cash Grant?</t>
  </si>
  <si>
    <t>Type of Federal Incentive Assumed</t>
  </si>
  <si>
    <t>Is PBI Tax-Based (PTC) or Cash-Based (REPI)?</t>
  </si>
  <si>
    <t>Is Performance-Based Incentive Tax Credit or Cash Pmt?</t>
  </si>
  <si>
    <t>Click Here for Complex Input Worksheet</t>
  </si>
  <si>
    <t>($/kW-yr) – an annual expense (or revenue) based on generator capacity</t>
  </si>
  <si>
    <t>($) – All CREST model values are in nominal dollars</t>
  </si>
  <si>
    <t>Weighted Average Cost of Capital (WACC)</t>
  </si>
  <si>
    <t>Click Here for Complex Input Worksheets</t>
  </si>
  <si>
    <t>Year One</t>
  </si>
  <si>
    <r>
      <t>Total Value of Grants</t>
    </r>
    <r>
      <rPr>
        <sz val="10"/>
        <rFont val="Arial"/>
        <family val="2"/>
      </rPr>
      <t xml:space="preserve"> (excl. pmt in lieu of ITC, if applicable)</t>
    </r>
  </si>
  <si>
    <t>Did you confirm that all minimum required inputs have green check cells?</t>
  </si>
  <si>
    <t>Insurance, Yr 1 ($) (Provided for reference)</t>
  </si>
  <si>
    <t>Royalties, Yr 1 ($) (Provided for reference)</t>
  </si>
  <si>
    <r>
      <rPr>
        <b/>
        <sz val="12"/>
        <color theme="4"/>
        <rFont val="Calibri"/>
        <family val="2"/>
        <scheme val="minor"/>
      </rPr>
      <t>Blue Bold Text</t>
    </r>
    <r>
      <rPr>
        <sz val="12"/>
        <color theme="1"/>
        <rFont val="Calibri"/>
        <family val="2"/>
        <scheme val="minor"/>
      </rPr>
      <t xml:space="preserve"> denotes user-defined inputs.  The user is responsible for modifying these cells to be consistent with the project being evaluated.</t>
    </r>
  </si>
  <si>
    <t>Conversely, red cells appearing in the "Check" column indicate that a required cell is blank or contains an invalid argument which requires the user's attention.</t>
  </si>
  <si>
    <t>Yellow boxes are used to highlight input choices the model user must make via a dropdown menu.</t>
  </si>
  <si>
    <t>The "Notes" column, populated with boxes showing a "?", contains a combination of definitions, explanations and ranges of typical values for most inputs.  To read a note, the users need only move the cursor onto the applicable cell.  The user is strongly encouraged to review all of these comments in order to understand key features of the CREST model.</t>
  </si>
  <si>
    <t>The output of this model is the all-in payment required to cover all expenses and meet the project investors' after-tax return requirements over the specified number of years. This payment can be used to inform the feed-in tariff rate-setting process.  The payment can either be expressed as a  ‘Year One’ value of which all, or a designated portion, escalates each year during the tariff's duration at a defined rate, or as a "nominal levelized" value (where zero annual escalation is assumed).  The model output is always expressed in cents/kWh.  It is important to note that this calculated tariff rate is net of other assumed incentives, such as federal tax credits and state grants.</t>
  </si>
  <si>
    <t>Press F9 each time inputs are changed to ensure completion of the COE calculation.  
When "#N/A" appears,  press "F9" in the upper row on your keyboard to complete the calculation.  It may be necessary to press F9 more than once. See note for details.</t>
  </si>
  <si>
    <t>Minimum DSCR Check Cell (If "Fail," read note ==&gt;)</t>
  </si>
  <si>
    <t>Average DSCR Check Cell (If "Fail," read note ==&gt;)</t>
  </si>
  <si>
    <t>Input Value</t>
  </si>
  <si>
    <t>Input Values</t>
  </si>
  <si>
    <r>
      <t xml:space="preserve">% Equity (% hard costs) </t>
    </r>
    <r>
      <rPr>
        <sz val="11"/>
        <rFont val="Arial"/>
        <family val="2"/>
      </rPr>
      <t>(soft costs also equity funded)</t>
    </r>
  </si>
  <si>
    <t>Cost of Renewable Energy Spreadsheet Tool (CREST)</t>
  </si>
  <si>
    <t>Land Lease</t>
  </si>
  <si>
    <t>Bonus Depreciation</t>
  </si>
  <si>
    <t>% of Bonus Depreciation applied in Year 1</t>
  </si>
  <si>
    <t>Project Cost Allocation</t>
  </si>
  <si>
    <t>Before</t>
  </si>
  <si>
    <t xml:space="preserve">After </t>
  </si>
  <si>
    <t>Adjustments</t>
  </si>
  <si>
    <t>Adjusted</t>
  </si>
  <si>
    <t>Unadjusted</t>
  </si>
  <si>
    <t>Project Cost Basis</t>
  </si>
  <si>
    <t xml:space="preserve">% </t>
  </si>
  <si>
    <t>Adjustments for ITC, ITC Grant and non-taxable grants</t>
  </si>
  <si>
    <t>Allocation of Costs</t>
  </si>
  <si>
    <t>operating loss treatment ==&gt;&gt;</t>
  </si>
  <si>
    <t>Taxable Income (Federal)</t>
  </si>
  <si>
    <t>Taxable Income (State)</t>
  </si>
  <si>
    <t>User Manual:</t>
  </si>
  <si>
    <t>Examples:</t>
  </si>
  <si>
    <t>Input Format</t>
  </si>
  <si>
    <t>Calculated Value Format</t>
  </si>
  <si>
    <t>Drop-Down Menu</t>
  </si>
  <si>
    <r>
      <t xml:space="preserve">Once a user has finished entering the characteristics of the project under review on the "Inputs" tab, the model will automatically calculate both the "Year One" and equivalent "Levelized Cost of Energy" -- as defined and discussed in the User Manual.  MS Excel's "Calculation Options" </t>
    </r>
    <r>
      <rPr>
        <b/>
        <sz val="12"/>
        <color theme="1"/>
        <rFont val="Calibri"/>
        <family val="2"/>
        <scheme val="minor"/>
      </rPr>
      <t>MUST</t>
    </r>
    <r>
      <rPr>
        <sz val="12"/>
        <color theme="1"/>
        <rFont val="Calibri"/>
        <family val="2"/>
        <scheme val="minor"/>
      </rPr>
      <t xml:space="preserve"> be set to "</t>
    </r>
    <r>
      <rPr>
        <u/>
        <sz val="12"/>
        <color theme="1"/>
        <rFont val="Calibri"/>
        <family val="2"/>
        <scheme val="minor"/>
      </rPr>
      <t>Automatic</t>
    </r>
    <r>
      <rPr>
        <sz val="12"/>
        <color theme="1"/>
        <rFont val="Calibri"/>
        <family val="2"/>
        <scheme val="minor"/>
      </rPr>
      <t xml:space="preserve">" in order for these results to be generated automatically.  If "Calculation Options" are not set to "Automatic," then the user will need to press "F9" </t>
    </r>
    <r>
      <rPr>
        <u/>
        <sz val="12"/>
        <color theme="1"/>
        <rFont val="Calibri"/>
        <family val="2"/>
        <scheme val="minor"/>
      </rPr>
      <t>after any input is changed</t>
    </r>
    <r>
      <rPr>
        <sz val="12"/>
        <color theme="1"/>
        <rFont val="Calibri"/>
        <family val="2"/>
        <scheme val="minor"/>
      </rPr>
      <t>, in order to calculate accurate results. Even when the Calculations Options are set to Automatic, there are circumstances in which F9 will need to be pressed one or more times in order to complete the calculation.  This is described in more detail in the note towards the top of the Summary Results worksheet. 
Results appear on the "Summary Results" worksheet.  In an effort to allow the user to perform a side-by-side review of multiple cases, the "Summary Results" tab has columns for multiple results. The user is encouraged to copy and paste results from column D into columns F-O as multiple scenarios are run.  This is accomplished by using the "copy" and then "paste special -- values" features in Excel.</t>
    </r>
  </si>
  <si>
    <t>PBI Utilization or Availability Factor, if applicable</t>
  </si>
  <si>
    <t>Federal Taxable Income</t>
  </si>
  <si>
    <t>State Taxable Income</t>
  </si>
  <si>
    <t>Federal Tax 
Benefit/ (Liability)</t>
  </si>
  <si>
    <t>State Tax 
Benefit/ (Liability)</t>
  </si>
  <si>
    <t>Revenue + Tax Benefit/(Liability)</t>
  </si>
  <si>
    <t>Pre-Tax (Cash-only) Equity IRR (over defined Useful Life)</t>
  </si>
  <si>
    <t>After Tax Equity IRR (over defined Useful Life)</t>
  </si>
  <si>
    <t>The CREST model consists of six worksheets: (1) Introduction: An overview of the CREST model, (2) Inputs: The interface for nearly all user-defined assumptions, (3) Summary Results: A framework for storing the output (results) and associated key inputs of multiple model runs, (4) Annual Cash Flows &amp; Returns: Provides a summary of the modeled project's annual cash flows, (5) Cash Flow: The formula calculations, or "guts", of the model; derives all project cash and tax benefits, and (6) Complex Inputs: This worksheet is only used if the user elects to include a detailed breakdown of project costs; this choice is selected by the user on the Inputs tab. Users should expect to work primarily with the "Inputs" and the "Summary Results" worksheets, although the other tabs and summaries are also expected to be useful during the policy-making process.</t>
  </si>
  <si>
    <t>Summary of Reference Links From Inputs Worksheet</t>
  </si>
  <si>
    <t>Several of the input-specific "Notes" on the Inputs worksheet contain hyperlinks.  Since these hyperlinks are not operable when placed within the MS Excel notes feature, they are duplicated here for the user's convenience.</t>
  </si>
  <si>
    <t>PV Watts</t>
  </si>
  <si>
    <t xml:space="preserve">http://www.pvwatts.org/ </t>
  </si>
  <si>
    <t>http://dsireusa.org/</t>
  </si>
  <si>
    <t>http://dsireusa.org/incentives/incentive.cfm?Incentive_Code=US02F&amp;re=1&amp;ee=1</t>
  </si>
  <si>
    <t>http://dsireusa.org/incentives/index.cfm?state=us&amp;re=1&amp;EE=1</t>
  </si>
  <si>
    <t>http://www.nrel.gov/docs/fy02osti/31455.pdf</t>
  </si>
  <si>
    <t>DSIRE</t>
  </si>
  <si>
    <t>DSIRE: Tax/Grants</t>
  </si>
  <si>
    <t>DSIRE: Other Fed Incentives</t>
  </si>
  <si>
    <t>NREL Degradation Study</t>
  </si>
  <si>
    <t>Total State ITC, over realization period</t>
  </si>
  <si>
    <t>Cost-Based Tariff Rate Structure</t>
  </si>
  <si>
    <t>Cost-Based Tariff Escalation Rate</t>
  </si>
  <si>
    <t xml:space="preserve">http://financere.nrel.gov/finance/content/crest-model </t>
  </si>
  <si>
    <t>The remainder of this Introduction worksheet provides an abridged version of the User Manual.</t>
  </si>
  <si>
    <r>
      <t xml:space="preserve">The CREST model comes with a User Manual which describes its design, features, inputs and outputs.  The manual is intended to provide an easy to follow road map to users who might not typically work with financial analyses,  to ensure successful utilization of this Cost of Energy tool.  The User Manual gives a "guided tour" of the model architecture, provides an explanation of how to operate the model, compare multiple analyses, and understand the results.  The User Manual is available to download at: </t>
    </r>
    <r>
      <rPr>
        <b/>
        <u/>
        <sz val="12"/>
        <color theme="3"/>
        <rFont val="Calibri"/>
        <family val="2"/>
        <scheme val="minor"/>
      </rPr>
      <t/>
    </r>
  </si>
  <si>
    <t>Summary of Models Reviewed During the Development of the solar, wind and geothermal CREST:</t>
  </si>
  <si>
    <t>RETI Cost of Generation Spreadsheet</t>
  </si>
  <si>
    <t>Vermont Standard Offer Models</t>
  </si>
  <si>
    <t>RETScreen</t>
  </si>
  <si>
    <t>Gainesville FIT Model</t>
  </si>
  <si>
    <t>Solar Advisor Model (SAM)</t>
  </si>
  <si>
    <t>EU PV Platform</t>
  </si>
  <si>
    <t>Vote Solar Incentive Comparison Model</t>
  </si>
  <si>
    <t>Geothermal Electricity Technology Evaluation Model (GETEM)</t>
  </si>
  <si>
    <t>These models were reviewed primarily to identify best practices which effectively balance ease of use with flexibility and advanced functionality.  In most cases, the helpful modeling techniques identified are not technology-specific, and have influenced the general design of all three CREST models.  Each of the models listed below is discussed in more detail in the report (please see link at the top of this worksheet).</t>
  </si>
  <si>
    <t xml:space="preserve">The CREST model is a cost-of-energy analysis tool intended to assist policy makers evaluating the appropriate payment rate for a cost-based renewable energy incentive policy. The model aims to determine the cost-of-energy, or minimum revenue per unit of production needed for a sample (modeled) renewable energy project to meet its investors' assumed minimum required after-tax rate of return.  This model was developed in conjunction with a report entitled “Renewable Energy Cost Modeling: A Toolkit for Establishing Cost-Based Incentives in the United States”, developed under contract to the National Renewable Energy Laboratory. For more information about the factors, issues and policy decisions involved in establishing cost-based rates and incentives, please refer to the report.
The report, user manual and CREST models are free and available for download at: </t>
  </si>
  <si>
    <r>
      <t xml:space="preserve">Forecasted Market Value of Production; applies </t>
    </r>
    <r>
      <rPr>
        <b/>
        <u/>
        <sz val="12"/>
        <rFont val="Arial"/>
        <family val="2"/>
      </rPr>
      <t>after</t>
    </r>
    <r>
      <rPr>
        <b/>
        <sz val="12"/>
        <rFont val="Arial"/>
        <family val="2"/>
      </rPr>
      <t xml:space="preserve"> Incentive Expiration</t>
    </r>
  </si>
  <si>
    <t>For Technical Support, Please Contact:</t>
  </si>
  <si>
    <t>For Model Customization, Please Contact:</t>
  </si>
  <si>
    <t xml:space="preserve">Michael Mendelsohn, NREL
(303) 384-7363
michael.mendelsohn@nrel.gov </t>
  </si>
  <si>
    <t xml:space="preserve">Sustainable Energy Advantage, LLC
(508) 665-5850
CREST@seadvantage.com </t>
  </si>
  <si>
    <t>Sustainable Energy Advantage, LLC</t>
  </si>
  <si>
    <t>Author:</t>
  </si>
  <si>
    <t>State Average</t>
  </si>
  <si>
    <r>
      <t xml:space="preserve">Net C.F.: If "State Average" method, then select state </t>
    </r>
    <r>
      <rPr>
        <sz val="12"/>
        <rFont val="Calibri"/>
        <family val="2"/>
      </rPr>
      <t>→</t>
    </r>
  </si>
  <si>
    <t>AL</t>
  </si>
  <si>
    <t>AZ</t>
  </si>
  <si>
    <t>AR</t>
  </si>
  <si>
    <t>CA</t>
  </si>
  <si>
    <t>CO</t>
  </si>
  <si>
    <t>CT</t>
  </si>
  <si>
    <t>DE</t>
  </si>
  <si>
    <t>FL</t>
  </si>
  <si>
    <t>GA</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</si>
  <si>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</si>
  <si>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</si>
  <si>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</si>
  <si>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</si>
  <si>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</si>
  <si>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</si>
  <si>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</si>
  <si>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</si>
  <si>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</si>
  <si>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</si>
  <si>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</si>
  <si>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</si>
  <si>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</si>
  <si>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</si>
  <si>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</si>
  <si>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</si>
  <si>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</si>
  <si>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</si>
  <si>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</si>
  <si>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</si>
  <si>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</si>
  <si>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</si>
  <si>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</si>
  <si>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</si>
  <si>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</si>
  <si>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</si>
  <si>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</si>
  <si>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</si>
  <si>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</si>
  <si>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</si>
  <si>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</si>
  <si>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</si>
  <si>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</si>
  <si>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</si>
  <si>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</si>
  <si>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</si>
  <si>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</si>
  <si>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</si>
  <si>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</si>
  <si>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r>
      <t xml:space="preserve">Net C.F.: If "Custom" method, then enter Net C.F. </t>
    </r>
    <r>
      <rPr>
        <sz val="12"/>
        <rFont val="Calibri"/>
        <family val="2"/>
      </rPr>
      <t>→</t>
    </r>
  </si>
  <si>
    <t>State List</t>
  </si>
  <si>
    <t>DC Capacity factor</t>
  </si>
  <si>
    <t>Net Installed Cost (Total Installed Cost less Grants)</t>
  </si>
  <si>
    <t>Total Operating Expenses</t>
  </si>
  <si>
    <r>
      <rPr>
        <sz val="11"/>
        <color theme="1"/>
        <rFont val="Calibri"/>
        <family val="2"/>
      </rPr>
      <t>¢</t>
    </r>
    <r>
      <rPr>
        <i/>
        <sz val="11"/>
        <color theme="1"/>
        <rFont val="Arial"/>
        <family val="2"/>
      </rPr>
      <t>/kWh</t>
    </r>
  </si>
  <si>
    <t>Operating Expenses, Aggregated, Yr 1</t>
  </si>
  <si>
    <t>Debt Term</t>
  </si>
  <si>
    <t>Federal Tax Benefts Used "as generated" or "carried forward"?</t>
  </si>
  <si>
    <t>State Tax Benefts Used "as generated" or "carried forward"?</t>
  </si>
  <si>
    <t>Payment Duration for Cost-Based Tariff</t>
  </si>
  <si>
    <t>% of Year 1 Tariff Rate Escalated</t>
  </si>
  <si>
    <t>Tax Credit-  or Cash- Based?</t>
  </si>
  <si>
    <t>Total of Grants or Rebates</t>
  </si>
  <si>
    <t>Bonus Depreciation assumed?</t>
  </si>
  <si>
    <t>Total $ Cap on State Rebates/Grants</t>
  </si>
  <si>
    <t>Total Installed Cost (before rebates/grants, if any)</t>
  </si>
  <si>
    <t>State Rebates/Grants Treated as Taxable Income?</t>
  </si>
  <si>
    <t>Annual $ Cap on Performance-Based Incentive</t>
  </si>
  <si>
    <t>Lookup for State Average Capacity Factor</t>
  </si>
  <si>
    <t>PBI or REC Rate</t>
  </si>
  <si>
    <t>PBI or REC Escalation Rate (pos. or neg.)</t>
  </si>
  <si>
    <t>State Rebates, Tax Credits and/or REC Revenue</t>
  </si>
  <si>
    <t>Net Year-One Cost of Energy (COE)</t>
  </si>
  <si>
    <t>Net Nominal Levelized Cost of Energy</t>
  </si>
  <si>
    <t>Neither</t>
  </si>
  <si>
    <t>Net Capacity Factor: Select "State Average" or "Custom" →</t>
  </si>
  <si>
    <t>Select Form of Federal Incentive</t>
  </si>
  <si>
    <t>Select Form of State Incentive</t>
  </si>
  <si>
    <t>Additional State Rebates/Grants</t>
  </si>
  <si>
    <r>
      <t xml:space="preserve">Additional Federal Grants </t>
    </r>
    <r>
      <rPr>
        <b/>
        <sz val="11"/>
        <rFont val="Arial"/>
        <family val="2"/>
      </rPr>
      <t>(Other than Section 1603)</t>
    </r>
  </si>
  <si>
    <t>PBI or REC Payment Duration</t>
  </si>
  <si>
    <t>Cash</t>
  </si>
  <si>
    <t>If cash, is state PBI or REC taxable?</t>
  </si>
  <si>
    <t>AK</t>
  </si>
  <si>
    <t>HI</t>
  </si>
  <si>
    <t>Intermediate</t>
  </si>
  <si>
    <t>Solar, version 1.4</t>
  </si>
  <si>
    <t>Version 1.4 removes CREST's password protection. The authors strongly recommend that you save a copy of the model in its original form.  Once altered, modeling results cannot be warranted by NREL or SEA.  For model customization support, please contact Sustainable Energy Advantage, LLC.</t>
  </si>
  <si>
    <t>Update Notice:</t>
  </si>
  <si>
    <t>Carried Forward</t>
  </si>
  <si>
    <t>Salvage</t>
  </si>
  <si>
    <t>Cost-Based</t>
  </si>
  <si>
    <t>ITC</t>
  </si>
  <si>
    <t>No</t>
  </si>
  <si>
    <t>NA</t>
  </si>
  <si>
    <t>Performance-Based</t>
  </si>
  <si>
    <t>Input Default</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</si>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</sst>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_(&quot;$&quot;* #,##0_);_(&quot;$&quot;* \(#,##0\);_(&quot;$&quot;* &quot;-&quot;??_);_(@_)"/>
    <numFmt numFmtId="166" formatCode="&quot;Project&quot;\ #"/>
    <numFmt numFmtId="167" formatCode="0\ &quot;kW&quot;"/>
    <numFmt numFmtId="168" formatCode="#\ &quot;Years&quot;"/>
    <numFmt numFmtId="169" formatCode="&quot;$&quot;#,##0"/>
    <numFmt numFmtId="170" formatCode="&quot;$&quot;#.##&quot;/ Watt&quot;"/>
    <numFmt numFmtId="171" formatCode="&quot;$&quot;#,##0.00"/>
    <numFmt numFmtId="172" formatCode="0.0000"/>
    <numFmt numFmtId="173" formatCode="0.000"/>
    <numFmt numFmtId="174" formatCode="_(* #,##0_);_(* \(#,##0\);_(* &quot;-&quot;??_);_(@_)"/>
    <numFmt numFmtId="175" formatCode="0.000000"/>
    <numFmt numFmtId="176" formatCode="&quot;Year&quot;\ #"/>
    <numFmt numFmtId="177" formatCode="&quot;$&quot;#,##0.000"/>
    <numFmt numFmtId="178" formatCode="0.0"/>
    <numFmt numFmtId="179" formatCode="&quot;Net Present Value @&quot;\ ##.00%\ &quot;(over defined Useful Life)&quot;"/>
  </numFmts>
  <fonts count="100" x14ac:knownFonts="1">
    <font>
      <sz val="11"/>
      <color theme="1"/>
      <name val="Calibri"/>
      <family val="2"/>
      <scheme val="minor"/>
    </font>
    <font>
      <sz val="12"/>
      <color theme="1"/>
      <name val="Calibri"/>
      <family val="2"/>
      <scheme val="minor"/>
    </font>
    <font>
      <sz val="11"/>
      <color theme="1"/>
      <name val="Calibri"/>
      <family val="2"/>
      <scheme val="minor"/>
    </font>
    <font>
      <b/>
      <sz val="12"/>
      <name val="Arial"/>
      <family val="2"/>
    </font>
    <font>
      <i/>
      <sz val="12"/>
      <name val="Arial"/>
      <family val="2"/>
    </font>
    <font>
      <b/>
      <sz val="12"/>
      <color indexed="62"/>
      <name val="Arial"/>
      <family val="2"/>
    </font>
    <font>
      <sz val="12"/>
      <name val="Arial"/>
      <family val="2"/>
    </font>
    <font>
      <sz val="12"/>
      <color rgb="FFFF0000"/>
      <name val="Arial"/>
      <family val="2"/>
    </font>
    <font>
      <b/>
      <sz val="14"/>
      <name val="Arial"/>
      <family val="2"/>
    </font>
    <font>
      <b/>
      <sz val="12"/>
      <color theme="3"/>
      <name val="Arial"/>
      <family val="2"/>
    </font>
    <font>
      <b/>
      <i/>
      <sz val="10"/>
      <name val="Arial"/>
      <family val="2"/>
    </font>
    <font>
      <i/>
      <sz val="11"/>
      <name val="Arial"/>
      <family val="2"/>
    </font>
    <font>
      <b/>
      <sz val="12"/>
      <color indexed="56"/>
      <name val="Arial"/>
      <family val="2"/>
    </font>
    <font>
      <b/>
      <sz val="8"/>
      <color indexed="81"/>
      <name val="Tahoma"/>
      <family val="2"/>
    </font>
    <font>
      <sz val="8"/>
      <color indexed="81"/>
      <name val="Tahoma"/>
      <family val="2"/>
    </font>
    <font>
      <b/>
      <sz val="12"/>
      <color rgb="FFFF0000"/>
      <name val="Arial"/>
      <family val="2"/>
    </font>
    <font>
      <b/>
      <sz val="12"/>
      <color theme="0" tint="-0.14999847407452621"/>
      <name val="Arial"/>
      <family val="2"/>
    </font>
    <font>
      <u/>
      <sz val="8.8000000000000007"/>
      <color theme="10"/>
      <name val="Calibri"/>
      <family val="2"/>
    </font>
    <font>
      <b/>
      <sz val="14"/>
      <color indexed="81"/>
      <name val="Tahoma"/>
      <family val="2"/>
    </font>
    <font>
      <sz val="14"/>
      <color indexed="81"/>
      <name val="Tahoma"/>
      <family val="2"/>
    </font>
    <font>
      <sz val="10"/>
      <name val="Arial"/>
      <family val="2"/>
    </font>
    <font>
      <b/>
      <i/>
      <sz val="12"/>
      <name val="Arial"/>
      <family val="2"/>
    </font>
    <font>
      <u/>
      <sz val="12"/>
      <name val="Arial"/>
      <family val="2"/>
    </font>
    <font>
      <b/>
      <sz val="12"/>
      <color indexed="81"/>
      <name val="Tahoma"/>
      <family val="2"/>
    </font>
    <font>
      <b/>
      <sz val="12"/>
      <color theme="4"/>
      <name val="Arial"/>
      <family val="2"/>
    </font>
    <font>
      <b/>
      <sz val="11"/>
      <color rgb="FFFF0000"/>
      <name val="Calibri"/>
      <family val="2"/>
      <scheme val="minor"/>
    </font>
    <font>
      <u/>
      <sz val="14"/>
      <color indexed="81"/>
      <name val="Tahoma"/>
      <family val="2"/>
    </font>
    <font>
      <b/>
      <u/>
      <sz val="12"/>
      <color theme="0" tint="-0.249977111117893"/>
      <name val="Arial"/>
      <family val="2"/>
    </font>
    <font>
      <sz val="12"/>
      <color theme="1"/>
      <name val="Arial"/>
      <family val="2"/>
    </font>
    <font>
      <b/>
      <sz val="12"/>
      <color theme="1"/>
      <name val="Calibri"/>
      <family val="2"/>
      <scheme val="minor"/>
    </font>
    <font>
      <b/>
      <sz val="14"/>
      <color theme="1"/>
      <name val="Calibri"/>
      <family val="2"/>
      <scheme val="minor"/>
    </font>
    <font>
      <b/>
      <sz val="12"/>
      <color indexed="12"/>
      <name val="Arial"/>
      <family val="2"/>
    </font>
    <font>
      <sz val="12"/>
      <color indexed="8"/>
      <name val="Arial"/>
      <family val="2"/>
    </font>
    <font>
      <i/>
      <sz val="12"/>
      <color rgb="FFFF0000"/>
      <name val="Arial"/>
      <family val="2"/>
    </font>
    <font>
      <u/>
      <sz val="18"/>
      <color theme="10"/>
      <name val="Calibri"/>
      <family val="2"/>
    </font>
    <font>
      <b/>
      <sz val="12"/>
      <color indexed="56"/>
      <name val="Times New Roman"/>
      <family val="1"/>
    </font>
    <font>
      <i/>
      <u/>
      <sz val="12"/>
      <name val="Arial"/>
      <family val="2"/>
    </font>
    <font>
      <b/>
      <u/>
      <sz val="12"/>
      <name val="Arial"/>
      <family val="2"/>
    </font>
    <font>
      <b/>
      <sz val="14"/>
      <name val="Tahoma"/>
      <family val="2"/>
    </font>
    <font>
      <b/>
      <i/>
      <sz val="14"/>
      <color rgb="FFC00000"/>
      <name val="Tahoma"/>
      <family val="2"/>
    </font>
    <font>
      <i/>
      <sz val="11"/>
      <color rgb="FFC00000"/>
      <name val="Calibri"/>
      <family val="2"/>
      <scheme val="minor"/>
    </font>
    <font>
      <b/>
      <i/>
      <sz val="11"/>
      <color rgb="FFC00000"/>
      <name val="Calibri"/>
      <family val="2"/>
      <scheme val="minor"/>
    </font>
    <font>
      <b/>
      <i/>
      <sz val="12"/>
      <color theme="4"/>
      <name val="Arial"/>
      <family val="2"/>
    </font>
    <font>
      <sz val="12"/>
      <color rgb="FFC00000"/>
      <name val="Arial"/>
      <family val="2"/>
    </font>
    <font>
      <b/>
      <sz val="12"/>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b/>
      <sz val="12"/>
      <color theme="4"/>
      <name val="Calibri"/>
      <family val="2"/>
      <scheme val="minor"/>
    </font>
    <font>
      <sz val="11"/>
      <color theme="1"/>
      <name val="Arial"/>
      <family val="2"/>
    </font>
    <font>
      <b/>
      <sz val="14"/>
      <color theme="1"/>
      <name val="Arial"/>
      <family val="2"/>
    </font>
    <font>
      <b/>
      <sz val="11"/>
      <color theme="1"/>
      <name val="Arial"/>
      <family val="2"/>
    </font>
    <font>
      <b/>
      <sz val="11"/>
      <name val="Arial"/>
      <family val="2"/>
    </font>
    <font>
      <sz val="11"/>
      <name val="Arial"/>
      <family val="2"/>
    </font>
    <font>
      <b/>
      <i/>
      <sz val="11"/>
      <name val="Arial"/>
      <family val="2"/>
    </font>
    <font>
      <i/>
      <sz val="11"/>
      <color theme="1"/>
      <name val="Arial"/>
      <family val="2"/>
    </font>
    <font>
      <b/>
      <i/>
      <sz val="11"/>
      <color rgb="FFC00000"/>
      <name val="Arial"/>
      <family val="2"/>
    </font>
    <font>
      <b/>
      <sz val="11"/>
      <color theme="4"/>
      <name val="Arial"/>
      <family val="2"/>
    </font>
    <font>
      <i/>
      <sz val="12"/>
      <color theme="0" tint="-0.499984740745262"/>
      <name val="Arial"/>
      <family val="2"/>
    </font>
    <font>
      <b/>
      <sz val="12"/>
      <color theme="0"/>
      <name val="Arial"/>
      <family val="2"/>
    </font>
    <font>
      <b/>
      <i/>
      <u/>
      <sz val="12"/>
      <name val="Arial"/>
      <family val="2"/>
    </font>
    <font>
      <b/>
      <sz val="12"/>
      <name val="Tahoma"/>
      <family val="2"/>
    </font>
    <font>
      <sz val="14"/>
      <name val="Arial"/>
      <family val="2"/>
    </font>
    <font>
      <b/>
      <i/>
      <sz val="12"/>
      <color theme="0" tint="-0.249977111117893"/>
      <name val="Arial"/>
      <family val="2"/>
    </font>
    <font>
      <i/>
      <sz val="10"/>
      <color theme="0" tint="-0.499984740745262"/>
      <name val="Arial"/>
      <family val="2"/>
    </font>
    <font>
      <b/>
      <u/>
      <sz val="12"/>
      <color theme="0"/>
      <name val="Arial"/>
      <family val="2"/>
    </font>
    <font>
      <i/>
      <sz val="11"/>
      <color theme="0" tint="-0.34998626667073579"/>
      <name val="Arial"/>
      <family val="2"/>
    </font>
    <font>
      <b/>
      <sz val="8"/>
      <name val="Arial"/>
      <family val="2"/>
    </font>
    <font>
      <sz val="12"/>
      <color theme="0" tint="-0.14999847407452621"/>
      <name val="Arial"/>
      <family val="2"/>
    </font>
    <font>
      <i/>
      <sz val="12"/>
      <color theme="0" tint="-0.14999847407452621"/>
      <name val="Arial"/>
      <family val="2"/>
    </font>
    <font>
      <sz val="12"/>
      <color theme="0"/>
      <name val="Arial"/>
      <family val="2"/>
    </font>
    <font>
      <i/>
      <sz val="12"/>
      <color theme="1"/>
      <name val="Arial"/>
      <family val="2"/>
    </font>
    <font>
      <b/>
      <i/>
      <sz val="11"/>
      <color theme="1"/>
      <name val="Arial"/>
      <family val="2"/>
    </font>
    <font>
      <b/>
      <u/>
      <sz val="12"/>
      <color theme="0" tint="-0.14999847407452621"/>
      <name val="Arial"/>
      <family val="2"/>
    </font>
    <font>
      <u/>
      <sz val="12"/>
      <color theme="10"/>
      <name val="Arial"/>
      <family val="2"/>
    </font>
    <font>
      <b/>
      <u/>
      <sz val="12"/>
      <color theme="10"/>
      <name val="Arial"/>
      <family val="2"/>
    </font>
    <font>
      <sz val="12"/>
      <color indexed="81"/>
      <name val="Tahoma"/>
      <family val="2"/>
    </font>
    <font>
      <b/>
      <i/>
      <sz val="11"/>
      <color rgb="FF00B050"/>
      <name val="Arial"/>
      <family val="2"/>
    </font>
    <font>
      <b/>
      <i/>
      <sz val="14"/>
      <color indexed="81"/>
      <name val="Tahoma"/>
      <family val="2"/>
    </font>
    <font>
      <u/>
      <sz val="12"/>
      <color theme="1"/>
      <name val="Calibri"/>
      <family val="2"/>
      <scheme val="minor"/>
    </font>
    <font>
      <b/>
      <sz val="12"/>
      <color theme="0" tint="-0.249977111117893"/>
      <name val="Arial"/>
      <family val="2"/>
    </font>
    <font>
      <sz val="12"/>
      <color theme="0" tint="-0.249977111117893"/>
      <name val="Arial"/>
      <family val="2"/>
    </font>
    <font>
      <b/>
      <sz val="11"/>
      <color rgb="FFFFFF00"/>
      <name val="Arial"/>
      <family val="2"/>
    </font>
    <font>
      <b/>
      <u/>
      <sz val="14"/>
      <color indexed="81"/>
      <name val="Tahoma"/>
      <family val="2"/>
    </font>
    <font>
      <b/>
      <sz val="12"/>
      <color theme="3"/>
      <name val="Calibri"/>
      <family val="2"/>
      <scheme val="minor"/>
    </font>
    <font>
      <b/>
      <u/>
      <sz val="12"/>
      <color theme="3"/>
      <name val="Calibri"/>
      <family val="2"/>
      <scheme val="minor"/>
    </font>
    <font>
      <b/>
      <i/>
      <u/>
      <sz val="12"/>
      <color theme="1"/>
      <name val="Calibri"/>
      <family val="2"/>
      <scheme val="minor"/>
    </font>
    <font>
      <b/>
      <sz val="14"/>
      <color rgb="FFFF0000"/>
      <name val="Calibri"/>
      <family val="2"/>
      <scheme val="minor"/>
    </font>
    <font>
      <u/>
      <sz val="12"/>
      <color theme="10"/>
      <name val="Calibri"/>
      <family val="2"/>
      <scheme val="minor"/>
    </font>
    <font>
      <b/>
      <i/>
      <u/>
      <sz val="12"/>
      <color theme="1"/>
      <name val="Arial"/>
      <family val="2"/>
    </font>
    <font>
      <u/>
      <sz val="12"/>
      <color theme="10"/>
      <name val="Calibri"/>
      <family val="2"/>
    </font>
    <font>
      <b/>
      <i/>
      <sz val="12"/>
      <color theme="1"/>
      <name val="Calibri"/>
      <family val="2"/>
      <scheme val="minor"/>
    </font>
    <font>
      <b/>
      <sz val="11"/>
      <color theme="3"/>
      <name val="Calibri"/>
      <family val="2"/>
      <scheme val="minor"/>
    </font>
    <font>
      <b/>
      <sz val="11"/>
      <color theme="1"/>
      <name val="Calibri"/>
      <family val="2"/>
      <scheme val="minor"/>
    </font>
    <font>
      <sz val="12"/>
      <name val="Calibri"/>
      <family val="2"/>
    </font>
    <font>
      <b/>
      <sz val="11"/>
      <color rgb="FFFF0000"/>
      <name val="Arial"/>
      <family val="2"/>
    </font>
    <font>
      <sz val="11"/>
      <color theme="1"/>
      <name val="Calibri"/>
      <family val="2"/>
    </font>
    <font>
      <b/>
      <sz val="16"/>
      <color indexed="81"/>
      <name val="Tahoma"/>
      <family val="2"/>
    </font>
    <font>
      <i/>
      <sz val="14"/>
      <color theme="1"/>
      <name val="Arial"/>
      <family val="2"/>
    </font>
    <font>
      <sz val="14"/>
      <color theme="1"/>
      <name val="Arial"/>
      <family val="2"/>
    </font>
  </fonts>
  <fills count="15">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indexed="2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0" fontId="17" fillId="0" borderId="0" applyNumberFormat="0" applyFill="0" applyBorder="0" applyAlignment="0" applyProtection="0">
      <alignment vertical="top"/>
      <protection locked="0"/>
    </xf>
    <xf numFmtId="9" fontId="20" fillId="0" borderId="0" applyFont="0" applyFill="0" applyBorder="0" applyAlignment="0" applyProtection="0"/>
    <xf numFmtId="43" fontId="2" fillId="0" borderId="0" applyFont="0" applyFill="0" applyBorder="0" applyAlignment="0" applyProtection="0"/>
  </cellStyleXfs>
  <cellXfs count="740">
    <xf numFmtId="0" fontId="0" fillId="0" borderId="0" xfId="0"/>
    <xf numFmtId="0" fontId="6" fillId="0" borderId="0" xfId="0" applyFont="1"/>
    <xf numFmtId="0" fontId="3" fillId="5" borderId="1" xfId="0" applyFont="1" applyFill="1" applyBorder="1" applyAlignment="1">
      <alignment horizontal="left"/>
    </xf>
    <xf numFmtId="0" fontId="10" fillId="5" borderId="2" xfId="0" applyFont="1" applyFill="1" applyBorder="1" applyAlignment="1">
      <alignment horizontal="center"/>
    </xf>
    <xf numFmtId="166" fontId="11" fillId="5" borderId="3" xfId="0" applyNumberFormat="1" applyFont="1" applyFill="1" applyBorder="1" applyAlignment="1">
      <alignment horizontal="center"/>
    </xf>
    <xf numFmtId="0" fontId="3" fillId="5" borderId="1" xfId="0" applyFont="1" applyFill="1" applyBorder="1"/>
    <xf numFmtId="0" fontId="4" fillId="2" borderId="5" xfId="0" applyFont="1" applyFill="1" applyBorder="1" applyAlignment="1">
      <alignment horizontal="center"/>
    </xf>
    <xf numFmtId="0" fontId="4" fillId="2" borderId="4" xfId="0" applyFont="1" applyFill="1" applyBorder="1" applyAlignment="1">
      <alignment horizontal="center"/>
    </xf>
    <xf numFmtId="0" fontId="4" fillId="0" borderId="4" xfId="0" applyFont="1" applyBorder="1" applyAlignment="1">
      <alignment horizontal="center"/>
    </xf>
    <xf numFmtId="0" fontId="6" fillId="2" borderId="4" xfId="0" applyFont="1" applyFill="1" applyBorder="1"/>
    <xf numFmtId="3" fontId="3" fillId="5" borderId="1" xfId="0" applyNumberFormat="1" applyFont="1" applyFill="1" applyBorder="1" applyAlignment="1">
      <alignment horizontal="left"/>
    </xf>
    <xf numFmtId="0" fontId="6" fillId="0" borderId="8" xfId="0" applyFont="1" applyBorder="1"/>
    <xf numFmtId="0" fontId="15" fillId="0" borderId="4" xfId="0" applyFont="1" applyBorder="1" applyAlignment="1">
      <alignment horizontal="center"/>
    </xf>
    <xf numFmtId="0" fontId="15" fillId="0" borderId="0" xfId="0" applyFont="1" applyAlignment="1">
      <alignment horizontal="center"/>
    </xf>
    <xf numFmtId="0" fontId="8" fillId="0" borderId="0" xfId="0" applyFont="1" applyAlignment="1">
      <alignment horizontal="center"/>
    </xf>
    <xf numFmtId="0" fontId="3" fillId="0" borderId="0" xfId="0" applyFont="1" applyAlignment="1">
      <alignment horizontal="center"/>
    </xf>
    <xf numFmtId="0" fontId="6" fillId="0" borderId="2" xfId="0" applyFont="1" applyBorder="1"/>
    <xf numFmtId="0" fontId="6" fillId="0" borderId="0" xfId="0" applyFont="1" applyAlignment="1">
      <alignment horizontal="center"/>
    </xf>
    <xf numFmtId="0" fontId="6" fillId="2" borderId="0" xfId="0" applyFont="1" applyFill="1"/>
    <xf numFmtId="0" fontId="24" fillId="0" borderId="2" xfId="0" applyFont="1" applyBorder="1" applyAlignment="1">
      <alignment horizontal="center" vertical="center"/>
    </xf>
    <xf numFmtId="0" fontId="8" fillId="0" borderId="2" xfId="0" applyFont="1" applyBorder="1" applyAlignment="1">
      <alignment horizontal="left"/>
    </xf>
    <xf numFmtId="9" fontId="9" fillId="0" borderId="0" xfId="0" applyNumberFormat="1" applyFont="1" applyAlignment="1">
      <alignment horizontal="center"/>
    </xf>
    <xf numFmtId="0" fontId="6" fillId="5" borderId="2" xfId="0" applyFont="1" applyFill="1" applyBorder="1"/>
    <xf numFmtId="173" fontId="6" fillId="0" borderId="0" xfId="0" applyNumberFormat="1" applyFont="1"/>
    <xf numFmtId="0" fontId="3" fillId="0" borderId="0" xfId="0" applyFont="1"/>
    <xf numFmtId="3" fontId="6" fillId="0" borderId="0" xfId="0" applyNumberFormat="1" applyFont="1"/>
    <xf numFmtId="169" fontId="6" fillId="0" borderId="0" xfId="0" applyNumberFormat="1" applyFont="1"/>
    <xf numFmtId="0" fontId="6" fillId="0" borderId="9" xfId="0" applyFont="1" applyBorder="1"/>
    <xf numFmtId="169" fontId="3" fillId="0" borderId="0" xfId="0" applyNumberFormat="1" applyFont="1"/>
    <xf numFmtId="6" fontId="6" fillId="0" borderId="0" xfId="0" applyNumberFormat="1" applyFont="1"/>
    <xf numFmtId="6" fontId="6" fillId="0" borderId="9" xfId="0" applyNumberFormat="1" applyFont="1" applyBorder="1"/>
    <xf numFmtId="6" fontId="3" fillId="0" borderId="0" xfId="0" applyNumberFormat="1" applyFont="1"/>
    <xf numFmtId="0" fontId="4" fillId="0" borderId="0" xfId="0" applyFont="1"/>
    <xf numFmtId="40" fontId="4" fillId="0" borderId="0" xfId="0" applyNumberFormat="1" applyFont="1" applyAlignment="1">
      <alignment horizontal="center"/>
    </xf>
    <xf numFmtId="0" fontId="3" fillId="0" borderId="0" xfId="0" applyFont="1" applyAlignment="1">
      <alignment wrapText="1"/>
    </xf>
    <xf numFmtId="0" fontId="21" fillId="0" borderId="0" xfId="0" applyFont="1" applyAlignment="1">
      <alignment wrapText="1"/>
    </xf>
    <xf numFmtId="164" fontId="4" fillId="0" borderId="0" xfId="2" applyNumberFormat="1" applyFont="1" applyAlignment="1"/>
    <xf numFmtId="6" fontId="31" fillId="0" borderId="0" xfId="0" applyNumberFormat="1" applyFont="1" applyAlignment="1">
      <alignment horizontal="center"/>
    </xf>
    <xf numFmtId="0" fontId="3" fillId="0" borderId="22" xfId="0" applyFont="1" applyBorder="1"/>
    <xf numFmtId="0" fontId="6" fillId="0" borderId="22" xfId="0" applyFont="1" applyBorder="1"/>
    <xf numFmtId="0" fontId="3" fillId="9" borderId="0" xfId="0" applyFont="1" applyFill="1"/>
    <xf numFmtId="0" fontId="6" fillId="9" borderId="0" xfId="0" applyFont="1" applyFill="1"/>
    <xf numFmtId="6" fontId="6" fillId="9" borderId="0" xfId="0" applyNumberFormat="1" applyFont="1" applyFill="1"/>
    <xf numFmtId="0" fontId="21" fillId="9" borderId="0" xfId="0" applyFont="1" applyFill="1" applyAlignment="1">
      <alignment horizontal="center"/>
    </xf>
    <xf numFmtId="0" fontId="25" fillId="0" borderId="0" xfId="0" applyFont="1" applyAlignment="1">
      <alignment horizontal="center"/>
    </xf>
    <xf numFmtId="3" fontId="3" fillId="9" borderId="1" xfId="0" applyNumberFormat="1" applyFont="1" applyFill="1" applyBorder="1" applyAlignment="1">
      <alignment horizontal="left" vertical="center"/>
    </xf>
    <xf numFmtId="3" fontId="4" fillId="9" borderId="2" xfId="0" applyNumberFormat="1" applyFont="1" applyFill="1" applyBorder="1" applyAlignment="1">
      <alignment horizontal="center" vertical="center"/>
    </xf>
    <xf numFmtId="0" fontId="0" fillId="4" borderId="2" xfId="0" applyFill="1" applyBorder="1"/>
    <xf numFmtId="0" fontId="0" fillId="4" borderId="3" xfId="0" applyFill="1" applyBorder="1"/>
    <xf numFmtId="0" fontId="6" fillId="2" borderId="4" xfId="0" applyFont="1" applyFill="1" applyBorder="1" applyAlignment="1">
      <alignment vertical="center"/>
    </xf>
    <xf numFmtId="0" fontId="6" fillId="0" borderId="4" xfId="0" applyFont="1" applyBorder="1" applyAlignment="1">
      <alignment vertical="center"/>
    </xf>
    <xf numFmtId="9" fontId="3" fillId="2" borderId="5" xfId="2" applyFont="1" applyFill="1" applyBorder="1" applyAlignment="1">
      <alignment horizontal="center"/>
    </xf>
    <xf numFmtId="0" fontId="34" fillId="0" borderId="0" xfId="3" applyNumberFormat="1" applyFont="1" applyBorder="1" applyAlignment="1" applyProtection="1">
      <alignment vertical="center"/>
    </xf>
    <xf numFmtId="9" fontId="35" fillId="2" borderId="5" xfId="2" applyFont="1" applyFill="1" applyBorder="1" applyAlignment="1">
      <alignment horizontal="center"/>
    </xf>
    <xf numFmtId="0" fontId="4" fillId="0" borderId="0" xfId="0" applyFont="1" applyAlignment="1">
      <alignment horizontal="center"/>
    </xf>
    <xf numFmtId="9" fontId="6" fillId="2" borderId="5" xfId="2" applyFont="1" applyFill="1" applyBorder="1" applyAlignment="1">
      <alignment horizontal="center" vertical="center"/>
    </xf>
    <xf numFmtId="166" fontId="11" fillId="0" borderId="0" xfId="0" applyNumberFormat="1" applyFont="1" applyAlignment="1">
      <alignment horizontal="center"/>
    </xf>
    <xf numFmtId="0" fontId="4" fillId="0" borderId="9" xfId="0" applyFont="1" applyBorder="1" applyAlignment="1">
      <alignment horizontal="center"/>
    </xf>
    <xf numFmtId="0" fontId="21" fillId="0" borderId="0" xfId="0" applyFont="1" applyAlignment="1">
      <alignment horizontal="center"/>
    </xf>
    <xf numFmtId="172" fontId="6" fillId="0" borderId="0" xfId="0" applyNumberFormat="1" applyFont="1" applyAlignment="1">
      <alignment horizontal="center"/>
    </xf>
    <xf numFmtId="10" fontId="6" fillId="0" borderId="0" xfId="2" applyNumberFormat="1" applyFont="1" applyAlignment="1"/>
    <xf numFmtId="9" fontId="6" fillId="0" borderId="0" xfId="0" applyNumberFormat="1" applyFont="1"/>
    <xf numFmtId="41" fontId="6" fillId="0" borderId="0" xfId="0" applyNumberFormat="1" applyFont="1"/>
    <xf numFmtId="2" fontId="31" fillId="0" borderId="0" xfId="0" applyNumberFormat="1" applyFont="1" applyAlignment="1">
      <alignment horizontal="center"/>
    </xf>
    <xf numFmtId="0" fontId="6" fillId="9" borderId="22" xfId="0" applyFont="1" applyFill="1" applyBorder="1"/>
    <xf numFmtId="2" fontId="4" fillId="0" borderId="0" xfId="0" applyNumberFormat="1" applyFont="1"/>
    <xf numFmtId="0" fontId="24" fillId="6" borderId="3" xfId="0" applyFont="1" applyFill="1" applyBorder="1" applyAlignment="1">
      <alignment horizontal="center" vertical="center" wrapText="1"/>
    </xf>
    <xf numFmtId="8" fontId="4" fillId="0" borderId="0" xfId="0" applyNumberFormat="1" applyFont="1" applyAlignment="1">
      <alignment horizontal="center"/>
    </xf>
    <xf numFmtId="0" fontId="38" fillId="4" borderId="1" xfId="0" applyFont="1" applyFill="1" applyBorder="1" applyAlignment="1">
      <alignment horizontal="left" vertical="center"/>
    </xf>
    <xf numFmtId="0" fontId="25" fillId="4" borderId="2" xfId="0" applyFont="1" applyFill="1" applyBorder="1" applyAlignment="1">
      <alignment horizontal="center"/>
    </xf>
    <xf numFmtId="0" fontId="39" fillId="6" borderId="1" xfId="0" applyFont="1" applyFill="1" applyBorder="1"/>
    <xf numFmtId="0" fontId="40" fillId="6" borderId="2" xfId="0" applyFont="1" applyFill="1" applyBorder="1"/>
    <xf numFmtId="0" fontId="41" fillId="6" borderId="2" xfId="0" applyFont="1" applyFill="1" applyBorder="1" applyAlignment="1">
      <alignment horizontal="center"/>
    </xf>
    <xf numFmtId="9" fontId="24" fillId="0" borderId="4" xfId="0" applyNumberFormat="1" applyFont="1" applyBorder="1" applyAlignment="1">
      <alignment horizontal="center"/>
    </xf>
    <xf numFmtId="0" fontId="4" fillId="4" borderId="3" xfId="0" applyFont="1" applyFill="1" applyBorder="1" applyAlignment="1">
      <alignment horizontal="center" vertical="center"/>
    </xf>
    <xf numFmtId="9" fontId="6" fillId="0" borderId="0" xfId="2" applyFont="1" applyFill="1" applyBorder="1" applyAlignment="1">
      <alignment horizontal="center" vertical="center"/>
    </xf>
    <xf numFmtId="0" fontId="21" fillId="4" borderId="1" xfId="0" applyFont="1" applyFill="1" applyBorder="1"/>
    <xf numFmtId="0" fontId="6" fillId="4" borderId="2" xfId="0" applyFont="1" applyFill="1" applyBorder="1"/>
    <xf numFmtId="0" fontId="6" fillId="4" borderId="3" xfId="0" applyFont="1" applyFill="1" applyBorder="1"/>
    <xf numFmtId="0" fontId="40" fillId="6" borderId="3" xfId="0" applyFont="1" applyFill="1" applyBorder="1"/>
    <xf numFmtId="0" fontId="6" fillId="2" borderId="5" xfId="0" applyFont="1" applyFill="1" applyBorder="1" applyAlignment="1">
      <alignment vertical="center"/>
    </xf>
    <xf numFmtId="169" fontId="6" fillId="0" borderId="5" xfId="1" applyNumberFormat="1" applyFont="1" applyBorder="1" applyAlignment="1">
      <alignment horizontal="center" vertical="center"/>
    </xf>
    <xf numFmtId="0" fontId="0" fillId="0" borderId="4" xfId="0" applyBorder="1"/>
    <xf numFmtId="0" fontId="8" fillId="0" borderId="1" xfId="0" applyFont="1" applyBorder="1" applyAlignment="1">
      <alignment horizontal="left" vertical="center"/>
    </xf>
    <xf numFmtId="0" fontId="4" fillId="9" borderId="29" xfId="0" applyFont="1" applyFill="1" applyBorder="1" applyAlignment="1">
      <alignment horizontal="center" vertical="center"/>
    </xf>
    <xf numFmtId="0" fontId="4" fillId="9" borderId="29" xfId="0" applyFont="1" applyFill="1" applyBorder="1" applyAlignment="1">
      <alignment horizontal="center" vertical="center" wrapText="1"/>
    </xf>
    <xf numFmtId="0" fontId="33" fillId="2" borderId="0" xfId="0" applyFont="1" applyFill="1" applyAlignment="1">
      <alignment vertical="center"/>
    </xf>
    <xf numFmtId="9" fontId="7" fillId="2" borderId="0" xfId="2" applyFont="1" applyFill="1" applyBorder="1" applyAlignment="1">
      <alignment horizontal="center" vertical="center"/>
    </xf>
    <xf numFmtId="9" fontId="24" fillId="0" borderId="0" xfId="0" applyNumberFormat="1" applyFont="1" applyAlignment="1">
      <alignment horizontal="center"/>
    </xf>
    <xf numFmtId="0" fontId="6" fillId="0" borderId="0" xfId="0" applyFont="1" applyAlignment="1">
      <alignment vertical="center"/>
    </xf>
    <xf numFmtId="169" fontId="6" fillId="0" borderId="0" xfId="1" applyNumberFormat="1" applyFont="1" applyFill="1" applyBorder="1" applyAlignment="1">
      <alignment horizontal="center" vertical="center"/>
    </xf>
    <xf numFmtId="0" fontId="33" fillId="0" borderId="0" xfId="0" applyFont="1" applyAlignment="1">
      <alignment vertical="center"/>
    </xf>
    <xf numFmtId="169" fontId="7" fillId="0" borderId="0" xfId="1" applyNumberFormat="1" applyFont="1" applyFill="1" applyBorder="1" applyAlignment="1">
      <alignment horizontal="center" vertical="center"/>
    </xf>
    <xf numFmtId="9" fontId="7" fillId="0" borderId="0" xfId="2" applyFont="1" applyFill="1" applyBorder="1" applyAlignment="1">
      <alignment horizontal="center" vertical="center"/>
    </xf>
    <xf numFmtId="0" fontId="3" fillId="9" borderId="30" xfId="0" applyFont="1" applyFill="1" applyBorder="1" applyAlignment="1">
      <alignment vertical="center"/>
    </xf>
    <xf numFmtId="169" fontId="6" fillId="0" borderId="4" xfId="0" applyNumberFormat="1" applyFont="1" applyBorder="1" applyAlignment="1">
      <alignment vertical="center"/>
    </xf>
    <xf numFmtId="0" fontId="3" fillId="0" borderId="5" xfId="0" applyFont="1" applyBorder="1" applyAlignment="1">
      <alignment vertical="center"/>
    </xf>
    <xf numFmtId="0" fontId="6" fillId="0" borderId="5" xfId="0" applyFont="1" applyBorder="1" applyAlignment="1">
      <alignment vertical="center"/>
    </xf>
    <xf numFmtId="0" fontId="6" fillId="0" borderId="28" xfId="0" applyFont="1" applyBorder="1" applyAlignment="1">
      <alignment vertical="center"/>
    </xf>
    <xf numFmtId="6" fontId="6" fillId="0" borderId="28" xfId="0" applyNumberFormat="1" applyFont="1" applyBorder="1" applyAlignment="1">
      <alignment vertical="center"/>
    </xf>
    <xf numFmtId="169" fontId="6" fillId="0" borderId="5" xfId="0" applyNumberFormat="1" applyFont="1" applyBorder="1" applyAlignment="1">
      <alignment vertical="center"/>
    </xf>
    <xf numFmtId="169" fontId="3" fillId="0" borderId="5" xfId="0" applyNumberFormat="1" applyFont="1" applyBorder="1" applyAlignment="1">
      <alignment vertical="center"/>
    </xf>
    <xf numFmtId="169" fontId="6" fillId="0" borderId="4" xfId="2" applyNumberFormat="1" applyFont="1" applyFill="1" applyBorder="1" applyAlignment="1">
      <alignment vertical="center"/>
    </xf>
    <xf numFmtId="9" fontId="35" fillId="0" borderId="0" xfId="2" applyFont="1" applyFill="1" applyBorder="1" applyAlignment="1">
      <alignment horizontal="center"/>
    </xf>
    <xf numFmtId="165" fontId="7" fillId="0" borderId="0" xfId="1" applyNumberFormat="1" applyFont="1" applyBorder="1" applyAlignment="1">
      <alignment horizontal="center" vertical="center"/>
    </xf>
    <xf numFmtId="169" fontId="6" fillId="0" borderId="4" xfId="1" applyNumberFormat="1" applyFont="1" applyBorder="1" applyAlignment="1">
      <alignment horizontal="center" vertical="center"/>
    </xf>
    <xf numFmtId="0" fontId="6" fillId="2" borderId="28" xfId="0" applyFont="1" applyFill="1" applyBorder="1" applyAlignment="1">
      <alignment vertical="center"/>
    </xf>
    <xf numFmtId="169" fontId="6" fillId="0" borderId="28" xfId="1" applyNumberFormat="1" applyFont="1" applyBorder="1" applyAlignment="1">
      <alignment horizontal="center" vertical="center"/>
    </xf>
    <xf numFmtId="169" fontId="6" fillId="0" borderId="28" xfId="2" applyNumberFormat="1" applyFont="1" applyFill="1" applyBorder="1" applyAlignment="1">
      <alignment vertical="center"/>
    </xf>
    <xf numFmtId="0" fontId="4" fillId="0" borderId="0" xfId="0" applyFont="1" applyAlignment="1">
      <alignment horizontal="center" vertical="center"/>
    </xf>
    <xf numFmtId="169" fontId="6" fillId="0" borderId="28" xfId="0" applyNumberFormat="1" applyFont="1" applyBorder="1" applyAlignment="1">
      <alignment vertical="center"/>
    </xf>
    <xf numFmtId="0" fontId="6" fillId="0" borderId="4" xfId="0" applyFont="1" applyBorder="1" applyAlignment="1">
      <alignment horizontal="right" vertical="center"/>
    </xf>
    <xf numFmtId="0" fontId="6" fillId="0" borderId="28" xfId="0" applyFont="1" applyBorder="1" applyAlignment="1">
      <alignment horizontal="right" vertical="center"/>
    </xf>
    <xf numFmtId="169" fontId="6" fillId="0" borderId="5" xfId="2" applyNumberFormat="1" applyFont="1" applyFill="1" applyBorder="1" applyAlignment="1">
      <alignment vertical="center"/>
    </xf>
    <xf numFmtId="0" fontId="6" fillId="0" borderId="5" xfId="0" applyFont="1" applyBorder="1" applyAlignment="1">
      <alignment horizontal="right" vertical="center"/>
    </xf>
    <xf numFmtId="0" fontId="4" fillId="9" borderId="31" xfId="0" applyFont="1" applyFill="1" applyBorder="1" applyAlignment="1">
      <alignment horizontal="center" vertical="center" wrapText="1"/>
    </xf>
    <xf numFmtId="0" fontId="42" fillId="2" borderId="5" xfId="0" applyFont="1" applyFill="1" applyBorder="1" applyAlignment="1">
      <alignment vertical="center"/>
    </xf>
    <xf numFmtId="169" fontId="24" fillId="0" borderId="5" xfId="1" applyNumberFormat="1" applyFont="1" applyBorder="1" applyAlignment="1">
      <alignment horizontal="center" vertical="center"/>
    </xf>
    <xf numFmtId="9" fontId="24" fillId="2" borderId="5" xfId="2" applyFont="1" applyFill="1" applyBorder="1" applyAlignment="1">
      <alignment horizontal="center" vertical="center"/>
    </xf>
    <xf numFmtId="0" fontId="42" fillId="2" borderId="4" xfId="0" applyFont="1" applyFill="1" applyBorder="1" applyAlignment="1">
      <alignment vertical="center"/>
    </xf>
    <xf numFmtId="169" fontId="24" fillId="0" borderId="4" xfId="1" applyNumberFormat="1" applyFont="1" applyBorder="1" applyAlignment="1">
      <alignment horizontal="center" vertical="center"/>
    </xf>
    <xf numFmtId="0" fontId="42" fillId="2" borderId="28" xfId="0" applyFont="1" applyFill="1" applyBorder="1" applyAlignment="1">
      <alignment vertical="center"/>
    </xf>
    <xf numFmtId="169" fontId="24" fillId="0" borderId="28" xfId="1" applyNumberFormat="1" applyFont="1" applyBorder="1" applyAlignment="1">
      <alignment horizontal="center" vertical="center"/>
    </xf>
    <xf numFmtId="9" fontId="24" fillId="2" borderId="28" xfId="2" applyFont="1" applyFill="1" applyBorder="1" applyAlignment="1">
      <alignment horizontal="center" vertical="center"/>
    </xf>
    <xf numFmtId="0" fontId="24" fillId="0" borderId="0" xfId="0" applyFont="1" applyAlignment="1">
      <alignment horizontal="center" vertical="center"/>
    </xf>
    <xf numFmtId="0" fontId="43" fillId="0" borderId="0" xfId="0" applyFont="1" applyAlignment="1">
      <alignment horizontal="left"/>
    </xf>
    <xf numFmtId="0" fontId="43" fillId="0" borderId="0" xfId="0" applyFont="1"/>
    <xf numFmtId="169" fontId="6" fillId="0" borderId="9" xfId="0" applyNumberFormat="1" applyFont="1" applyBorder="1"/>
    <xf numFmtId="0" fontId="46" fillId="0" borderId="0" xfId="0" applyFont="1"/>
    <xf numFmtId="0" fontId="47" fillId="0" borderId="0" xfId="0" applyFont="1"/>
    <xf numFmtId="0" fontId="45" fillId="0" borderId="0" xfId="0" applyFont="1" applyAlignment="1">
      <alignment vertical="center"/>
    </xf>
    <xf numFmtId="0" fontId="29" fillId="0" borderId="0" xfId="0" applyFont="1" applyAlignment="1">
      <alignment vertical="center"/>
    </xf>
    <xf numFmtId="0" fontId="45" fillId="0" borderId="0" xfId="0" applyFont="1" applyAlignment="1">
      <alignment vertical="center" wrapText="1"/>
    </xf>
    <xf numFmtId="0" fontId="45" fillId="0" borderId="0" xfId="0" applyFont="1"/>
    <xf numFmtId="0" fontId="45" fillId="0" borderId="0" xfId="0" applyFont="1" applyAlignment="1">
      <alignment wrapText="1"/>
    </xf>
    <xf numFmtId="0" fontId="29" fillId="0" borderId="0" xfId="0" applyFont="1" applyAlignment="1">
      <alignment wrapText="1"/>
    </xf>
    <xf numFmtId="0" fontId="49" fillId="0" borderId="0" xfId="0" applyFont="1"/>
    <xf numFmtId="0" fontId="49" fillId="0" borderId="0" xfId="0" applyFont="1" applyAlignment="1">
      <alignment horizontal="center"/>
    </xf>
    <xf numFmtId="0" fontId="49" fillId="0" borderId="0" xfId="0" applyFont="1" applyAlignment="1">
      <alignment horizontal="center" vertical="center"/>
    </xf>
    <xf numFmtId="0" fontId="51" fillId="5" borderId="19" xfId="0" applyFont="1" applyFill="1" applyBorder="1" applyAlignment="1">
      <alignment horizontal="center" wrapText="1"/>
    </xf>
    <xf numFmtId="0" fontId="51" fillId="5" borderId="11" xfId="0" applyFont="1" applyFill="1" applyBorder="1" applyAlignment="1">
      <alignment horizontal="center" wrapText="1"/>
    </xf>
    <xf numFmtId="0" fontId="51" fillId="5" borderId="20" xfId="0" applyFont="1" applyFill="1" applyBorder="1" applyAlignment="1">
      <alignment horizontal="center" wrapText="1"/>
    </xf>
    <xf numFmtId="0" fontId="51" fillId="5" borderId="17" xfId="0" applyFont="1" applyFill="1" applyBorder="1" applyAlignment="1">
      <alignment horizontal="center"/>
    </xf>
    <xf numFmtId="0" fontId="51" fillId="5" borderId="0" xfId="0" applyFont="1" applyFill="1" applyAlignment="1">
      <alignment horizontal="center"/>
    </xf>
    <xf numFmtId="0" fontId="51" fillId="5" borderId="9" xfId="0" applyFont="1" applyFill="1" applyBorder="1" applyAlignment="1">
      <alignment horizontal="center"/>
    </xf>
    <xf numFmtId="0" fontId="51" fillId="5" borderId="18" xfId="0" applyFont="1" applyFill="1" applyBorder="1" applyAlignment="1">
      <alignment horizontal="center"/>
    </xf>
    <xf numFmtId="0" fontId="49" fillId="0" borderId="19" xfId="0" applyFont="1" applyBorder="1" applyAlignment="1">
      <alignment horizontal="center"/>
    </xf>
    <xf numFmtId="0" fontId="49" fillId="0" borderId="11" xfId="0" applyFont="1" applyBorder="1" applyAlignment="1">
      <alignment horizontal="center"/>
    </xf>
    <xf numFmtId="0" fontId="49" fillId="0" borderId="11" xfId="0" applyFont="1" applyBorder="1"/>
    <xf numFmtId="6" fontId="49" fillId="0" borderId="0" xfId="0" applyNumberFormat="1" applyFont="1" applyAlignment="1">
      <alignment horizontal="center" wrapText="1"/>
    </xf>
    <xf numFmtId="0" fontId="49" fillId="0" borderId="17" xfId="0" applyFont="1" applyBorder="1" applyAlignment="1">
      <alignment horizontal="center"/>
    </xf>
    <xf numFmtId="2" fontId="49" fillId="0" borderId="0" xfId="0" applyNumberFormat="1" applyFont="1" applyAlignment="1">
      <alignment horizontal="center" wrapText="1"/>
    </xf>
    <xf numFmtId="10" fontId="49" fillId="0" borderId="0" xfId="2" applyNumberFormat="1" applyFont="1" applyBorder="1" applyAlignment="1">
      <alignment horizontal="center" wrapText="1"/>
    </xf>
    <xf numFmtId="2" fontId="49" fillId="0" borderId="18" xfId="2" applyNumberFormat="1" applyFont="1" applyBorder="1" applyAlignment="1">
      <alignment horizontal="center" wrapText="1"/>
    </xf>
    <xf numFmtId="0" fontId="49" fillId="0" borderId="0" xfId="0" applyFont="1" applyAlignment="1">
      <alignment wrapText="1"/>
    </xf>
    <xf numFmtId="0" fontId="49" fillId="0" borderId="17" xfId="0" applyFont="1" applyBorder="1" applyAlignment="1">
      <alignment horizontal="center" wrapText="1"/>
    </xf>
    <xf numFmtId="0" fontId="49" fillId="0" borderId="15" xfId="0" applyFont="1" applyBorder="1"/>
    <xf numFmtId="0" fontId="49" fillId="0" borderId="9" xfId="0" applyFont="1" applyBorder="1"/>
    <xf numFmtId="0" fontId="51" fillId="4" borderId="1" xfId="0" applyFont="1" applyFill="1" applyBorder="1" applyAlignment="1">
      <alignment horizontal="left" vertical="center"/>
    </xf>
    <xf numFmtId="0" fontId="49" fillId="4" borderId="2" xfId="0" applyFont="1" applyFill="1" applyBorder="1" applyAlignment="1">
      <alignment horizontal="left" vertical="center"/>
    </xf>
    <xf numFmtId="0" fontId="52" fillId="4" borderId="2" xfId="0" applyFont="1" applyFill="1" applyBorder="1" applyAlignment="1">
      <alignment horizontal="left" vertical="center"/>
    </xf>
    <xf numFmtId="167" fontId="52" fillId="4" borderId="2" xfId="0" applyNumberFormat="1" applyFont="1" applyFill="1" applyBorder="1" applyAlignment="1">
      <alignment horizontal="left" vertical="center"/>
    </xf>
    <xf numFmtId="0" fontId="52" fillId="4" borderId="3" xfId="0" applyFont="1" applyFill="1" applyBorder="1" applyAlignment="1">
      <alignment horizontal="left" vertical="center"/>
    </xf>
    <xf numFmtId="0" fontId="52" fillId="0" borderId="0" xfId="0" applyFont="1" applyAlignment="1">
      <alignment horizontal="center"/>
    </xf>
    <xf numFmtId="169" fontId="52" fillId="0" borderId="0" xfId="0" applyNumberFormat="1" applyFont="1" applyAlignment="1">
      <alignment horizontal="center"/>
    </xf>
    <xf numFmtId="0" fontId="52" fillId="0" borderId="0" xfId="0" applyFont="1"/>
    <xf numFmtId="0" fontId="53" fillId="0" borderId="11" xfId="0" applyFont="1" applyBorder="1"/>
    <xf numFmtId="0" fontId="53" fillId="0" borderId="20" xfId="0" applyFont="1" applyBorder="1"/>
    <xf numFmtId="6" fontId="54" fillId="0" borderId="9" xfId="0" applyNumberFormat="1" applyFont="1" applyBorder="1" applyAlignment="1">
      <alignment horizontal="center" wrapText="1"/>
    </xf>
    <xf numFmtId="6" fontId="54" fillId="0" borderId="16" xfId="0" applyNumberFormat="1" applyFont="1" applyBorder="1" applyAlignment="1">
      <alignment horizontal="center" wrapText="1"/>
    </xf>
    <xf numFmtId="6" fontId="54" fillId="0" borderId="0" xfId="0" applyNumberFormat="1" applyFont="1" applyAlignment="1">
      <alignment horizontal="center" wrapText="1"/>
    </xf>
    <xf numFmtId="0" fontId="50" fillId="8" borderId="12" xfId="0" applyFont="1" applyFill="1" applyBorder="1" applyAlignment="1">
      <alignment vertical="center"/>
    </xf>
    <xf numFmtId="0" fontId="50" fillId="8" borderId="13" xfId="0" applyFont="1" applyFill="1" applyBorder="1" applyAlignment="1">
      <alignment vertical="center"/>
    </xf>
    <xf numFmtId="0" fontId="50" fillId="8" borderId="14" xfId="0" applyFont="1" applyFill="1" applyBorder="1" applyAlignment="1">
      <alignment vertical="center"/>
    </xf>
    <xf numFmtId="0" fontId="51" fillId="0" borderId="17" xfId="0" applyFont="1" applyBorder="1"/>
    <xf numFmtId="0" fontId="55" fillId="0" borderId="0" xfId="0" applyFont="1" applyAlignment="1">
      <alignment horizontal="center"/>
    </xf>
    <xf numFmtId="0" fontId="51" fillId="0" borderId="15" xfId="0" applyFont="1" applyBorder="1"/>
    <xf numFmtId="0" fontId="55" fillId="0" borderId="9" xfId="0" applyFont="1" applyBorder="1" applyAlignment="1">
      <alignment horizontal="center"/>
    </xf>
    <xf numFmtId="0" fontId="55" fillId="0" borderId="0" xfId="0" applyFont="1" applyAlignment="1">
      <alignment horizontal="center" wrapText="1"/>
    </xf>
    <xf numFmtId="0" fontId="44" fillId="5" borderId="12" xfId="0" applyFont="1" applyFill="1" applyBorder="1"/>
    <xf numFmtId="167" fontId="49" fillId="0" borderId="0" xfId="0" applyNumberFormat="1" applyFont="1" applyAlignment="1">
      <alignment horizontal="center"/>
    </xf>
    <xf numFmtId="164" fontId="49" fillId="0" borderId="21" xfId="2" applyNumberFormat="1" applyFont="1" applyBorder="1" applyAlignment="1">
      <alignment horizontal="center"/>
    </xf>
    <xf numFmtId="164" fontId="49" fillId="0" borderId="0" xfId="2" applyNumberFormat="1" applyFont="1" applyFill="1" applyBorder="1" applyAlignment="1">
      <alignment horizontal="center"/>
    </xf>
    <xf numFmtId="0" fontId="49" fillId="0" borderId="21" xfId="0" applyFont="1" applyBorder="1" applyAlignment="1">
      <alignment horizontal="center"/>
    </xf>
    <xf numFmtId="169" fontId="49" fillId="0" borderId="21" xfId="0" applyNumberFormat="1" applyFont="1" applyBorder="1" applyAlignment="1">
      <alignment horizontal="center"/>
    </xf>
    <xf numFmtId="169" fontId="49" fillId="0" borderId="0" xfId="0" applyNumberFormat="1" applyFont="1" applyAlignment="1">
      <alignment horizontal="center"/>
    </xf>
    <xf numFmtId="171" fontId="49" fillId="0" borderId="21" xfId="0" applyNumberFormat="1" applyFont="1" applyBorder="1" applyAlignment="1">
      <alignment horizontal="center"/>
    </xf>
    <xf numFmtId="171" fontId="49" fillId="0" borderId="0" xfId="0" applyNumberFormat="1" applyFont="1" applyAlignment="1">
      <alignment horizontal="center"/>
    </xf>
    <xf numFmtId="9" fontId="49" fillId="0" borderId="21" xfId="0" applyNumberFormat="1" applyFont="1" applyBorder="1" applyAlignment="1">
      <alignment horizontal="center"/>
    </xf>
    <xf numFmtId="9" fontId="49" fillId="0" borderId="0" xfId="0" applyNumberFormat="1" applyFont="1" applyAlignment="1">
      <alignment horizontal="center"/>
    </xf>
    <xf numFmtId="0" fontId="30" fillId="5" borderId="23" xfId="0" applyFont="1" applyFill="1" applyBorder="1" applyAlignment="1">
      <alignment vertical="center"/>
    </xf>
    <xf numFmtId="0" fontId="30" fillId="5" borderId="10" xfId="0" applyFont="1" applyFill="1" applyBorder="1" applyAlignment="1">
      <alignment vertical="center"/>
    </xf>
    <xf numFmtId="0" fontId="45" fillId="5" borderId="24" xfId="0" applyFont="1" applyFill="1" applyBorder="1" applyAlignment="1">
      <alignment vertical="center"/>
    </xf>
    <xf numFmtId="0" fontId="29" fillId="8" borderId="8" xfId="0" applyFont="1" applyFill="1" applyBorder="1" applyAlignment="1">
      <alignment vertical="center"/>
    </xf>
    <xf numFmtId="0" fontId="29" fillId="8" borderId="0" xfId="0" applyFont="1" applyFill="1" applyAlignment="1">
      <alignment vertical="center"/>
    </xf>
    <xf numFmtId="0" fontId="29" fillId="8" borderId="25" xfId="0" applyFont="1" applyFill="1" applyBorder="1" applyAlignment="1">
      <alignment vertical="center"/>
    </xf>
    <xf numFmtId="0" fontId="29" fillId="8" borderId="8" xfId="0" applyFont="1" applyFill="1" applyBorder="1" applyAlignment="1">
      <alignment horizontal="left" vertical="top" wrapText="1"/>
    </xf>
    <xf numFmtId="0" fontId="45" fillId="8" borderId="0" xfId="0" applyFont="1" applyFill="1" applyAlignment="1">
      <alignment vertical="center" wrapText="1"/>
    </xf>
    <xf numFmtId="0" fontId="45" fillId="8" borderId="25" xfId="0" applyFont="1" applyFill="1" applyBorder="1" applyAlignment="1">
      <alignment vertical="center" wrapText="1"/>
    </xf>
    <xf numFmtId="0" fontId="45" fillId="8" borderId="8" xfId="0" applyFont="1" applyFill="1" applyBorder="1"/>
    <xf numFmtId="0" fontId="45" fillId="8" borderId="0" xfId="0" applyFont="1" applyFill="1"/>
    <xf numFmtId="0" fontId="45" fillId="8" borderId="25" xfId="0" applyFont="1" applyFill="1" applyBorder="1"/>
    <xf numFmtId="0" fontId="29" fillId="8" borderId="8" xfId="0" applyFont="1" applyFill="1" applyBorder="1" applyAlignment="1">
      <alignment vertical="top" wrapText="1"/>
    </xf>
    <xf numFmtId="0" fontId="45" fillId="8" borderId="0" xfId="0" applyFont="1" applyFill="1" applyAlignment="1">
      <alignment wrapText="1"/>
    </xf>
    <xf numFmtId="0" fontId="45" fillId="8" borderId="25" xfId="0" applyFont="1" applyFill="1" applyBorder="1" applyAlignment="1">
      <alignment wrapText="1"/>
    </xf>
    <xf numFmtId="0" fontId="46" fillId="8" borderId="0" xfId="0" applyFont="1" applyFill="1" applyAlignment="1">
      <alignment vertical="center"/>
    </xf>
    <xf numFmtId="0" fontId="29" fillId="8" borderId="25" xfId="0" applyFont="1" applyFill="1" applyBorder="1" applyAlignment="1">
      <alignment wrapText="1"/>
    </xf>
    <xf numFmtId="0" fontId="45" fillId="8" borderId="26" xfId="0" applyFont="1" applyFill="1" applyBorder="1"/>
    <xf numFmtId="0" fontId="45" fillId="8" borderId="22" xfId="0" applyFont="1" applyFill="1" applyBorder="1"/>
    <xf numFmtId="0" fontId="45" fillId="8" borderId="27" xfId="0" applyFont="1" applyFill="1" applyBorder="1"/>
    <xf numFmtId="2" fontId="49" fillId="0" borderId="0" xfId="0" applyNumberFormat="1" applyFont="1"/>
    <xf numFmtId="9" fontId="57" fillId="0" borderId="0" xfId="0" applyNumberFormat="1" applyFont="1" applyAlignment="1">
      <alignment horizontal="center"/>
    </xf>
    <xf numFmtId="0" fontId="57" fillId="0" borderId="0" xfId="0" applyFont="1" applyAlignment="1">
      <alignment horizontal="center"/>
    </xf>
    <xf numFmtId="0" fontId="50" fillId="0" borderId="0" xfId="0" applyFont="1" applyAlignment="1">
      <alignment vertical="center"/>
    </xf>
    <xf numFmtId="9" fontId="50" fillId="0" borderId="0" xfId="0" applyNumberFormat="1" applyFont="1" applyAlignment="1">
      <alignment vertical="center"/>
    </xf>
    <xf numFmtId="0" fontId="6" fillId="0" borderId="0" xfId="0" applyFont="1" applyAlignment="1">
      <alignment horizontal="right"/>
    </xf>
    <xf numFmtId="0" fontId="36" fillId="0" borderId="0" xfId="0" applyFont="1" applyAlignment="1">
      <alignment horizontal="center"/>
    </xf>
    <xf numFmtId="0" fontId="6" fillId="0" borderId="0" xfId="0" applyFont="1" applyAlignment="1">
      <alignment horizontal="left" vertical="center"/>
    </xf>
    <xf numFmtId="9" fontId="28" fillId="0" borderId="0" xfId="0" applyNumberFormat="1" applyFont="1" applyAlignment="1">
      <alignment horizontal="center"/>
    </xf>
    <xf numFmtId="0" fontId="49" fillId="0" borderId="17" xfId="0" applyFont="1" applyBorder="1"/>
    <xf numFmtId="0" fontId="3" fillId="8" borderId="0" xfId="0" applyFont="1" applyFill="1"/>
    <xf numFmtId="0" fontId="6" fillId="8" borderId="0" xfId="0" applyFont="1" applyFill="1"/>
    <xf numFmtId="0" fontId="6" fillId="8" borderId="0" xfId="0" applyFont="1" applyFill="1" applyAlignment="1">
      <alignment horizontal="center"/>
    </xf>
    <xf numFmtId="0" fontId="37" fillId="8" borderId="0" xfId="0" applyFont="1" applyFill="1"/>
    <xf numFmtId="0" fontId="22" fillId="8" borderId="0" xfId="0" applyFont="1" applyFill="1" applyAlignment="1">
      <alignment horizontal="center"/>
    </xf>
    <xf numFmtId="169" fontId="6" fillId="8" borderId="0" xfId="0" applyNumberFormat="1" applyFont="1" applyFill="1" applyAlignment="1">
      <alignment horizontal="center"/>
    </xf>
    <xf numFmtId="0" fontId="7" fillId="8" borderId="0" xfId="0" applyFont="1" applyFill="1"/>
    <xf numFmtId="10" fontId="12" fillId="8" borderId="0" xfId="2" applyNumberFormat="1" applyFont="1" applyFill="1"/>
    <xf numFmtId="10" fontId="6" fillId="8" borderId="0" xfId="2" applyNumberFormat="1" applyFont="1" applyFill="1"/>
    <xf numFmtId="169" fontId="36" fillId="8" borderId="0" xfId="0" applyNumberFormat="1" applyFont="1" applyFill="1" applyAlignment="1">
      <alignment horizontal="center"/>
    </xf>
    <xf numFmtId="169" fontId="6" fillId="8" borderId="0" xfId="0" applyNumberFormat="1" applyFont="1" applyFill="1"/>
    <xf numFmtId="169" fontId="6" fillId="8" borderId="0" xfId="2" applyNumberFormat="1" applyFont="1" applyFill="1"/>
    <xf numFmtId="169" fontId="6" fillId="8" borderId="0" xfId="2" applyNumberFormat="1" applyFont="1" applyFill="1" applyBorder="1"/>
    <xf numFmtId="0" fontId="6" fillId="8" borderId="9" xfId="0" applyFont="1" applyFill="1" applyBorder="1"/>
    <xf numFmtId="169" fontId="6" fillId="8" borderId="9" xfId="0" applyNumberFormat="1" applyFont="1" applyFill="1" applyBorder="1"/>
    <xf numFmtId="169" fontId="4" fillId="8" borderId="0" xfId="0" applyNumberFormat="1" applyFont="1" applyFill="1" applyAlignment="1">
      <alignment horizontal="center" vertical="center"/>
    </xf>
    <xf numFmtId="1" fontId="6" fillId="8" borderId="0" xfId="2" applyNumberFormat="1" applyFont="1" applyFill="1" applyBorder="1"/>
    <xf numFmtId="169" fontId="6" fillId="8" borderId="0" xfId="0" applyNumberFormat="1" applyFont="1" applyFill="1" applyAlignment="1">
      <alignment horizontal="right"/>
    </xf>
    <xf numFmtId="0" fontId="6" fillId="8" borderId="0" xfId="0" applyFont="1" applyFill="1" applyAlignment="1">
      <alignment horizontal="left" indent="1"/>
    </xf>
    <xf numFmtId="6" fontId="6" fillId="8" borderId="0" xfId="0" applyNumberFormat="1" applyFont="1" applyFill="1" applyAlignment="1">
      <alignment horizontal="right"/>
    </xf>
    <xf numFmtId="0" fontId="4" fillId="8" borderId="22" xfId="0" applyFont="1" applyFill="1" applyBorder="1" applyAlignment="1">
      <alignment horizontal="right"/>
    </xf>
    <xf numFmtId="0" fontId="6" fillId="8" borderId="22" xfId="0" applyFont="1" applyFill="1" applyBorder="1"/>
    <xf numFmtId="0" fontId="3" fillId="8" borderId="22" xfId="0" applyFont="1" applyFill="1" applyBorder="1" applyAlignment="1">
      <alignment horizontal="center"/>
    </xf>
    <xf numFmtId="10" fontId="6" fillId="8" borderId="22" xfId="2" applyNumberFormat="1" applyFont="1" applyFill="1" applyBorder="1" applyAlignment="1">
      <alignment horizontal="right"/>
    </xf>
    <xf numFmtId="0" fontId="3" fillId="8" borderId="0" xfId="0" applyFont="1" applyFill="1" applyAlignment="1">
      <alignment horizontal="center"/>
    </xf>
    <xf numFmtId="10" fontId="6" fillId="8" borderId="0" xfId="2" applyNumberFormat="1" applyFont="1" applyFill="1" applyBorder="1" applyAlignment="1">
      <alignment horizontal="right"/>
    </xf>
    <xf numFmtId="175" fontId="3" fillId="8" borderId="0" xfId="0" applyNumberFormat="1" applyFont="1" applyFill="1" applyAlignment="1">
      <alignment horizontal="left"/>
    </xf>
    <xf numFmtId="175" fontId="6" fillId="8" borderId="0" xfId="0" applyNumberFormat="1" applyFont="1" applyFill="1" applyAlignment="1">
      <alignment horizontal="left"/>
    </xf>
    <xf numFmtId="41" fontId="6" fillId="8" borderId="0" xfId="0" applyNumberFormat="1" applyFont="1" applyFill="1" applyAlignment="1">
      <alignment horizontal="right" wrapText="1"/>
    </xf>
    <xf numFmtId="174" fontId="32" fillId="8" borderId="0" xfId="1" applyNumberFormat="1" applyFont="1" applyFill="1" applyBorder="1" applyAlignment="1">
      <alignment horizontal="right"/>
    </xf>
    <xf numFmtId="9" fontId="6" fillId="8" borderId="0" xfId="0" applyNumberFormat="1" applyFont="1" applyFill="1" applyAlignment="1">
      <alignment horizontal="right" wrapText="1"/>
    </xf>
    <xf numFmtId="41" fontId="6" fillId="8" borderId="4" xfId="0" applyNumberFormat="1" applyFont="1" applyFill="1" applyBorder="1" applyAlignment="1">
      <alignment horizontal="right" wrapText="1"/>
    </xf>
    <xf numFmtId="175" fontId="6" fillId="8" borderId="0" xfId="0" applyNumberFormat="1" applyFont="1" applyFill="1" applyAlignment="1">
      <alignment horizontal="left" indent="2"/>
    </xf>
    <xf numFmtId="175" fontId="6" fillId="8" borderId="0" xfId="0" applyNumberFormat="1" applyFont="1" applyFill="1" applyAlignment="1">
      <alignment horizontal="right"/>
    </xf>
    <xf numFmtId="175" fontId="6" fillId="8" borderId="0" xfId="0" applyNumberFormat="1" applyFont="1" applyFill="1" applyAlignment="1">
      <alignment horizontal="left" indent="1"/>
    </xf>
    <xf numFmtId="41" fontId="12" fillId="8" borderId="0" xfId="0" applyNumberFormat="1" applyFont="1" applyFill="1" applyAlignment="1">
      <alignment horizontal="right" wrapText="1"/>
    </xf>
    <xf numFmtId="6" fontId="6" fillId="8" borderId="0" xfId="0" applyNumberFormat="1" applyFont="1" applyFill="1" applyAlignment="1">
      <alignment horizontal="right" wrapText="1"/>
    </xf>
    <xf numFmtId="175" fontId="6" fillId="8" borderId="0" xfId="0" applyNumberFormat="1" applyFont="1" applyFill="1" applyAlignment="1">
      <alignment horizontal="right" wrapText="1"/>
    </xf>
    <xf numFmtId="41" fontId="12" fillId="8" borderId="9" xfId="0" applyNumberFormat="1" applyFont="1" applyFill="1" applyBorder="1" applyAlignment="1">
      <alignment horizontal="right" wrapText="1"/>
    </xf>
    <xf numFmtId="6" fontId="6" fillId="8" borderId="9" xfId="0" applyNumberFormat="1" applyFont="1" applyFill="1" applyBorder="1" applyAlignment="1">
      <alignment horizontal="right" wrapText="1"/>
    </xf>
    <xf numFmtId="0" fontId="0" fillId="8" borderId="0" xfId="0" applyFill="1"/>
    <xf numFmtId="175" fontId="6" fillId="8" borderId="22" xfId="0" applyNumberFormat="1" applyFont="1" applyFill="1" applyBorder="1" applyAlignment="1">
      <alignment horizontal="left" indent="1"/>
    </xf>
    <xf numFmtId="0" fontId="0" fillId="8" borderId="22" xfId="0" applyFill="1" applyBorder="1"/>
    <xf numFmtId="6" fontId="6" fillId="8" borderId="22" xfId="0" applyNumberFormat="1" applyFont="1" applyFill="1" applyBorder="1" applyAlignment="1">
      <alignment horizontal="right" wrapText="1"/>
    </xf>
    <xf numFmtId="169" fontId="58" fillId="8" borderId="0" xfId="0" applyNumberFormat="1" applyFont="1" applyFill="1"/>
    <xf numFmtId="9" fontId="59" fillId="0" borderId="0" xfId="0" applyNumberFormat="1" applyFont="1" applyAlignment="1">
      <alignment horizontal="center"/>
    </xf>
    <xf numFmtId="0" fontId="45" fillId="8" borderId="0" xfId="0" applyFont="1" applyFill="1" applyAlignment="1">
      <alignment vertical="top" wrapText="1"/>
    </xf>
    <xf numFmtId="0" fontId="30" fillId="5" borderId="8" xfId="0" applyFont="1" applyFill="1" applyBorder="1" applyAlignment="1">
      <alignment vertical="center"/>
    </xf>
    <xf numFmtId="0" fontId="30" fillId="5" borderId="0" xfId="0" applyFont="1" applyFill="1" applyAlignment="1">
      <alignment vertical="center"/>
    </xf>
    <xf numFmtId="0" fontId="45" fillId="5" borderId="25" xfId="0" applyFont="1" applyFill="1" applyBorder="1" applyAlignment="1">
      <alignment vertical="center"/>
    </xf>
    <xf numFmtId="0" fontId="45" fillId="8" borderId="0" xfId="0" applyFont="1" applyFill="1" applyAlignment="1">
      <alignment horizontal="left" vertical="center"/>
    </xf>
    <xf numFmtId="0" fontId="45" fillId="8" borderId="0" xfId="0" applyFont="1" applyFill="1" applyAlignment="1">
      <alignment horizontal="left" vertical="center" wrapText="1"/>
    </xf>
    <xf numFmtId="165" fontId="0" fillId="0" borderId="0" xfId="1" applyNumberFormat="1" applyFont="1"/>
    <xf numFmtId="9" fontId="24" fillId="6" borderId="5" xfId="0" applyNumberFormat="1" applyFont="1" applyFill="1" applyBorder="1" applyAlignment="1">
      <alignment horizontal="center"/>
    </xf>
    <xf numFmtId="0" fontId="42" fillId="2" borderId="6" xfId="0" applyFont="1" applyFill="1" applyBorder="1" applyAlignment="1">
      <alignment vertical="center"/>
    </xf>
    <xf numFmtId="169" fontId="24" fillId="0" borderId="6" xfId="1" applyNumberFormat="1" applyFont="1" applyBorder="1" applyAlignment="1">
      <alignment horizontal="center" vertical="center"/>
    </xf>
    <xf numFmtId="2" fontId="6" fillId="0" borderId="0" xfId="0" applyNumberFormat="1" applyFont="1" applyAlignment="1">
      <alignment horizontal="right"/>
    </xf>
    <xf numFmtId="6" fontId="6" fillId="8" borderId="0" xfId="0" applyNumberFormat="1" applyFont="1" applyFill="1" applyAlignment="1">
      <alignment horizontal="right" vertical="center" wrapText="1"/>
    </xf>
    <xf numFmtId="0" fontId="56" fillId="0" borderId="0" xfId="0" applyFont="1" applyAlignment="1">
      <alignment horizontal="center" vertical="center" wrapText="1"/>
    </xf>
    <xf numFmtId="164" fontId="51" fillId="0" borderId="17" xfId="2" applyNumberFormat="1" applyFont="1" applyFill="1" applyBorder="1" applyAlignment="1">
      <alignment horizontal="center"/>
    </xf>
    <xf numFmtId="10" fontId="49" fillId="0" borderId="21" xfId="0" applyNumberFormat="1" applyFont="1" applyBorder="1" applyAlignment="1">
      <alignment horizontal="center"/>
    </xf>
    <xf numFmtId="0" fontId="6" fillId="9" borderId="30" xfId="0" applyFont="1" applyFill="1" applyBorder="1" applyAlignment="1">
      <alignment horizontal="center" vertical="center"/>
    </xf>
    <xf numFmtId="0" fontId="6" fillId="9" borderId="7" xfId="0" applyFont="1" applyFill="1" applyBorder="1" applyAlignment="1">
      <alignment horizontal="center" vertical="center" wrapText="1"/>
    </xf>
    <xf numFmtId="0" fontId="61" fillId="0" borderId="0" xfId="0" applyFont="1" applyAlignment="1">
      <alignment vertical="center"/>
    </xf>
    <xf numFmtId="0" fontId="0" fillId="0" borderId="22" xfId="0" applyBorder="1"/>
    <xf numFmtId="0" fontId="6" fillId="0" borderId="25" xfId="0" applyFont="1" applyBorder="1"/>
    <xf numFmtId="0" fontId="62" fillId="0" borderId="0" xfId="0" applyFont="1" applyAlignment="1">
      <alignment vertical="center"/>
    </xf>
    <xf numFmtId="176" fontId="4" fillId="0" borderId="4" xfId="0" applyNumberFormat="1" applyFont="1" applyBorder="1" applyAlignment="1">
      <alignment horizontal="center"/>
    </xf>
    <xf numFmtId="2" fontId="44" fillId="0" borderId="22" xfId="0" applyNumberFormat="1" applyFont="1" applyBorder="1" applyAlignment="1">
      <alignment horizontal="center"/>
    </xf>
    <xf numFmtId="6" fontId="63" fillId="0" borderId="0" xfId="0" applyNumberFormat="1" applyFont="1"/>
    <xf numFmtId="6" fontId="63" fillId="0" borderId="9" xfId="0" applyNumberFormat="1" applyFont="1" applyBorder="1"/>
    <xf numFmtId="0" fontId="51" fillId="0" borderId="0" xfId="0" applyFont="1"/>
    <xf numFmtId="164" fontId="51" fillId="0" borderId="0" xfId="2" applyNumberFormat="1" applyFont="1" applyFill="1" applyBorder="1" applyAlignment="1">
      <alignment horizontal="center"/>
    </xf>
    <xf numFmtId="0" fontId="51" fillId="0" borderId="9" xfId="0" applyFont="1" applyBorder="1" applyAlignment="1">
      <alignment horizontal="center"/>
    </xf>
    <xf numFmtId="0" fontId="55" fillId="5" borderId="14" xfId="0" applyFont="1" applyFill="1" applyBorder="1" applyAlignment="1">
      <alignment horizontal="center"/>
    </xf>
    <xf numFmtId="0" fontId="6" fillId="0" borderId="0" xfId="0" applyFont="1" applyAlignment="1">
      <alignment wrapText="1"/>
    </xf>
    <xf numFmtId="9" fontId="6" fillId="0" borderId="9" xfId="0" applyNumberFormat="1" applyFont="1" applyBorder="1"/>
    <xf numFmtId="9" fontId="64" fillId="0" borderId="0" xfId="0" applyNumberFormat="1" applyFont="1"/>
    <xf numFmtId="6" fontId="6" fillId="8" borderId="0" xfId="0" applyNumberFormat="1" applyFont="1" applyFill="1"/>
    <xf numFmtId="0" fontId="22" fillId="8" borderId="0" xfId="0" applyFont="1" applyFill="1"/>
    <xf numFmtId="0" fontId="8" fillId="0" borderId="10" xfId="0" applyFont="1" applyBorder="1" applyAlignment="1">
      <alignment horizontal="center"/>
    </xf>
    <xf numFmtId="0" fontId="6" fillId="0" borderId="10" xfId="0" applyFont="1" applyBorder="1"/>
    <xf numFmtId="6" fontId="3" fillId="0" borderId="22" xfId="0" applyNumberFormat="1" applyFont="1" applyBorder="1"/>
    <xf numFmtId="1" fontId="24" fillId="0" borderId="0" xfId="0" applyNumberFormat="1" applyFont="1" applyAlignment="1">
      <alignment horizontal="right"/>
    </xf>
    <xf numFmtId="164" fontId="24" fillId="0" borderId="0" xfId="2" applyNumberFormat="1" applyFont="1" applyFill="1" applyBorder="1" applyAlignment="1">
      <alignment horizontal="right"/>
    </xf>
    <xf numFmtId="3" fontId="6" fillId="0" borderId="0" xfId="0" applyNumberFormat="1" applyFont="1" applyAlignment="1">
      <alignment horizontal="right"/>
    </xf>
    <xf numFmtId="0" fontId="24" fillId="0" borderId="0" xfId="0" applyFont="1" applyAlignment="1">
      <alignment horizontal="right"/>
    </xf>
    <xf numFmtId="171" fontId="24" fillId="0" borderId="0" xfId="1" applyNumberFormat="1" applyFont="1" applyFill="1" applyBorder="1" applyAlignment="1">
      <alignment horizontal="right"/>
    </xf>
    <xf numFmtId="6" fontId="24" fillId="0" borderId="0" xfId="0" applyNumberFormat="1" applyFont="1" applyAlignment="1">
      <alignment horizontal="right"/>
    </xf>
    <xf numFmtId="169" fontId="6" fillId="0" borderId="0" xfId="0" applyNumberFormat="1" applyFont="1" applyAlignment="1">
      <alignment horizontal="right"/>
    </xf>
    <xf numFmtId="169" fontId="6" fillId="0" borderId="0" xfId="1" applyNumberFormat="1" applyFont="1" applyFill="1" applyBorder="1" applyAlignment="1">
      <alignment horizontal="right"/>
    </xf>
    <xf numFmtId="2" fontId="24" fillId="0" borderId="0" xfId="2" applyNumberFormat="1" applyFont="1" applyFill="1" applyBorder="1" applyAlignment="1">
      <alignment horizontal="right"/>
    </xf>
    <xf numFmtId="2" fontId="6" fillId="0" borderId="0" xfId="2" applyNumberFormat="1" applyFont="1" applyFill="1" applyBorder="1" applyAlignment="1">
      <alignment horizontal="right"/>
    </xf>
    <xf numFmtId="2" fontId="24" fillId="0" borderId="0" xfId="0" applyNumberFormat="1" applyFont="1" applyAlignment="1">
      <alignment horizontal="center"/>
    </xf>
    <xf numFmtId="9" fontId="24" fillId="0" borderId="0" xfId="2" applyFont="1" applyFill="1" applyBorder="1" applyAlignment="1">
      <alignment horizontal="center"/>
    </xf>
    <xf numFmtId="164" fontId="5" fillId="0" borderId="0" xfId="2" applyNumberFormat="1" applyFont="1" applyFill="1" applyBorder="1" applyAlignment="1">
      <alignment horizontal="center"/>
    </xf>
    <xf numFmtId="171" fontId="6" fillId="0" borderId="0" xfId="1" applyNumberFormat="1" applyFont="1" applyFill="1" applyBorder="1" applyAlignment="1">
      <alignment horizontal="right"/>
    </xf>
    <xf numFmtId="170" fontId="4" fillId="0" borderId="0" xfId="0" applyNumberFormat="1" applyFont="1" applyAlignment="1">
      <alignment horizontal="center"/>
    </xf>
    <xf numFmtId="171" fontId="24" fillId="0" borderId="0" xfId="0" applyNumberFormat="1" applyFont="1" applyAlignment="1">
      <alignment horizontal="right"/>
    </xf>
    <xf numFmtId="2" fontId="24" fillId="0" borderId="0" xfId="0" applyNumberFormat="1" applyFont="1" applyAlignment="1">
      <alignment horizontal="right"/>
    </xf>
    <xf numFmtId="169" fontId="24" fillId="0" borderId="0" xfId="0" applyNumberFormat="1" applyFont="1" applyAlignment="1">
      <alignment horizontal="right"/>
    </xf>
    <xf numFmtId="9" fontId="12" fillId="0" borderId="0" xfId="2" applyFont="1" applyFill="1" applyBorder="1" applyAlignment="1">
      <alignment horizontal="right"/>
    </xf>
    <xf numFmtId="9" fontId="24" fillId="0" borderId="0" xfId="2" applyFont="1" applyFill="1" applyBorder="1" applyAlignment="1">
      <alignment horizontal="right"/>
    </xf>
    <xf numFmtId="10" fontId="24" fillId="0" borderId="0" xfId="2" applyNumberFormat="1" applyFont="1" applyFill="1" applyBorder="1" applyAlignment="1">
      <alignment horizontal="right"/>
    </xf>
    <xf numFmtId="9" fontId="6" fillId="0" borderId="0" xfId="2" applyFont="1" applyFill="1" applyBorder="1" applyAlignment="1">
      <alignment horizontal="right"/>
    </xf>
    <xf numFmtId="9" fontId="5" fillId="0" borderId="0" xfId="2" applyFont="1" applyFill="1" applyBorder="1" applyAlignment="1">
      <alignment horizontal="right"/>
    </xf>
    <xf numFmtId="0" fontId="15" fillId="0" borderId="32" xfId="0" applyFont="1" applyBorder="1" applyAlignment="1">
      <alignment horizontal="center"/>
    </xf>
    <xf numFmtId="10" fontId="4" fillId="0" borderId="0" xfId="2" applyNumberFormat="1" applyFont="1" applyFill="1" applyBorder="1" applyAlignment="1">
      <alignment horizontal="right"/>
    </xf>
    <xf numFmtId="0" fontId="6" fillId="0" borderId="26" xfId="0" applyFont="1" applyBorder="1"/>
    <xf numFmtId="0" fontId="6" fillId="0" borderId="24" xfId="0" applyFont="1" applyBorder="1"/>
    <xf numFmtId="0" fontId="3" fillId="0" borderId="8" xfId="0" applyFont="1" applyBorder="1" applyAlignment="1">
      <alignment horizontal="center"/>
    </xf>
    <xf numFmtId="164" fontId="4" fillId="0" borderId="0" xfId="2" applyNumberFormat="1" applyFont="1" applyAlignment="1">
      <alignment horizontal="center"/>
    </xf>
    <xf numFmtId="174" fontId="3" fillId="0" borderId="0" xfId="5" applyNumberFormat="1" applyFont="1" applyFill="1" applyBorder="1" applyAlignment="1">
      <alignment horizontal="center"/>
    </xf>
    <xf numFmtId="2" fontId="0" fillId="0" borderId="0" xfId="0" applyNumberFormat="1"/>
    <xf numFmtId="9" fontId="4" fillId="0" borderId="0" xfId="2" applyFont="1" applyAlignment="1">
      <alignment horizontal="center"/>
    </xf>
    <xf numFmtId="9" fontId="4" fillId="0" borderId="0" xfId="0" applyNumberFormat="1" applyFont="1" applyAlignment="1">
      <alignment horizontal="center"/>
    </xf>
    <xf numFmtId="0" fontId="22" fillId="0" borderId="0" xfId="0" applyFont="1"/>
    <xf numFmtId="2" fontId="36" fillId="0" borderId="0" xfId="0" applyNumberFormat="1" applyFont="1"/>
    <xf numFmtId="0" fontId="6" fillId="0" borderId="27" xfId="0" applyFont="1" applyBorder="1"/>
    <xf numFmtId="0" fontId="3" fillId="0" borderId="22" xfId="0" applyFont="1" applyBorder="1" applyAlignment="1">
      <alignment horizontal="center"/>
    </xf>
    <xf numFmtId="0" fontId="6" fillId="0" borderId="9" xfId="0" applyFont="1" applyBorder="1" applyAlignment="1">
      <alignment wrapText="1"/>
    </xf>
    <xf numFmtId="0" fontId="66" fillId="0" borderId="19" xfId="0" applyFont="1" applyBorder="1"/>
    <xf numFmtId="0" fontId="66" fillId="0" borderId="20" xfId="0" applyFont="1" applyBorder="1"/>
    <xf numFmtId="6" fontId="66" fillId="0" borderId="17" xfId="0" applyNumberFormat="1" applyFont="1" applyBorder="1" applyAlignment="1">
      <alignment horizontal="center" wrapText="1"/>
    </xf>
    <xf numFmtId="6" fontId="66" fillId="0" borderId="18" xfId="0" applyNumberFormat="1" applyFont="1" applyBorder="1" applyAlignment="1">
      <alignment horizontal="center" wrapText="1"/>
    </xf>
    <xf numFmtId="0" fontId="66" fillId="0" borderId="15" xfId="0" applyFont="1" applyBorder="1"/>
    <xf numFmtId="0" fontId="66" fillId="0" borderId="16" xfId="0" applyFont="1" applyBorder="1"/>
    <xf numFmtId="6" fontId="67" fillId="0" borderId="0" xfId="0" applyNumberFormat="1" applyFont="1"/>
    <xf numFmtId="6" fontId="15" fillId="0" borderId="0" xfId="0" applyNumberFormat="1" applyFont="1"/>
    <xf numFmtId="0" fontId="60" fillId="5" borderId="1" xfId="0" applyFont="1" applyFill="1" applyBorder="1"/>
    <xf numFmtId="0" fontId="6" fillId="5" borderId="3" xfId="0" applyFont="1" applyFill="1" applyBorder="1"/>
    <xf numFmtId="170" fontId="4" fillId="3" borderId="0" xfId="0" applyNumberFormat="1" applyFont="1" applyFill="1" applyAlignment="1">
      <alignment horizontal="center"/>
    </xf>
    <xf numFmtId="0" fontId="6" fillId="3" borderId="0" xfId="0" applyFont="1" applyFill="1"/>
    <xf numFmtId="14" fontId="6" fillId="3" borderId="0" xfId="0" applyNumberFormat="1" applyFont="1" applyFill="1" applyAlignment="1">
      <alignment horizontal="center"/>
    </xf>
    <xf numFmtId="168" fontId="5" fillId="0" borderId="0" xfId="0" applyNumberFormat="1" applyFont="1" applyAlignment="1">
      <alignment horizontal="center"/>
    </xf>
    <xf numFmtId="167" fontId="5" fillId="0" borderId="0" xfId="0" applyNumberFormat="1" applyFont="1" applyAlignment="1">
      <alignment horizontal="center"/>
    </xf>
    <xf numFmtId="169" fontId="5" fillId="0" borderId="0" xfId="1" applyNumberFormat="1" applyFont="1" applyFill="1" applyBorder="1" applyAlignment="1">
      <alignment horizontal="center"/>
    </xf>
    <xf numFmtId="169" fontId="6" fillId="0" borderId="0" xfId="1" applyNumberFormat="1" applyFont="1" applyFill="1" applyBorder="1" applyAlignment="1">
      <alignment horizontal="center"/>
    </xf>
    <xf numFmtId="171" fontId="5" fillId="0" borderId="0" xfId="1" applyNumberFormat="1" applyFont="1" applyFill="1" applyBorder="1" applyAlignment="1">
      <alignment horizontal="center"/>
    </xf>
    <xf numFmtId="164" fontId="5" fillId="3" borderId="0" xfId="2" applyNumberFormat="1" applyFont="1" applyFill="1" applyBorder="1" applyAlignment="1">
      <alignment horizontal="center"/>
    </xf>
    <xf numFmtId="0" fontId="3" fillId="3" borderId="0" xfId="0" applyFont="1" applyFill="1" applyAlignment="1">
      <alignment horizontal="center"/>
    </xf>
    <xf numFmtId="9" fontId="5" fillId="0" borderId="0" xfId="2" applyFont="1" applyFill="1" applyBorder="1" applyAlignment="1">
      <alignment horizontal="center"/>
    </xf>
    <xf numFmtId="0" fontId="8" fillId="5" borderId="10" xfId="0" applyFont="1" applyFill="1" applyBorder="1" applyAlignment="1">
      <alignment vertical="center"/>
    </xf>
    <xf numFmtId="0" fontId="62" fillId="5" borderId="10" xfId="0" applyFont="1" applyFill="1" applyBorder="1" applyAlignment="1">
      <alignment vertical="center"/>
    </xf>
    <xf numFmtId="0" fontId="62" fillId="5" borderId="24" xfId="0" applyFont="1" applyFill="1" applyBorder="1" applyAlignment="1">
      <alignment vertical="center"/>
    </xf>
    <xf numFmtId="0" fontId="49" fillId="0" borderId="6" xfId="0" applyFont="1" applyBorder="1" applyAlignment="1">
      <alignment horizontal="center"/>
    </xf>
    <xf numFmtId="1" fontId="0" fillId="0" borderId="0" xfId="0" applyNumberFormat="1"/>
    <xf numFmtId="10" fontId="6" fillId="8" borderId="0" xfId="2" applyNumberFormat="1" applyFont="1" applyFill="1" applyAlignment="1">
      <alignment horizontal="right" wrapText="1"/>
    </xf>
    <xf numFmtId="6" fontId="22" fillId="8" borderId="0" xfId="0" applyNumberFormat="1" applyFont="1" applyFill="1" applyAlignment="1">
      <alignment horizontal="center" wrapText="1"/>
    </xf>
    <xf numFmtId="178" fontId="6" fillId="8" borderId="0" xfId="0" applyNumberFormat="1" applyFont="1" applyFill="1" applyAlignment="1">
      <alignment horizontal="center" wrapText="1"/>
    </xf>
    <xf numFmtId="1" fontId="24" fillId="8" borderId="0" xfId="0" applyNumberFormat="1" applyFont="1" applyFill="1" applyAlignment="1">
      <alignment horizontal="right" wrapText="1"/>
    </xf>
    <xf numFmtId="178" fontId="6" fillId="8" borderId="0" xfId="0" applyNumberFormat="1" applyFont="1" applyFill="1" applyAlignment="1">
      <alignment horizontal="right" wrapText="1"/>
    </xf>
    <xf numFmtId="1" fontId="0" fillId="8" borderId="22" xfId="0" applyNumberFormat="1" applyFill="1" applyBorder="1"/>
    <xf numFmtId="175" fontId="3" fillId="8" borderId="0" xfId="0" applyNumberFormat="1" applyFont="1" applyFill="1" applyAlignment="1">
      <alignment horizontal="left" indent="1"/>
    </xf>
    <xf numFmtId="176" fontId="4" fillId="0" borderId="0" xfId="0" applyNumberFormat="1" applyFont="1" applyAlignment="1">
      <alignment horizontal="center"/>
    </xf>
    <xf numFmtId="1" fontId="43" fillId="0" borderId="0" xfId="0" applyNumberFormat="1" applyFont="1" applyAlignment="1">
      <alignment horizontal="center"/>
    </xf>
    <xf numFmtId="0" fontId="69" fillId="5" borderId="4" xfId="0" applyFont="1" applyFill="1" applyBorder="1" applyAlignment="1">
      <alignment horizontal="center"/>
    </xf>
    <xf numFmtId="0" fontId="69" fillId="5" borderId="6" xfId="0" applyFont="1" applyFill="1" applyBorder="1" applyAlignment="1">
      <alignment horizontal="center"/>
    </xf>
    <xf numFmtId="2" fontId="16" fillId="5" borderId="5" xfId="0" applyNumberFormat="1" applyFont="1" applyFill="1" applyBorder="1" applyAlignment="1">
      <alignment horizontal="center"/>
    </xf>
    <xf numFmtId="0" fontId="70" fillId="0" borderId="0" xfId="0" applyFont="1"/>
    <xf numFmtId="0" fontId="21" fillId="5" borderId="2" xfId="0" applyFont="1" applyFill="1" applyBorder="1" applyAlignment="1">
      <alignment horizontal="center"/>
    </xf>
    <xf numFmtId="0" fontId="22" fillId="0" borderId="0" xfId="0" applyFont="1" applyAlignment="1">
      <alignment horizontal="center"/>
    </xf>
    <xf numFmtId="0" fontId="6" fillId="4" borderId="0" xfId="0" applyFont="1" applyFill="1"/>
    <xf numFmtId="0" fontId="3" fillId="4" borderId="0" xfId="0" applyFont="1" applyFill="1" applyAlignment="1">
      <alignment horizontal="center"/>
    </xf>
    <xf numFmtId="0" fontId="6" fillId="4" borderId="23" xfId="0" applyFont="1" applyFill="1" applyBorder="1"/>
    <xf numFmtId="0" fontId="6" fillId="4" borderId="10" xfId="0" applyFont="1" applyFill="1" applyBorder="1"/>
    <xf numFmtId="0" fontId="3" fillId="4" borderId="10" xfId="0" applyFont="1" applyFill="1" applyBorder="1" applyAlignment="1">
      <alignment horizontal="center"/>
    </xf>
    <xf numFmtId="0" fontId="6" fillId="4" borderId="24" xfId="0" applyFont="1" applyFill="1" applyBorder="1"/>
    <xf numFmtId="0" fontId="6" fillId="4" borderId="8" xfId="0" applyFont="1" applyFill="1" applyBorder="1"/>
    <xf numFmtId="0" fontId="71" fillId="4" borderId="0" xfId="0" applyFont="1" applyFill="1"/>
    <xf numFmtId="0" fontId="6" fillId="4" borderId="25" xfId="0" applyFont="1" applyFill="1" applyBorder="1"/>
    <xf numFmtId="0" fontId="6" fillId="4" borderId="26" xfId="0" applyFont="1" applyFill="1" applyBorder="1"/>
    <xf numFmtId="0" fontId="6" fillId="4" borderId="22" xfId="0" applyFont="1" applyFill="1" applyBorder="1"/>
    <xf numFmtId="0" fontId="71" fillId="4" borderId="22" xfId="0" applyFont="1" applyFill="1" applyBorder="1"/>
    <xf numFmtId="0" fontId="3" fillId="4" borderId="22" xfId="0" applyFont="1" applyFill="1" applyBorder="1" applyAlignment="1">
      <alignment horizontal="center"/>
    </xf>
    <xf numFmtId="0" fontId="6" fillId="4" borderId="27" xfId="0" applyFont="1" applyFill="1" applyBorder="1"/>
    <xf numFmtId="0" fontId="60" fillId="4" borderId="10" xfId="0" applyFont="1" applyFill="1" applyBorder="1"/>
    <xf numFmtId="9" fontId="9" fillId="0" borderId="0" xfId="0" applyNumberFormat="1" applyFont="1" applyAlignment="1">
      <alignment horizontal="left"/>
    </xf>
    <xf numFmtId="0" fontId="16" fillId="5" borderId="4" xfId="0" applyFont="1" applyFill="1" applyBorder="1" applyAlignment="1">
      <alignment horizontal="center"/>
    </xf>
    <xf numFmtId="164" fontId="24" fillId="0" borderId="4" xfId="2" applyNumberFormat="1" applyFont="1" applyFill="1" applyBorder="1" applyAlignment="1">
      <alignment horizontal="center"/>
    </xf>
    <xf numFmtId="164" fontId="16" fillId="5" borderId="6" xfId="2" applyNumberFormat="1" applyFont="1" applyFill="1" applyBorder="1" applyAlignment="1">
      <alignment horizontal="center"/>
    </xf>
    <xf numFmtId="0" fontId="6" fillId="12" borderId="0" xfId="0" applyFont="1" applyFill="1"/>
    <xf numFmtId="169" fontId="6" fillId="12" borderId="0" xfId="0" applyNumberFormat="1" applyFont="1" applyFill="1" applyAlignment="1">
      <alignment horizontal="center"/>
    </xf>
    <xf numFmtId="170" fontId="4" fillId="12" borderId="0" xfId="0" applyNumberFormat="1" applyFont="1" applyFill="1" applyAlignment="1">
      <alignment horizontal="center"/>
    </xf>
    <xf numFmtId="9" fontId="5" fillId="12" borderId="0" xfId="2" applyFont="1" applyFill="1" applyBorder="1" applyAlignment="1">
      <alignment horizontal="center"/>
    </xf>
    <xf numFmtId="169" fontId="5" fillId="12" borderId="0" xfId="2" applyNumberFormat="1" applyFont="1" applyFill="1" applyBorder="1" applyAlignment="1">
      <alignment horizontal="center"/>
    </xf>
    <xf numFmtId="0" fontId="15" fillId="12" borderId="0" xfId="0" applyFont="1" applyFill="1" applyAlignment="1">
      <alignment horizontal="center"/>
    </xf>
    <xf numFmtId="0" fontId="3" fillId="12" borderId="0" xfId="0" applyFont="1" applyFill="1" applyAlignment="1">
      <alignment horizontal="center"/>
    </xf>
    <xf numFmtId="0" fontId="5" fillId="12" borderId="0" xfId="0" applyFont="1" applyFill="1" applyAlignment="1">
      <alignment horizontal="center"/>
    </xf>
    <xf numFmtId="2" fontId="0" fillId="8" borderId="0" xfId="0" applyNumberFormat="1" applyFill="1"/>
    <xf numFmtId="6" fontId="3" fillId="0" borderId="0" xfId="0" applyNumberFormat="1" applyFont="1" applyAlignment="1">
      <alignment horizontal="center"/>
    </xf>
    <xf numFmtId="0" fontId="3" fillId="0" borderId="33" xfId="0" applyFont="1" applyBorder="1" applyAlignment="1">
      <alignment horizontal="center"/>
    </xf>
    <xf numFmtId="2" fontId="44" fillId="10" borderId="35" xfId="0" applyNumberFormat="1" applyFont="1" applyFill="1" applyBorder="1" applyAlignment="1">
      <alignment horizontal="center"/>
    </xf>
    <xf numFmtId="0" fontId="21" fillId="0" borderId="35" xfId="0" applyFont="1" applyBorder="1" applyAlignment="1">
      <alignment horizontal="center"/>
    </xf>
    <xf numFmtId="0" fontId="55" fillId="0" borderId="13" xfId="0" applyFont="1" applyBorder="1" applyAlignment="1">
      <alignment horizontal="center"/>
    </xf>
    <xf numFmtId="164" fontId="72" fillId="0" borderId="14" xfId="2" applyNumberFormat="1" applyFont="1" applyFill="1" applyBorder="1" applyAlignment="1">
      <alignment horizontal="center"/>
    </xf>
    <xf numFmtId="0" fontId="77" fillId="0" borderId="12" xfId="0" applyFont="1" applyBorder="1"/>
    <xf numFmtId="2" fontId="3" fillId="0" borderId="0" xfId="0" applyNumberFormat="1" applyFont="1" applyAlignment="1">
      <alignment horizontal="center"/>
    </xf>
    <xf numFmtId="1" fontId="81" fillId="0" borderId="0" xfId="0" applyNumberFormat="1" applyFont="1" applyAlignment="1">
      <alignment horizontal="center"/>
    </xf>
    <xf numFmtId="6" fontId="27" fillId="0" borderId="0" xfId="0" applyNumberFormat="1" applyFont="1" applyAlignment="1">
      <alignment horizontal="center"/>
    </xf>
    <xf numFmtId="6" fontId="80" fillId="0" borderId="0" xfId="0" applyNumberFormat="1" applyFont="1"/>
    <xf numFmtId="6" fontId="80" fillId="0" borderId="0" xfId="0" applyNumberFormat="1" applyFont="1" applyAlignment="1">
      <alignment horizontal="center"/>
    </xf>
    <xf numFmtId="1" fontId="80" fillId="0" borderId="0" xfId="0" applyNumberFormat="1" applyFont="1" applyAlignment="1">
      <alignment horizontal="center"/>
    </xf>
    <xf numFmtId="0" fontId="81" fillId="0" borderId="0" xfId="0" applyFont="1"/>
    <xf numFmtId="0" fontId="6" fillId="0" borderId="18" xfId="0" applyFont="1" applyBorder="1"/>
    <xf numFmtId="0" fontId="8" fillId="0" borderId="17" xfId="0" applyFont="1" applyBorder="1" applyAlignment="1">
      <alignment horizontal="center"/>
    </xf>
    <xf numFmtId="0" fontId="6" fillId="0" borderId="34" xfId="0" applyFont="1" applyBorder="1"/>
    <xf numFmtId="0" fontId="4" fillId="0" borderId="34" xfId="0" applyFont="1" applyBorder="1" applyAlignment="1">
      <alignment horizontal="center"/>
    </xf>
    <xf numFmtId="0" fontId="4" fillId="0" borderId="22" xfId="0" applyFont="1" applyBorder="1" applyAlignment="1">
      <alignment horizontal="center"/>
    </xf>
    <xf numFmtId="0" fontId="15" fillId="0" borderId="34" xfId="0" applyFont="1" applyBorder="1" applyAlignment="1">
      <alignment horizontal="center"/>
    </xf>
    <xf numFmtId="0" fontId="51" fillId="5" borderId="1" xfId="0" applyFont="1" applyFill="1" applyBorder="1"/>
    <xf numFmtId="0" fontId="55" fillId="5" borderId="2" xfId="0" applyFont="1" applyFill="1" applyBorder="1" applyAlignment="1">
      <alignment horizontal="center"/>
    </xf>
    <xf numFmtId="0" fontId="72" fillId="7" borderId="7" xfId="0" applyFont="1" applyFill="1" applyBorder="1" applyAlignment="1">
      <alignment horizontal="center"/>
    </xf>
    <xf numFmtId="1" fontId="28" fillId="0" borderId="5" xfId="0" applyNumberFormat="1" applyFont="1" applyBorder="1" applyAlignment="1">
      <alignment horizontal="center"/>
    </xf>
    <xf numFmtId="2" fontId="24" fillId="0" borderId="5" xfId="0" applyNumberFormat="1" applyFont="1" applyBorder="1" applyAlignment="1">
      <alignment horizontal="center"/>
    </xf>
    <xf numFmtId="1" fontId="28" fillId="0" borderId="4" xfId="0" applyNumberFormat="1" applyFont="1" applyBorder="1" applyAlignment="1">
      <alignment horizontal="center"/>
    </xf>
    <xf numFmtId="2" fontId="24" fillId="0" borderId="4" xfId="0" applyNumberFormat="1" applyFont="1" applyBorder="1" applyAlignment="1">
      <alignment horizontal="center"/>
    </xf>
    <xf numFmtId="164" fontId="82" fillId="3" borderId="6" xfId="2" applyNumberFormat="1" applyFont="1" applyFill="1" applyBorder="1" applyAlignment="1">
      <alignment horizontal="center" vertical="center" wrapText="1"/>
    </xf>
    <xf numFmtId="3" fontId="3" fillId="5" borderId="6" xfId="0" applyNumberFormat="1" applyFont="1" applyFill="1" applyBorder="1" applyAlignment="1">
      <alignment horizontal="left"/>
    </xf>
    <xf numFmtId="0" fontId="6" fillId="0" borderId="23" xfId="0" applyFont="1" applyBorder="1"/>
    <xf numFmtId="0" fontId="59" fillId="0" borderId="10" xfId="0" applyFont="1" applyBorder="1" applyAlignment="1">
      <alignment horizontal="center" vertical="center" wrapText="1"/>
    </xf>
    <xf numFmtId="0" fontId="3" fillId="0" borderId="10" xfId="0" applyFont="1" applyBorder="1" applyAlignment="1">
      <alignment horizontal="center"/>
    </xf>
    <xf numFmtId="0" fontId="6" fillId="12" borderId="10" xfId="0" applyFont="1" applyFill="1" applyBorder="1"/>
    <xf numFmtId="0" fontId="24" fillId="0" borderId="10"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25" xfId="0" applyFont="1" applyBorder="1" applyAlignment="1">
      <alignment horizontal="center" vertical="center"/>
    </xf>
    <xf numFmtId="166" fontId="11" fillId="0" borderId="25" xfId="0" applyNumberFormat="1" applyFont="1" applyBorder="1" applyAlignment="1">
      <alignment horizontal="center"/>
    </xf>
    <xf numFmtId="1" fontId="43" fillId="0" borderId="25" xfId="0" applyNumberFormat="1" applyFont="1" applyBorder="1" applyAlignment="1">
      <alignment horizontal="center"/>
    </xf>
    <xf numFmtId="1" fontId="43" fillId="0" borderId="25" xfId="0" applyNumberFormat="1" applyFont="1" applyBorder="1" applyAlignment="1">
      <alignment horizontal="left"/>
    </xf>
    <xf numFmtId="0" fontId="27" fillId="0" borderId="22" xfId="0" applyFont="1" applyBorder="1"/>
    <xf numFmtId="3" fontId="3" fillId="5" borderId="34" xfId="0" applyNumberFormat="1" applyFont="1" applyFill="1" applyBorder="1" applyAlignment="1">
      <alignment horizontal="left"/>
    </xf>
    <xf numFmtId="2" fontId="6" fillId="0" borderId="0" xfId="0" applyNumberFormat="1" applyFont="1" applyAlignment="1">
      <alignment horizontal="center"/>
    </xf>
    <xf numFmtId="2" fontId="70" fillId="0" borderId="0" xfId="2" applyNumberFormat="1" applyFont="1" applyFill="1" applyBorder="1" applyAlignment="1">
      <alignment horizontal="right"/>
    </xf>
    <xf numFmtId="0" fontId="51" fillId="13" borderId="12" xfId="0" applyFont="1" applyFill="1" applyBorder="1" applyAlignment="1">
      <alignment wrapText="1"/>
    </xf>
    <xf numFmtId="0" fontId="55" fillId="13" borderId="14" xfId="0" applyFont="1" applyFill="1" applyBorder="1" applyAlignment="1">
      <alignment horizontal="center"/>
    </xf>
    <xf numFmtId="0" fontId="51" fillId="13" borderId="17" xfId="0" applyFont="1" applyFill="1" applyBorder="1" applyAlignment="1">
      <alignment wrapText="1"/>
    </xf>
    <xf numFmtId="0" fontId="55" fillId="13" borderId="0" xfId="0" applyFont="1" applyFill="1" applyAlignment="1">
      <alignment horizontal="center"/>
    </xf>
    <xf numFmtId="166" fontId="21" fillId="5" borderId="3" xfId="0" applyNumberFormat="1" applyFont="1" applyFill="1" applyBorder="1" applyAlignment="1">
      <alignment horizontal="center"/>
    </xf>
    <xf numFmtId="0" fontId="3" fillId="0" borderId="14" xfId="0" applyFont="1" applyBorder="1" applyAlignment="1">
      <alignment horizontal="center"/>
    </xf>
    <xf numFmtId="169" fontId="4" fillId="8" borderId="0" xfId="0" applyNumberFormat="1" applyFont="1" applyFill="1" applyAlignment="1">
      <alignment horizontal="center"/>
    </xf>
    <xf numFmtId="9" fontId="6" fillId="8" borderId="0" xfId="2" applyFont="1" applyFill="1" applyAlignment="1">
      <alignment horizontal="center"/>
    </xf>
    <xf numFmtId="169" fontId="3" fillId="8" borderId="0" xfId="0" applyNumberFormat="1" applyFont="1" applyFill="1" applyAlignment="1">
      <alignment horizontal="center"/>
    </xf>
    <xf numFmtId="0" fontId="15" fillId="0" borderId="5" xfId="0" applyFont="1" applyBorder="1" applyAlignment="1">
      <alignment horizontal="center"/>
    </xf>
    <xf numFmtId="0" fontId="21" fillId="5" borderId="1" xfId="0" applyFont="1" applyFill="1" applyBorder="1"/>
    <xf numFmtId="0" fontId="15" fillId="0" borderId="39" xfId="0" applyFont="1" applyBorder="1" applyAlignment="1">
      <alignment horizontal="center"/>
    </xf>
    <xf numFmtId="3" fontId="3" fillId="5" borderId="6" xfId="0" applyNumberFormat="1" applyFont="1" applyFill="1" applyBorder="1" applyAlignment="1">
      <alignment horizontal="center"/>
    </xf>
    <xf numFmtId="0" fontId="15" fillId="0" borderId="40" xfId="0" applyFont="1" applyBorder="1" applyAlignment="1">
      <alignment horizontal="center" vertical="center"/>
    </xf>
    <xf numFmtId="10" fontId="3" fillId="11" borderId="3" xfId="2" applyNumberFormat="1" applyFont="1" applyFill="1" applyBorder="1" applyAlignment="1">
      <alignment horizontal="center" vertical="center"/>
    </xf>
    <xf numFmtId="0" fontId="3" fillId="11" borderId="23" xfId="0" applyFont="1" applyFill="1" applyBorder="1" applyAlignment="1">
      <alignment horizontal="left" vertical="center" wrapText="1"/>
    </xf>
    <xf numFmtId="0" fontId="3" fillId="11" borderId="24" xfId="0" applyFont="1" applyFill="1" applyBorder="1" applyAlignment="1">
      <alignment horizontal="left" vertical="center" wrapText="1"/>
    </xf>
    <xf numFmtId="6" fontId="3" fillId="11" borderId="3" xfId="0" applyNumberFormat="1" applyFont="1" applyFill="1" applyBorder="1" applyAlignment="1">
      <alignment horizontal="center"/>
    </xf>
    <xf numFmtId="169" fontId="6" fillId="8" borderId="9" xfId="0" applyNumberFormat="1" applyFont="1" applyFill="1" applyBorder="1" applyAlignment="1">
      <alignment horizontal="center"/>
    </xf>
    <xf numFmtId="9" fontId="6" fillId="8" borderId="9" xfId="2" applyFont="1" applyFill="1" applyBorder="1" applyAlignment="1">
      <alignment horizontal="center"/>
    </xf>
    <xf numFmtId="0" fontId="86" fillId="8" borderId="25" xfId="0" applyFont="1" applyFill="1" applyBorder="1" applyAlignment="1">
      <alignment horizontal="center" wrapText="1"/>
    </xf>
    <xf numFmtId="0" fontId="84" fillId="8" borderId="25" xfId="0" applyFont="1" applyFill="1" applyBorder="1" applyAlignment="1">
      <alignment horizontal="center"/>
    </xf>
    <xf numFmtId="0" fontId="45" fillId="8" borderId="25" xfId="0" applyFont="1" applyFill="1" applyBorder="1" applyAlignment="1">
      <alignment horizontal="center" wrapText="1"/>
    </xf>
    <xf numFmtId="0" fontId="45" fillId="12" borderId="25" xfId="0" applyFont="1" applyFill="1" applyBorder="1"/>
    <xf numFmtId="0" fontId="45" fillId="3" borderId="25" xfId="0" applyFont="1" applyFill="1" applyBorder="1"/>
    <xf numFmtId="0" fontId="84" fillId="6" borderId="25" xfId="0" applyFont="1" applyFill="1" applyBorder="1" applyAlignment="1">
      <alignment horizontal="center" wrapText="1"/>
    </xf>
    <xf numFmtId="0" fontId="87" fillId="0" borderId="25" xfId="0" applyFont="1" applyBorder="1" applyAlignment="1">
      <alignment horizontal="center" vertical="center" wrapText="1"/>
    </xf>
    <xf numFmtId="3" fontId="55" fillId="0" borderId="21" xfId="0" applyNumberFormat="1" applyFont="1" applyBorder="1" applyAlignment="1">
      <alignment horizontal="center"/>
    </xf>
    <xf numFmtId="0" fontId="6" fillId="2" borderId="41" xfId="0" applyFont="1" applyFill="1" applyBorder="1"/>
    <xf numFmtId="0" fontId="4" fillId="2" borderId="40" xfId="0" applyFont="1" applyFill="1" applyBorder="1" applyAlignment="1">
      <alignment horizontal="center"/>
    </xf>
    <xf numFmtId="174" fontId="24" fillId="0" borderId="42" xfId="5" applyNumberFormat="1" applyFont="1" applyFill="1" applyBorder="1" applyAlignment="1">
      <alignment horizontal="right"/>
    </xf>
    <xf numFmtId="0" fontId="6" fillId="0" borderId="43" xfId="0" applyFont="1" applyBorder="1"/>
    <xf numFmtId="164" fontId="24" fillId="0" borderId="32" xfId="2" applyNumberFormat="1" applyFont="1" applyFill="1" applyBorder="1" applyAlignment="1">
      <alignment horizontal="right"/>
    </xf>
    <xf numFmtId="0" fontId="6" fillId="2" borderId="44" xfId="0" applyFont="1" applyFill="1" applyBorder="1"/>
    <xf numFmtId="1" fontId="24" fillId="0" borderId="45" xfId="0" applyNumberFormat="1" applyFont="1" applyBorder="1" applyAlignment="1">
      <alignment horizontal="right"/>
    </xf>
    <xf numFmtId="3" fontId="6" fillId="0" borderId="32" xfId="0" applyNumberFormat="1" applyFont="1" applyBorder="1" applyAlignment="1">
      <alignment horizontal="right"/>
    </xf>
    <xf numFmtId="0" fontId="6" fillId="2" borderId="43" xfId="0" applyFont="1" applyFill="1" applyBorder="1"/>
    <xf numFmtId="0" fontId="6" fillId="0" borderId="46" xfId="0" applyFont="1" applyBorder="1"/>
    <xf numFmtId="0" fontId="4" fillId="2" borderId="34" xfId="0" applyFont="1" applyFill="1" applyBorder="1" applyAlignment="1">
      <alignment horizontal="center"/>
    </xf>
    <xf numFmtId="0" fontId="24" fillId="0" borderId="39" xfId="0" applyFont="1" applyBorder="1" applyAlignment="1">
      <alignment horizontal="right"/>
    </xf>
    <xf numFmtId="0" fontId="6" fillId="0" borderId="30" xfId="0" applyFont="1" applyBorder="1"/>
    <xf numFmtId="0" fontId="4" fillId="2" borderId="29" xfId="0" applyFont="1" applyFill="1" applyBorder="1" applyAlignment="1">
      <alignment horizontal="center"/>
    </xf>
    <xf numFmtId="2" fontId="24" fillId="6" borderId="31" xfId="0" applyNumberFormat="1" applyFont="1" applyFill="1" applyBorder="1" applyAlignment="1">
      <alignment horizontal="center"/>
    </xf>
    <xf numFmtId="0" fontId="68" fillId="5" borderId="43" xfId="0" applyFont="1" applyFill="1" applyBorder="1" applyAlignment="1">
      <alignment horizontal="left" indent="1"/>
    </xf>
    <xf numFmtId="6" fontId="16" fillId="5" borderId="32" xfId="0" applyNumberFormat="1" applyFont="1" applyFill="1" applyBorder="1" applyAlignment="1">
      <alignment horizontal="right"/>
    </xf>
    <xf numFmtId="169" fontId="68" fillId="5" borderId="45" xfId="0" applyNumberFormat="1" applyFont="1" applyFill="1" applyBorder="1" applyAlignment="1">
      <alignment horizontal="right"/>
    </xf>
    <xf numFmtId="0" fontId="73" fillId="5" borderId="46" xfId="3" applyFont="1" applyFill="1" applyBorder="1" applyAlignment="1" applyProtection="1"/>
    <xf numFmtId="0" fontId="69" fillId="5" borderId="34" xfId="0" applyFont="1" applyFill="1" applyBorder="1" applyAlignment="1">
      <alignment horizontal="center"/>
    </xf>
    <xf numFmtId="169" fontId="6" fillId="5" borderId="39" xfId="1" applyNumberFormat="1" applyFont="1" applyFill="1" applyBorder="1" applyAlignment="1">
      <alignment horizontal="right"/>
    </xf>
    <xf numFmtId="0" fontId="6" fillId="0" borderId="41" xfId="0" applyFont="1" applyBorder="1"/>
    <xf numFmtId="169" fontId="6" fillId="0" borderId="42" xfId="1" applyNumberFormat="1" applyFont="1" applyFill="1" applyBorder="1" applyAlignment="1">
      <alignment horizontal="right"/>
    </xf>
    <xf numFmtId="171" fontId="6" fillId="0" borderId="39" xfId="1" applyNumberFormat="1" applyFont="1" applyBorder="1" applyAlignment="1">
      <alignment horizontal="right"/>
    </xf>
    <xf numFmtId="0" fontId="4" fillId="0" borderId="40" xfId="0" applyFont="1" applyBorder="1" applyAlignment="1">
      <alignment horizontal="center"/>
    </xf>
    <xf numFmtId="171" fontId="24" fillId="2" borderId="42" xfId="0" applyNumberFormat="1" applyFont="1" applyFill="1" applyBorder="1" applyAlignment="1">
      <alignment horizontal="right"/>
    </xf>
    <xf numFmtId="2" fontId="24" fillId="2" borderId="45" xfId="0" applyNumberFormat="1" applyFont="1" applyFill="1" applyBorder="1" applyAlignment="1">
      <alignment horizontal="right"/>
    </xf>
    <xf numFmtId="0" fontId="6" fillId="0" borderId="43" xfId="0" applyFont="1" applyBorder="1" applyAlignment="1">
      <alignment horizontal="left"/>
    </xf>
    <xf numFmtId="164" fontId="24" fillId="2" borderId="32" xfId="2" applyNumberFormat="1" applyFont="1" applyFill="1" applyBorder="1" applyAlignment="1">
      <alignment horizontal="right"/>
    </xf>
    <xf numFmtId="0" fontId="24" fillId="0" borderId="32" xfId="0" applyFont="1" applyBorder="1" applyAlignment="1">
      <alignment horizontal="right"/>
    </xf>
    <xf numFmtId="0" fontId="6" fillId="0" borderId="46" xfId="0" applyFont="1" applyBorder="1" applyAlignment="1">
      <alignment horizontal="left"/>
    </xf>
    <xf numFmtId="164" fontId="24" fillId="0" borderId="39" xfId="0" applyNumberFormat="1" applyFont="1" applyBorder="1" applyAlignment="1">
      <alignment horizontal="right"/>
    </xf>
    <xf numFmtId="164" fontId="24" fillId="2" borderId="42" xfId="2" applyNumberFormat="1" applyFont="1" applyFill="1" applyBorder="1" applyAlignment="1">
      <alignment horizontal="right"/>
    </xf>
    <xf numFmtId="169" fontId="6" fillId="0" borderId="32" xfId="0" applyNumberFormat="1" applyFont="1" applyBorder="1" applyAlignment="1">
      <alignment horizontal="right"/>
    </xf>
    <xf numFmtId="169" fontId="24" fillId="2" borderId="45" xfId="0" applyNumberFormat="1" applyFont="1" applyFill="1" applyBorder="1" applyAlignment="1">
      <alignment horizontal="right"/>
    </xf>
    <xf numFmtId="164" fontId="24" fillId="2" borderId="45" xfId="2" applyNumberFormat="1" applyFont="1" applyFill="1" applyBorder="1" applyAlignment="1">
      <alignment horizontal="right"/>
    </xf>
    <xf numFmtId="169" fontId="6" fillId="0" borderId="39" xfId="0" applyNumberFormat="1" applyFont="1" applyBorder="1" applyAlignment="1">
      <alignment horizontal="right"/>
    </xf>
    <xf numFmtId="0" fontId="6" fillId="0" borderId="41" xfId="0" applyFont="1" applyBorder="1" applyAlignment="1">
      <alignment horizontal="left"/>
    </xf>
    <xf numFmtId="0" fontId="24" fillId="0" borderId="42" xfId="0" applyFont="1" applyBorder="1" applyAlignment="1">
      <alignment horizontal="right"/>
    </xf>
    <xf numFmtId="9" fontId="24" fillId="2" borderId="42" xfId="2" applyFont="1" applyFill="1" applyBorder="1" applyAlignment="1">
      <alignment horizontal="right"/>
    </xf>
    <xf numFmtId="10" fontId="24" fillId="2" borderId="45" xfId="2" applyNumberFormat="1" applyFont="1" applyFill="1" applyBorder="1" applyAlignment="1">
      <alignment horizontal="right"/>
    </xf>
    <xf numFmtId="0" fontId="6" fillId="2" borderId="46" xfId="0" applyFont="1" applyFill="1" applyBorder="1"/>
    <xf numFmtId="164" fontId="24" fillId="2" borderId="47" xfId="2" applyNumberFormat="1" applyFont="1" applyFill="1" applyBorder="1" applyAlignment="1">
      <alignment horizontal="right"/>
    </xf>
    <xf numFmtId="2" fontId="24" fillId="0" borderId="42" xfId="2" applyNumberFormat="1" applyFont="1" applyFill="1" applyBorder="1" applyAlignment="1">
      <alignment horizontal="right"/>
    </xf>
    <xf numFmtId="2" fontId="6" fillId="0" borderId="32" xfId="2" applyNumberFormat="1" applyFont="1" applyFill="1" applyBorder="1" applyAlignment="1">
      <alignment horizontal="right"/>
    </xf>
    <xf numFmtId="2" fontId="3" fillId="12" borderId="32" xfId="2" applyNumberFormat="1" applyFont="1" applyFill="1" applyBorder="1" applyAlignment="1">
      <alignment horizontal="right"/>
    </xf>
    <xf numFmtId="2" fontId="24" fillId="0" borderId="32" xfId="2" applyNumberFormat="1" applyFont="1" applyFill="1" applyBorder="1" applyAlignment="1">
      <alignment horizontal="right"/>
    </xf>
    <xf numFmtId="2" fontId="3" fillId="12" borderId="39" xfId="2" applyNumberFormat="1" applyFont="1" applyFill="1" applyBorder="1" applyAlignment="1">
      <alignment horizontal="right"/>
    </xf>
    <xf numFmtId="9" fontId="6" fillId="2" borderId="42" xfId="2" applyFont="1" applyFill="1" applyBorder="1" applyAlignment="1">
      <alignment horizontal="right"/>
    </xf>
    <xf numFmtId="0" fontId="6" fillId="0" borderId="48" xfId="0" applyFont="1" applyBorder="1"/>
    <xf numFmtId="10" fontId="24" fillId="2" borderId="47" xfId="2" applyNumberFormat="1" applyFont="1" applyFill="1" applyBorder="1" applyAlignment="1">
      <alignment horizontal="right"/>
    </xf>
    <xf numFmtId="10" fontId="6" fillId="2" borderId="42" xfId="2" applyNumberFormat="1" applyFont="1" applyFill="1" applyBorder="1" applyAlignment="1">
      <alignment horizontal="right"/>
    </xf>
    <xf numFmtId="169" fontId="24" fillId="2" borderId="39" xfId="0" applyNumberFormat="1" applyFont="1" applyFill="1" applyBorder="1" applyAlignment="1">
      <alignment horizontal="right"/>
    </xf>
    <xf numFmtId="169" fontId="6" fillId="0" borderId="42" xfId="0" applyNumberFormat="1" applyFont="1" applyBorder="1" applyAlignment="1">
      <alignment horizontal="right"/>
    </xf>
    <xf numFmtId="0" fontId="6" fillId="2" borderId="49" xfId="0" applyFont="1" applyFill="1" applyBorder="1"/>
    <xf numFmtId="0" fontId="3" fillId="0" borderId="48" xfId="0" applyFont="1" applyBorder="1"/>
    <xf numFmtId="0" fontId="4" fillId="2" borderId="51" xfId="0" applyFont="1" applyFill="1" applyBorder="1" applyAlignment="1">
      <alignment horizontal="center"/>
    </xf>
    <xf numFmtId="169" fontId="3" fillId="0" borderId="47" xfId="0" applyNumberFormat="1" applyFont="1" applyBorder="1"/>
    <xf numFmtId="0" fontId="6" fillId="0" borderId="29" xfId="0" applyFont="1" applyBorder="1"/>
    <xf numFmtId="9" fontId="24" fillId="6" borderId="31" xfId="2" applyFont="1" applyFill="1" applyBorder="1" applyAlignment="1">
      <alignment horizontal="center"/>
    </xf>
    <xf numFmtId="164" fontId="24" fillId="0" borderId="42" xfId="2" applyNumberFormat="1" applyFont="1" applyFill="1" applyBorder="1" applyAlignment="1">
      <alignment horizontal="right"/>
    </xf>
    <xf numFmtId="0" fontId="6" fillId="0" borderId="52" xfId="0" applyFont="1" applyBorder="1"/>
    <xf numFmtId="0" fontId="6" fillId="0" borderId="38" xfId="0" applyFont="1" applyBorder="1"/>
    <xf numFmtId="9" fontId="24" fillId="6" borderId="47" xfId="2" applyFont="1" applyFill="1" applyBorder="1" applyAlignment="1">
      <alignment horizontal="center"/>
    </xf>
    <xf numFmtId="0" fontId="6" fillId="0" borderId="53" xfId="0" applyFont="1" applyBorder="1"/>
    <xf numFmtId="0" fontId="4" fillId="2" borderId="54" xfId="0" applyFont="1" applyFill="1" applyBorder="1" applyAlignment="1">
      <alignment horizontal="center"/>
    </xf>
    <xf numFmtId="10" fontId="4" fillId="0" borderId="55" xfId="2" applyNumberFormat="1" applyFont="1" applyFill="1" applyBorder="1" applyAlignment="1">
      <alignment horizontal="right"/>
    </xf>
    <xf numFmtId="0" fontId="4" fillId="0" borderId="39" xfId="0" applyFont="1" applyBorder="1" applyAlignment="1">
      <alignment horizontal="center"/>
    </xf>
    <xf numFmtId="0" fontId="6" fillId="2" borderId="48" xfId="0" applyFont="1" applyFill="1" applyBorder="1"/>
    <xf numFmtId="164" fontId="24" fillId="0" borderId="39" xfId="2" applyNumberFormat="1" applyFont="1" applyFill="1" applyBorder="1" applyAlignment="1">
      <alignment horizontal="right"/>
    </xf>
    <xf numFmtId="0" fontId="68" fillId="5" borderId="41" xfId="0" applyFont="1" applyFill="1" applyBorder="1"/>
    <xf numFmtId="0" fontId="68" fillId="5" borderId="40" xfId="0" applyFont="1" applyFill="1" applyBorder="1"/>
    <xf numFmtId="2" fontId="16" fillId="5" borderId="42" xfId="0" applyNumberFormat="1" applyFont="1" applyFill="1" applyBorder="1" applyAlignment="1">
      <alignment horizontal="center"/>
    </xf>
    <xf numFmtId="0" fontId="68" fillId="5" borderId="43" xfId="0" applyFont="1" applyFill="1" applyBorder="1"/>
    <xf numFmtId="2" fontId="16" fillId="5" borderId="45" xfId="0" applyNumberFormat="1" applyFont="1" applyFill="1" applyBorder="1" applyAlignment="1">
      <alignment horizontal="right"/>
    </xf>
    <xf numFmtId="0" fontId="68" fillId="5" borderId="56" xfId="0" applyFont="1" applyFill="1" applyBorder="1"/>
    <xf numFmtId="164" fontId="16" fillId="5" borderId="57" xfId="2" applyNumberFormat="1" applyFont="1" applyFill="1" applyBorder="1" applyAlignment="1">
      <alignment horizontal="right"/>
    </xf>
    <xf numFmtId="0" fontId="74" fillId="5" borderId="52" xfId="3" applyFont="1" applyFill="1" applyBorder="1" applyAlignment="1" applyProtection="1"/>
    <xf numFmtId="0" fontId="6" fillId="5" borderId="37" xfId="0" applyFont="1" applyFill="1" applyBorder="1"/>
    <xf numFmtId="0" fontId="6" fillId="5" borderId="58" xfId="0" applyFont="1" applyFill="1" applyBorder="1"/>
    <xf numFmtId="9" fontId="24" fillId="6" borderId="42" xfId="2" applyFont="1" applyFill="1" applyBorder="1" applyAlignment="1">
      <alignment horizontal="center"/>
    </xf>
    <xf numFmtId="9" fontId="24" fillId="0" borderId="45" xfId="2" applyFont="1" applyFill="1" applyBorder="1" applyAlignment="1">
      <alignment horizontal="right"/>
    </xf>
    <xf numFmtId="169" fontId="6" fillId="0" borderId="47" xfId="2" applyNumberFormat="1" applyFont="1" applyFill="1" applyBorder="1" applyAlignment="1">
      <alignment horizontal="right"/>
    </xf>
    <xf numFmtId="0" fontId="6" fillId="0" borderId="40" xfId="0" applyFont="1" applyBorder="1"/>
    <xf numFmtId="0" fontId="24" fillId="6" borderId="42" xfId="0" applyFont="1" applyFill="1" applyBorder="1" applyAlignment="1">
      <alignment horizontal="center"/>
    </xf>
    <xf numFmtId="2" fontId="24" fillId="2" borderId="32" xfId="0" applyNumberFormat="1" applyFont="1" applyFill="1" applyBorder="1" applyAlignment="1">
      <alignment horizontal="right"/>
    </xf>
    <xf numFmtId="164" fontId="24" fillId="0" borderId="45" xfId="2" applyNumberFormat="1" applyFont="1" applyFill="1" applyBorder="1" applyAlignment="1">
      <alignment horizontal="right"/>
    </xf>
    <xf numFmtId="0" fontId="3" fillId="0" borderId="41" xfId="0" applyFont="1" applyBorder="1"/>
    <xf numFmtId="6" fontId="24" fillId="0" borderId="42" xfId="0" applyNumberFormat="1" applyFont="1" applyBorder="1" applyAlignment="1">
      <alignment horizontal="right"/>
    </xf>
    <xf numFmtId="9" fontId="24" fillId="0" borderId="32" xfId="2" applyFont="1" applyFill="1" applyBorder="1" applyAlignment="1">
      <alignment horizontal="right"/>
    </xf>
    <xf numFmtId="0" fontId="24" fillId="6" borderId="32" xfId="0" applyFont="1" applyFill="1" applyBorder="1" applyAlignment="1">
      <alignment horizontal="center"/>
    </xf>
    <xf numFmtId="1" fontId="24" fillId="0" borderId="42" xfId="0" applyNumberFormat="1" applyFont="1" applyBorder="1" applyAlignment="1">
      <alignment horizontal="right"/>
    </xf>
    <xf numFmtId="177" fontId="24" fillId="2" borderId="45" xfId="0" applyNumberFormat="1" applyFont="1" applyFill="1" applyBorder="1" applyAlignment="1">
      <alignment horizontal="right"/>
    </xf>
    <xf numFmtId="177" fontId="24" fillId="2" borderId="47" xfId="0" applyNumberFormat="1" applyFont="1" applyFill="1" applyBorder="1" applyAlignment="1">
      <alignment horizontal="right"/>
    </xf>
    <xf numFmtId="0" fontId="21" fillId="0" borderId="60" xfId="0" applyFont="1" applyBorder="1" applyAlignment="1">
      <alignment horizontal="left"/>
    </xf>
    <xf numFmtId="0" fontId="3" fillId="0" borderId="61" xfId="0" applyFont="1" applyBorder="1" applyAlignment="1">
      <alignment horizontal="center"/>
    </xf>
    <xf numFmtId="0" fontId="3" fillId="0" borderId="62" xfId="0" applyFont="1" applyBorder="1" applyAlignment="1">
      <alignment horizontal="center"/>
    </xf>
    <xf numFmtId="0" fontId="6" fillId="0" borderId="63" xfId="0" applyFont="1" applyBorder="1" applyAlignment="1">
      <alignment horizontal="left"/>
    </xf>
    <xf numFmtId="0" fontId="21" fillId="0" borderId="60" xfId="0" applyFont="1" applyBorder="1"/>
    <xf numFmtId="0" fontId="6" fillId="0" borderId="61" xfId="0" applyFont="1" applyBorder="1"/>
    <xf numFmtId="0" fontId="6" fillId="0" borderId="62" xfId="0" applyFont="1" applyBorder="1"/>
    <xf numFmtId="6" fontId="6" fillId="0" borderId="39" xfId="0" applyNumberFormat="1" applyFont="1" applyBorder="1" applyAlignment="1">
      <alignment horizontal="right"/>
    </xf>
    <xf numFmtId="0" fontId="6" fillId="0" borderId="62" xfId="0" applyFont="1" applyBorder="1" applyAlignment="1">
      <alignment horizontal="right"/>
    </xf>
    <xf numFmtId="164" fontId="24" fillId="0" borderId="31" xfId="0" applyNumberFormat="1" applyFont="1" applyBorder="1" applyAlignment="1">
      <alignment horizontal="right"/>
    </xf>
    <xf numFmtId="0" fontId="21" fillId="0" borderId="30" xfId="0" applyFont="1" applyBorder="1" applyAlignment="1">
      <alignment horizontal="left"/>
    </xf>
    <xf numFmtId="0" fontId="3" fillId="0" borderId="30" xfId="0" applyFont="1" applyBorder="1" applyAlignment="1">
      <alignment horizontal="left"/>
    </xf>
    <xf numFmtId="0" fontId="22" fillId="0" borderId="29" xfId="0" applyFont="1" applyBorder="1" applyAlignment="1">
      <alignment horizontal="center"/>
    </xf>
    <xf numFmtId="0" fontId="22" fillId="0" borderId="31" xfId="0" applyFont="1" applyBorder="1" applyAlignment="1">
      <alignment horizontal="center"/>
    </xf>
    <xf numFmtId="0" fontId="6" fillId="0" borderId="30" xfId="0" applyFont="1" applyBorder="1" applyAlignment="1">
      <alignment horizontal="left" indent="1"/>
    </xf>
    <xf numFmtId="164" fontId="24" fillId="0" borderId="29" xfId="2" applyNumberFormat="1" applyFont="1" applyFill="1" applyBorder="1" applyAlignment="1">
      <alignment horizontal="center"/>
    </xf>
    <xf numFmtId="164" fontId="24" fillId="0" borderId="31" xfId="2" applyNumberFormat="1" applyFont="1" applyFill="1" applyBorder="1" applyAlignment="1">
      <alignment horizontal="center"/>
    </xf>
    <xf numFmtId="0" fontId="6" fillId="0" borderId="41" xfId="0" applyFont="1" applyBorder="1" applyAlignment="1">
      <alignment horizontal="left" indent="1"/>
    </xf>
    <xf numFmtId="164" fontId="24" fillId="0" borderId="40" xfId="2" applyNumberFormat="1" applyFont="1" applyFill="1" applyBorder="1" applyAlignment="1">
      <alignment horizontal="center"/>
    </xf>
    <xf numFmtId="164" fontId="24" fillId="0" borderId="42" xfId="2" applyNumberFormat="1" applyFont="1" applyFill="1" applyBorder="1" applyAlignment="1">
      <alignment horizontal="center"/>
    </xf>
    <xf numFmtId="0" fontId="6" fillId="0" borderId="43" xfId="0" applyFont="1" applyBorder="1" applyAlignment="1">
      <alignment horizontal="left" indent="1"/>
    </xf>
    <xf numFmtId="164" fontId="24" fillId="0" borderId="32" xfId="2" applyNumberFormat="1" applyFont="1" applyFill="1" applyBorder="1" applyAlignment="1">
      <alignment horizontal="center"/>
    </xf>
    <xf numFmtId="0" fontId="6" fillId="0" borderId="46" xfId="0" applyFont="1" applyBorder="1" applyAlignment="1">
      <alignment horizontal="left" indent="1"/>
    </xf>
    <xf numFmtId="164" fontId="24" fillId="0" borderId="34" xfId="2" applyNumberFormat="1" applyFont="1" applyFill="1" applyBorder="1" applyAlignment="1">
      <alignment horizontal="center"/>
    </xf>
    <xf numFmtId="164" fontId="24" fillId="0" borderId="39" xfId="2" applyNumberFormat="1" applyFont="1" applyFill="1" applyBorder="1" applyAlignment="1">
      <alignment horizontal="center"/>
    </xf>
    <xf numFmtId="0" fontId="75" fillId="0" borderId="30" xfId="3" applyFont="1" applyFill="1" applyBorder="1" applyAlignment="1" applyProtection="1"/>
    <xf numFmtId="0" fontId="3" fillId="0" borderId="29" xfId="0" applyFont="1" applyBorder="1"/>
    <xf numFmtId="0" fontId="3" fillId="0" borderId="64" xfId="0" applyFont="1" applyBorder="1"/>
    <xf numFmtId="0" fontId="3" fillId="0" borderId="31" xfId="0" applyFont="1" applyBorder="1"/>
    <xf numFmtId="0" fontId="29" fillId="8" borderId="8" xfId="0" applyFont="1" applyFill="1" applyBorder="1" applyAlignment="1">
      <alignment horizontal="left" vertical="center" wrapText="1"/>
    </xf>
    <xf numFmtId="0" fontId="88" fillId="8" borderId="0" xfId="3" applyFont="1" applyFill="1" applyBorder="1" applyAlignment="1" applyProtection="1"/>
    <xf numFmtId="0" fontId="29" fillId="8" borderId="23" xfId="0" applyFont="1" applyFill="1" applyBorder="1" applyAlignment="1">
      <alignment vertical="center" wrapText="1"/>
    </xf>
    <xf numFmtId="0" fontId="45" fillId="8" borderId="10" xfId="0" applyFont="1" applyFill="1" applyBorder="1" applyAlignment="1">
      <alignment vertical="center" wrapText="1"/>
    </xf>
    <xf numFmtId="0" fontId="45" fillId="8" borderId="24" xfId="0" applyFont="1" applyFill="1" applyBorder="1" applyAlignment="1">
      <alignment vertical="center"/>
    </xf>
    <xf numFmtId="166" fontId="21" fillId="5" borderId="2" xfId="0" applyNumberFormat="1" applyFont="1" applyFill="1" applyBorder="1" applyAlignment="1">
      <alignment horizontal="center"/>
    </xf>
    <xf numFmtId="0" fontId="90" fillId="8" borderId="0" xfId="3" applyFont="1" applyFill="1" applyBorder="1" applyAlignment="1" applyProtection="1"/>
    <xf numFmtId="0" fontId="6" fillId="14" borderId="0" xfId="0" applyFont="1" applyFill="1"/>
    <xf numFmtId="0" fontId="60" fillId="14" borderId="0" xfId="0" applyFont="1" applyFill="1"/>
    <xf numFmtId="0" fontId="89" fillId="14" borderId="0" xfId="0" applyFont="1" applyFill="1"/>
    <xf numFmtId="0" fontId="53" fillId="14" borderId="0" xfId="0" applyFont="1" applyFill="1"/>
    <xf numFmtId="0" fontId="17" fillId="14" borderId="0" xfId="3" applyFill="1" applyBorder="1" applyAlignment="1" applyProtection="1"/>
    <xf numFmtId="0" fontId="8" fillId="0" borderId="8" xfId="0" applyFont="1" applyBorder="1" applyAlignment="1">
      <alignment horizontal="center"/>
    </xf>
    <xf numFmtId="0" fontId="62" fillId="5" borderId="1" xfId="0" applyFont="1" applyFill="1" applyBorder="1" applyAlignment="1">
      <alignment vertical="center"/>
    </xf>
    <xf numFmtId="9" fontId="24" fillId="0" borderId="39" xfId="0" applyNumberFormat="1" applyFont="1" applyBorder="1" applyAlignment="1">
      <alignment horizontal="center"/>
    </xf>
    <xf numFmtId="0" fontId="3" fillId="0" borderId="23" xfId="0" applyFont="1" applyBorder="1"/>
    <xf numFmtId="0" fontId="6" fillId="0" borderId="67" xfId="0" applyFont="1" applyBorder="1"/>
    <xf numFmtId="0" fontId="24" fillId="6" borderId="55" xfId="0" applyFont="1" applyFill="1" applyBorder="1" applyAlignment="1">
      <alignment horizontal="center"/>
    </xf>
    <xf numFmtId="0" fontId="6" fillId="0" borderId="44" xfId="0" applyFont="1" applyBorder="1"/>
    <xf numFmtId="0" fontId="24" fillId="6" borderId="45" xfId="0" applyFont="1" applyFill="1" applyBorder="1" applyAlignment="1">
      <alignment horizontal="center"/>
    </xf>
    <xf numFmtId="6" fontId="6" fillId="0" borderId="39" xfId="0" applyNumberFormat="1" applyFont="1" applyBorder="1"/>
    <xf numFmtId="9" fontId="4" fillId="2" borderId="4" xfId="2" applyFont="1" applyFill="1" applyBorder="1" applyAlignment="1">
      <alignment horizontal="center"/>
    </xf>
    <xf numFmtId="9" fontId="4" fillId="2" borderId="54" xfId="2" applyFont="1" applyFill="1" applyBorder="1" applyAlignment="1">
      <alignment horizontal="center"/>
    </xf>
    <xf numFmtId="9" fontId="4" fillId="2" borderId="28" xfId="2" applyFont="1" applyFill="1" applyBorder="1" applyAlignment="1">
      <alignment horizontal="center"/>
    </xf>
    <xf numFmtId="0" fontId="90" fillId="8" borderId="0" xfId="3" applyFont="1" applyFill="1" applyBorder="1" applyAlignment="1" applyProtection="1">
      <alignment vertical="center" wrapText="1"/>
    </xf>
    <xf numFmtId="0" fontId="91" fillId="8" borderId="0" xfId="0" applyFont="1" applyFill="1" applyAlignment="1">
      <alignment wrapText="1"/>
    </xf>
    <xf numFmtId="0" fontId="29" fillId="8" borderId="8" xfId="0" applyFont="1" applyFill="1" applyBorder="1" applyAlignment="1">
      <alignment vertical="center" wrapText="1"/>
    </xf>
    <xf numFmtId="0" fontId="45" fillId="8" borderId="25" xfId="0" applyFont="1" applyFill="1" applyBorder="1" applyAlignment="1">
      <alignment vertical="center"/>
    </xf>
    <xf numFmtId="6" fontId="6" fillId="0" borderId="50" xfId="0" applyNumberFormat="1" applyFont="1" applyBorder="1" applyAlignment="1">
      <alignment horizontal="right"/>
    </xf>
    <xf numFmtId="0" fontId="68" fillId="5" borderId="41" xfId="0" applyFont="1" applyFill="1" applyBorder="1" applyAlignment="1">
      <alignment horizontal="left" indent="1"/>
    </xf>
    <xf numFmtId="0" fontId="69" fillId="5" borderId="40" xfId="0" applyFont="1" applyFill="1" applyBorder="1" applyAlignment="1">
      <alignment horizontal="center"/>
    </xf>
    <xf numFmtId="171" fontId="16" fillId="5" borderId="42" xfId="0" applyNumberFormat="1" applyFont="1" applyFill="1" applyBorder="1" applyAlignment="1">
      <alignment horizontal="right"/>
    </xf>
    <xf numFmtId="0" fontId="6" fillId="0" borderId="14" xfId="0" applyFont="1" applyBorder="1"/>
    <xf numFmtId="0" fontId="93" fillId="0" borderId="21" xfId="0" applyFont="1" applyBorder="1" applyAlignment="1">
      <alignment horizontal="center"/>
    </xf>
    <xf numFmtId="0" fontId="93" fillId="0" borderId="5" xfId="0" applyFont="1" applyBorder="1" applyAlignment="1">
      <alignment horizontal="center"/>
    </xf>
    <xf numFmtId="0" fontId="6" fillId="0" borderId="13" xfId="0" applyFont="1" applyBorder="1"/>
    <xf numFmtId="164" fontId="29" fillId="0" borderId="6" xfId="0" applyNumberFormat="1" applyFont="1" applyBorder="1" applyAlignment="1">
      <alignment horizontal="center" vertical="center" wrapText="1"/>
    </xf>
    <xf numFmtId="164" fontId="92" fillId="0" borderId="5" xfId="0" applyNumberFormat="1" applyFont="1" applyBorder="1" applyAlignment="1">
      <alignment horizontal="center"/>
    </xf>
    <xf numFmtId="164" fontId="92" fillId="0" borderId="6" xfId="0" applyNumberFormat="1" applyFont="1" applyBorder="1" applyAlignment="1">
      <alignment horizontal="center"/>
    </xf>
    <xf numFmtId="164" fontId="92" fillId="0" borderId="21" xfId="0" applyNumberFormat="1" applyFont="1" applyBorder="1" applyAlignment="1">
      <alignment horizontal="center"/>
    </xf>
    <xf numFmtId="0" fontId="55" fillId="0" borderId="0" xfId="0" applyFont="1" applyAlignment="1">
      <alignment horizontal="right"/>
    </xf>
    <xf numFmtId="40" fontId="49" fillId="0" borderId="21" xfId="0" applyNumberFormat="1" applyFont="1" applyBorder="1" applyAlignment="1">
      <alignment horizontal="center"/>
    </xf>
    <xf numFmtId="0" fontId="95" fillId="0" borderId="17" xfId="0" applyFont="1" applyBorder="1"/>
    <xf numFmtId="9" fontId="49" fillId="0" borderId="21" xfId="2" applyFont="1" applyBorder="1" applyAlignment="1">
      <alignment horizontal="center"/>
    </xf>
    <xf numFmtId="0" fontId="51" fillId="0" borderId="15" xfId="0" applyFont="1" applyBorder="1" applyAlignment="1">
      <alignment vertical="center"/>
    </xf>
    <xf numFmtId="0" fontId="49" fillId="0" borderId="16" xfId="0" applyFont="1" applyBorder="1"/>
    <xf numFmtId="0" fontId="49" fillId="0" borderId="5" xfId="0" applyFont="1" applyBorder="1"/>
    <xf numFmtId="0" fontId="51" fillId="0" borderId="9" xfId="0" applyFont="1" applyBorder="1"/>
    <xf numFmtId="6" fontId="49" fillId="0" borderId="21" xfId="0" applyNumberFormat="1" applyFont="1" applyBorder="1" applyAlignment="1">
      <alignment horizontal="center"/>
    </xf>
    <xf numFmtId="9" fontId="49" fillId="0" borderId="5" xfId="0" applyNumberFormat="1" applyFont="1" applyBorder="1" applyAlignment="1">
      <alignment horizontal="center"/>
    </xf>
    <xf numFmtId="0" fontId="7" fillId="0" borderId="0" xfId="0" applyFont="1"/>
    <xf numFmtId="0" fontId="8" fillId="0" borderId="25" xfId="0" applyFont="1" applyBorder="1" applyAlignment="1">
      <alignment horizontal="center"/>
    </xf>
    <xf numFmtId="0" fontId="3" fillId="0" borderId="25" xfId="0" applyFont="1" applyBorder="1" applyAlignment="1">
      <alignment horizontal="center"/>
    </xf>
    <xf numFmtId="0" fontId="8" fillId="0" borderId="24" xfId="0" applyFont="1" applyBorder="1" applyAlignment="1">
      <alignment horizontal="center"/>
    </xf>
    <xf numFmtId="0" fontId="59" fillId="0" borderId="0" xfId="0" applyFont="1" applyAlignment="1">
      <alignment horizontal="center"/>
    </xf>
    <xf numFmtId="0" fontId="3" fillId="0" borderId="53" xfId="0" applyFont="1" applyBorder="1"/>
    <xf numFmtId="8" fontId="24" fillId="0" borderId="55" xfId="0" applyNumberFormat="1" applyFont="1" applyBorder="1" applyAlignment="1">
      <alignment horizontal="right"/>
    </xf>
    <xf numFmtId="6" fontId="24" fillId="0" borderId="32" xfId="0" applyNumberFormat="1" applyFont="1" applyBorder="1" applyAlignment="1">
      <alignment horizontal="right"/>
    </xf>
    <xf numFmtId="5" fontId="24" fillId="2" borderId="32" xfId="1" applyNumberFormat="1" applyFont="1" applyFill="1" applyBorder="1" applyAlignment="1">
      <alignment horizontal="right"/>
    </xf>
    <xf numFmtId="0" fontId="6" fillId="0" borderId="63" xfId="0" applyFont="1" applyBorder="1"/>
    <xf numFmtId="0" fontId="9" fillId="6" borderId="32" xfId="0" applyFont="1" applyFill="1" applyBorder="1" applyAlignment="1">
      <alignment horizontal="center"/>
    </xf>
    <xf numFmtId="164" fontId="29" fillId="0" borderId="4" xfId="0" applyNumberFormat="1" applyFont="1" applyBorder="1" applyAlignment="1">
      <alignment horizontal="center" wrapText="1"/>
    </xf>
    <xf numFmtId="9" fontId="24" fillId="6" borderId="32" xfId="2" applyFont="1" applyFill="1" applyBorder="1" applyAlignment="1">
      <alignment horizontal="center"/>
    </xf>
    <xf numFmtId="0" fontId="50" fillId="0" borderId="17" xfId="0" applyFont="1" applyBorder="1" applyAlignment="1">
      <alignment horizontal="center" vertical="center"/>
    </xf>
    <xf numFmtId="0" fontId="98" fillId="0" borderId="0" xfId="0" applyFont="1" applyAlignment="1">
      <alignment horizontal="center" vertical="center"/>
    </xf>
    <xf numFmtId="2" fontId="50" fillId="0" borderId="17" xfId="0" applyNumberFormat="1" applyFont="1" applyBorder="1" applyAlignment="1">
      <alignment horizontal="center" vertical="center"/>
    </xf>
    <xf numFmtId="0" fontId="99" fillId="0" borderId="17" xfId="0" applyFont="1" applyBorder="1" applyAlignment="1">
      <alignment horizontal="center" vertical="center"/>
    </xf>
    <xf numFmtId="0" fontId="99" fillId="0" borderId="0" xfId="0" applyFont="1" applyAlignment="1">
      <alignment horizontal="center" vertical="center"/>
    </xf>
    <xf numFmtId="0" fontId="50" fillId="0" borderId="12" xfId="0" applyFont="1" applyBorder="1" applyAlignment="1">
      <alignment horizontal="center" vertical="center"/>
    </xf>
    <xf numFmtId="0" fontId="98" fillId="0" borderId="14" xfId="0" applyFont="1" applyBorder="1" applyAlignment="1">
      <alignment horizontal="center" vertical="center"/>
    </xf>
    <xf numFmtId="2" fontId="50" fillId="0" borderId="4" xfId="0" applyNumberFormat="1" applyFont="1" applyBorder="1" applyAlignment="1">
      <alignment horizontal="center" vertical="center"/>
    </xf>
    <xf numFmtId="164" fontId="53" fillId="0" borderId="32" xfId="2" applyNumberFormat="1" applyFont="1" applyFill="1" applyBorder="1" applyAlignment="1">
      <alignment horizontal="right"/>
    </xf>
    <xf numFmtId="164" fontId="6" fillId="0" borderId="0" xfId="2" applyNumberFormat="1" applyFont="1" applyFill="1" applyBorder="1"/>
    <xf numFmtId="0" fontId="93" fillId="0" borderId="0" xfId="0" applyFont="1" applyAlignment="1">
      <alignment horizontal="center"/>
    </xf>
    <xf numFmtId="164" fontId="92" fillId="0" borderId="0" xfId="0" applyNumberFormat="1" applyFont="1" applyAlignment="1">
      <alignment horizontal="center"/>
    </xf>
    <xf numFmtId="164" fontId="24" fillId="0" borderId="12" xfId="2" applyNumberFormat="1" applyFont="1" applyFill="1" applyBorder="1" applyAlignment="1">
      <alignment horizontal="center"/>
    </xf>
    <xf numFmtId="164" fontId="24" fillId="0" borderId="36" xfId="2" applyNumberFormat="1" applyFont="1" applyFill="1" applyBorder="1" applyAlignment="1">
      <alignment horizontal="center"/>
    </xf>
    <xf numFmtId="0" fontId="22" fillId="0" borderId="64" xfId="0" applyFont="1" applyBorder="1" applyAlignment="1">
      <alignment horizontal="center"/>
    </xf>
    <xf numFmtId="164" fontId="24" fillId="0" borderId="64" xfId="2" applyNumberFormat="1" applyFont="1" applyFill="1" applyBorder="1" applyAlignment="1">
      <alignment horizontal="center"/>
    </xf>
    <xf numFmtId="164" fontId="24" fillId="0" borderId="65" xfId="2" applyNumberFormat="1" applyFont="1" applyFill="1" applyBorder="1" applyAlignment="1">
      <alignment horizontal="center"/>
    </xf>
    <xf numFmtId="164" fontId="82" fillId="0" borderId="6" xfId="2" applyNumberFormat="1" applyFont="1" applyFill="1" applyBorder="1" applyAlignment="1">
      <alignment horizontal="center" vertical="center" wrapText="1"/>
    </xf>
    <xf numFmtId="0" fontId="87" fillId="5" borderId="8" xfId="0" applyFont="1" applyFill="1" applyBorder="1" applyAlignment="1">
      <alignment vertical="center"/>
    </xf>
    <xf numFmtId="0" fontId="87" fillId="5" borderId="0" xfId="0" applyFont="1" applyFill="1" applyAlignment="1">
      <alignment vertical="center" wrapText="1"/>
    </xf>
    <xf numFmtId="0" fontId="6" fillId="0" borderId="11" xfId="0" applyFont="1" applyBorder="1"/>
    <xf numFmtId="0" fontId="6" fillId="0" borderId="20" xfId="0" applyFont="1" applyBorder="1" applyAlignment="1">
      <alignment horizontal="center"/>
    </xf>
    <xf numFmtId="0" fontId="24" fillId="0" borderId="45" xfId="0" applyFont="1" applyBorder="1" applyAlignment="1">
      <alignment horizontal="right"/>
    </xf>
    <xf numFmtId="9" fontId="3" fillId="0" borderId="25" xfId="0" applyNumberFormat="1" applyFont="1" applyBorder="1" applyAlignment="1">
      <alignment horizontal="center"/>
    </xf>
    <xf numFmtId="164" fontId="52" fillId="0" borderId="6" xfId="2" applyNumberFormat="1" applyFont="1" applyFill="1" applyBorder="1" applyAlignment="1">
      <alignment horizontal="center" vertical="center" wrapText="1"/>
    </xf>
    <xf numFmtId="0" fontId="65" fillId="0" borderId="22" xfId="0" applyFont="1" applyBorder="1" applyAlignment="1">
      <alignment horizontal="center"/>
    </xf>
    <xf numFmtId="0" fontId="8" fillId="5" borderId="2" xfId="0" applyFont="1" applyFill="1" applyBorder="1" applyAlignment="1">
      <alignment horizontal="center" vertical="center"/>
    </xf>
    <xf numFmtId="164" fontId="24" fillId="0" borderId="12" xfId="2" applyNumberFormat="1" applyFont="1" applyFill="1" applyBorder="1" applyAlignment="1">
      <alignment horizontal="center"/>
    </xf>
    <xf numFmtId="164" fontId="24" fillId="0" borderId="13" xfId="2" applyNumberFormat="1" applyFont="1" applyFill="1" applyBorder="1" applyAlignment="1">
      <alignment horizontal="center"/>
    </xf>
    <xf numFmtId="164" fontId="24" fillId="0" borderId="14" xfId="2" applyNumberFormat="1" applyFont="1" applyFill="1" applyBorder="1" applyAlignment="1">
      <alignment horizontal="center"/>
    </xf>
    <xf numFmtId="0" fontId="22" fillId="0" borderId="64" xfId="0" applyFont="1" applyBorder="1" applyAlignment="1">
      <alignment horizontal="center"/>
    </xf>
    <xf numFmtId="0" fontId="22" fillId="0" borderId="2" xfId="0" applyFont="1" applyBorder="1" applyAlignment="1">
      <alignment horizontal="center"/>
    </xf>
    <xf numFmtId="0" fontId="22" fillId="0" borderId="59" xfId="0" applyFont="1" applyBorder="1" applyAlignment="1">
      <alignment horizontal="center"/>
    </xf>
    <xf numFmtId="164" fontId="24" fillId="0" borderId="64" xfId="2" applyNumberFormat="1" applyFont="1" applyFill="1" applyBorder="1" applyAlignment="1">
      <alignment horizontal="center"/>
    </xf>
    <xf numFmtId="164" fontId="24" fillId="0" borderId="2" xfId="2" applyNumberFormat="1" applyFont="1" applyFill="1" applyBorder="1" applyAlignment="1">
      <alignment horizontal="center"/>
    </xf>
    <xf numFmtId="164" fontId="24" fillId="0" borderId="59" xfId="2" applyNumberFormat="1" applyFont="1" applyFill="1" applyBorder="1" applyAlignment="1">
      <alignment horizontal="center"/>
    </xf>
    <xf numFmtId="164" fontId="24" fillId="0" borderId="65" xfId="2" applyNumberFormat="1" applyFont="1" applyFill="1" applyBorder="1" applyAlignment="1">
      <alignment horizontal="center"/>
    </xf>
    <xf numFmtId="164" fontId="24" fillId="0" borderId="61" xfId="2" applyNumberFormat="1" applyFont="1" applyFill="1" applyBorder="1" applyAlignment="1">
      <alignment horizontal="center"/>
    </xf>
    <xf numFmtId="164" fontId="24" fillId="0" borderId="66" xfId="2" applyNumberFormat="1" applyFont="1" applyFill="1" applyBorder="1" applyAlignment="1">
      <alignment horizontal="center"/>
    </xf>
    <xf numFmtId="164" fontId="24" fillId="0" borderId="36" xfId="2" applyNumberFormat="1" applyFont="1" applyFill="1" applyBorder="1" applyAlignment="1">
      <alignment horizontal="center"/>
    </xf>
    <xf numFmtId="164" fontId="24" fillId="0" borderId="37" xfId="2" applyNumberFormat="1" applyFont="1" applyFill="1" applyBorder="1" applyAlignment="1">
      <alignment horizontal="center"/>
    </xf>
    <xf numFmtId="164" fontId="24" fillId="0" borderId="38" xfId="2" applyNumberFormat="1" applyFont="1" applyFill="1" applyBorder="1" applyAlignment="1">
      <alignment horizontal="center"/>
    </xf>
    <xf numFmtId="0" fontId="3" fillId="0" borderId="64" xfId="0" applyFont="1" applyBorder="1" applyAlignment="1">
      <alignment horizontal="center"/>
    </xf>
    <xf numFmtId="0" fontId="3" fillId="0" borderId="2" xfId="0" applyFont="1" applyBorder="1" applyAlignment="1">
      <alignment horizontal="center"/>
    </xf>
    <xf numFmtId="0" fontId="3" fillId="0" borderId="59" xfId="0" applyFont="1" applyBorder="1" applyAlignment="1">
      <alignment horizontal="center"/>
    </xf>
    <xf numFmtId="164" fontId="29" fillId="5" borderId="19" xfId="0" applyNumberFormat="1" applyFont="1" applyFill="1" applyBorder="1" applyAlignment="1">
      <alignment horizontal="center" vertical="center" wrapText="1"/>
    </xf>
    <xf numFmtId="164" fontId="29" fillId="5" borderId="20" xfId="0" applyNumberFormat="1" applyFont="1" applyFill="1" applyBorder="1" applyAlignment="1">
      <alignment horizontal="center" vertical="center" wrapText="1"/>
    </xf>
    <xf numFmtId="164" fontId="29" fillId="5" borderId="15" xfId="0" applyNumberFormat="1" applyFont="1" applyFill="1" applyBorder="1" applyAlignment="1">
      <alignment horizontal="center" vertical="center" wrapText="1"/>
    </xf>
    <xf numFmtId="164" fontId="29" fillId="5" borderId="16" xfId="0" applyNumberFormat="1" applyFont="1" applyFill="1" applyBorder="1" applyAlignment="1">
      <alignment horizontal="center" vertical="center" wrapText="1"/>
    </xf>
    <xf numFmtId="0" fontId="54" fillId="0" borderId="12" xfId="0" applyFont="1" applyBorder="1" applyAlignment="1">
      <alignment horizontal="center" vertical="center" wrapText="1"/>
    </xf>
    <xf numFmtId="0" fontId="54" fillId="0" borderId="13" xfId="0" applyFont="1" applyBorder="1" applyAlignment="1">
      <alignment horizontal="center" vertical="center" wrapText="1"/>
    </xf>
    <xf numFmtId="0" fontId="54" fillId="0" borderId="14" xfId="0" applyFont="1" applyBorder="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56" fillId="6" borderId="1" xfId="0" applyFont="1" applyFill="1" applyBorder="1" applyAlignment="1">
      <alignment horizontal="center" vertical="center" wrapText="1"/>
    </xf>
    <xf numFmtId="0" fontId="56" fillId="6" borderId="2" xfId="0" applyFont="1" applyFill="1" applyBorder="1" applyAlignment="1">
      <alignment horizontal="center" vertical="center" wrapText="1"/>
    </xf>
    <xf numFmtId="0" fontId="56" fillId="6" borderId="3" xfId="0" applyFont="1" applyFill="1" applyBorder="1" applyAlignment="1">
      <alignment horizontal="center" vertical="center" wrapText="1"/>
    </xf>
    <xf numFmtId="0" fontId="66" fillId="0" borderId="19"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16" xfId="0" applyFont="1" applyBorder="1" applyAlignment="1">
      <alignment horizontal="center" vertical="center" wrapText="1"/>
    </xf>
    <xf numFmtId="0" fontId="66" fillId="0" borderId="12" xfId="0" applyFont="1" applyBorder="1" applyAlignment="1">
      <alignment horizontal="center"/>
    </xf>
    <xf numFmtId="0" fontId="66" fillId="0" borderId="14" xfId="0" applyFont="1" applyBorder="1" applyAlignment="1">
      <alignment horizontal="center"/>
    </xf>
    <xf numFmtId="0" fontId="3" fillId="8" borderId="0" xfId="0" applyFont="1" applyFill="1" applyAlignment="1">
      <alignment horizontal="center"/>
    </xf>
    <xf numFmtId="0" fontId="3" fillId="11" borderId="1" xfId="0" applyFont="1" applyFill="1" applyBorder="1" applyAlignment="1">
      <alignment horizontal="left" vertical="center" wrapText="1"/>
    </xf>
    <xf numFmtId="0" fontId="3" fillId="11" borderId="3" xfId="0" applyFont="1" applyFill="1" applyBorder="1" applyAlignment="1">
      <alignment horizontal="left" vertical="center" wrapText="1"/>
    </xf>
    <xf numFmtId="179" fontId="3" fillId="11" borderId="1" xfId="0" applyNumberFormat="1" applyFont="1" applyFill="1" applyBorder="1" applyAlignment="1">
      <alignment horizontal="left"/>
    </xf>
    <xf numFmtId="179" fontId="3" fillId="11" borderId="3" xfId="0" applyNumberFormat="1" applyFont="1" applyFill="1" applyBorder="1" applyAlignment="1">
      <alignment horizontal="left"/>
    </xf>
    <xf numFmtId="0" fontId="38" fillId="4" borderId="1" xfId="0" applyFont="1" applyFill="1" applyBorder="1" applyAlignment="1">
      <alignment horizontal="center" vertical="center" wrapText="1"/>
    </xf>
    <xf numFmtId="0" fontId="38" fillId="4" borderId="2" xfId="0" applyFont="1" applyFill="1" applyBorder="1" applyAlignment="1">
      <alignment horizontal="center" vertical="center" wrapText="1"/>
    </xf>
    <xf numFmtId="0" fontId="38" fillId="4" borderId="3" xfId="0" applyFont="1" applyFill="1" applyBorder="1" applyAlignment="1">
      <alignment horizontal="center" vertical="center" wrapText="1"/>
    </xf>
    <xf numFmtId="0" fontId="28" fillId="0" borderId="12" xfId="0" applyFont="1" applyBorder="1" applyAlignment="1">
      <alignment horizontal="left" wrapText="1"/>
    </xf>
    <xf numFmtId="0" fontId="28" fillId="0" borderId="14" xfId="0" applyFont="1" applyBorder="1" applyAlignment="1">
      <alignment horizontal="left" wrapText="1"/>
    </xf>
  </cellXfs>
  <cellStyles count="6">
    <cellStyle name="Comma" xfId="5" builtinId="3"/>
    <cellStyle name="Currency" xfId="1" builtinId="4"/>
    <cellStyle name="Hyperlink" xfId="3" builtinId="8"/>
    <cellStyle name="Normal" xfId="0" builtinId="0"/>
    <cellStyle name="Percent" xfId="2" builtinId="5"/>
    <cellStyle name="Percent 2" xfId="4" xr:uid="{00000000-0005-0000-0000-000005000000}"/>
  </cellStyles>
  <dxfs count="148">
    <dxf>
      <font>
        <color auto="1"/>
      </font>
      <fill>
        <patternFill>
          <bgColor rgb="FF00B050"/>
        </patternFill>
      </fill>
    </dxf>
    <dxf>
      <font>
        <color auto="1"/>
      </font>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colors>
    <mruColors>
      <color rgb="FFFFFF99"/>
      <color rgb="FF000000"/>
      <color rgb="FF1C1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itle>
    <c:autoTitleDeleted val="0"/>
    <c:plotArea>
      <c:layout/>
      <c:lineChart>
        <c:grouping val="standard"/>
        <c:varyColors val="0"/>
        <c:ser>
          <c:idx val="0"/>
          <c:order val="0"/>
          <c:tx>
            <c:strRef>
              <c:f>'Annual Cash Flows &amp; Returns'!$N$4</c:f>
              <c:strCache>
                <c:ptCount val="1"/>
                <c:pt idx="0">
                  <c:v>Cumulative Cash Flow</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Returns'!$N$6:$N$36</c:f>
              <c:numCache>
                <c:formatCode>"$"#,##0_);[Red]\("$"#,##0\)</c:formatCode>
                <c:ptCount val="31"/>
                <c:pt idx="0">
                  <c:v>-3368034.7702229787</c:v>
                </c:pt>
                <c:pt idx="1">
                  <c:v>-2870937.129454189</c:v>
                </c:pt>
                <c:pt idx="2">
                  <c:v>-2355191.8679454052</c:v>
                </c:pt>
                <c:pt idx="3">
                  <c:v>-1821114.3850771575</c:v>
                </c:pt>
                <c:pt idx="4">
                  <c:v>-1268967.3558452928</c:v>
                </c:pt>
                <c:pt idx="5">
                  <c:v>-698965.69068711158</c:v>
                </c:pt>
                <c:pt idx="6">
                  <c:v>-111280.99471563904</c:v>
                </c:pt>
                <c:pt idx="7">
                  <c:v>493954.42364668695</c:v>
                </c:pt>
                <c:pt idx="8">
                  <c:v>1078858.9351359329</c:v>
                </c:pt>
                <c:pt idx="9">
                  <c:v>1653922.2171096224</c:v>
                </c:pt>
                <c:pt idx="10">
                  <c:v>2305097.2834171075</c:v>
                </c:pt>
                <c:pt idx="11">
                  <c:v>2911503.0976790208</c:v>
                </c:pt>
                <c:pt idx="12">
                  <c:v>3335477.1871795189</c:v>
                </c:pt>
                <c:pt idx="13">
                  <c:v>3706075.6853222256</c:v>
                </c:pt>
                <c:pt idx="14">
                  <c:v>4082433.6043759566</c:v>
                </c:pt>
                <c:pt idx="15">
                  <c:v>4452226.5349679794</c:v>
                </c:pt>
                <c:pt idx="16">
                  <c:v>4804829.2899846733</c:v>
                </c:pt>
                <c:pt idx="17">
                  <c:v>5152015.290807344</c:v>
                </c:pt>
                <c:pt idx="18">
                  <c:v>5503774.3268193621</c:v>
                </c:pt>
                <c:pt idx="19">
                  <c:v>6227666.1397091448</c:v>
                </c:pt>
                <c:pt idx="20">
                  <c:v>6938799.4961870024</c:v>
                </c:pt>
                <c:pt idx="21">
                  <c:v>7081047.0497555062</c:v>
                </c:pt>
                <c:pt idx="22">
                  <c:v>7224382.2737309579</c:v>
                </c:pt>
                <c:pt idx="23">
                  <c:v>7340611.5398685867</c:v>
                </c:pt>
                <c:pt idx="24">
                  <c:v>7460147.0459158681</c:v>
                </c:pt>
                <c:pt idx="25">
                  <c:v>7650715.9543833863</c:v>
                </c:pt>
                <c:pt idx="26">
                  <c:v>7650715.9543833863</c:v>
                </c:pt>
                <c:pt idx="27">
                  <c:v>7650715.9543833863</c:v>
                </c:pt>
                <c:pt idx="28">
                  <c:v>7650715.9543833863</c:v>
                </c:pt>
                <c:pt idx="29">
                  <c:v>7650715.9543833863</c:v>
                </c:pt>
                <c:pt idx="30">
                  <c:v>7650715.9543833863</c:v>
                </c:pt>
              </c:numCache>
            </c:numRef>
          </c:val>
          <c:smooth val="0"/>
          <c:extLst>
            <c:ext xmlns:c16="http://schemas.microsoft.com/office/drawing/2014/chart" uri="{C3380CC4-5D6E-409C-BE32-E72D297353CC}">
              <c16:uniqueId val="{00000000-EC18-CF48-A421-37725181AD50}"/>
            </c:ext>
          </c:extLst>
        </c:ser>
        <c:dLbls>
          <c:showLegendKey val="0"/>
          <c:showVal val="0"/>
          <c:showCatName val="0"/>
          <c:showSerName val="0"/>
          <c:showPercent val="0"/>
          <c:showBubbleSize val="0"/>
        </c:dLbls>
        <c:smooth val="0"/>
        <c:axId val="109747584"/>
        <c:axId val="109795584"/>
      </c:lineChart>
      <c:catAx>
        <c:axId val="109747584"/>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09795584"/>
        <c:crosses val="autoZero"/>
        <c:auto val="1"/>
        <c:lblAlgn val="ctr"/>
        <c:lblOffset val="100"/>
        <c:tickLblSkip val="5"/>
        <c:noMultiLvlLbl val="0"/>
      </c:catAx>
      <c:valAx>
        <c:axId val="109795584"/>
        <c:scaling>
          <c:orientation val="minMax"/>
        </c:scaling>
        <c:delete val="0"/>
        <c:axPos val="l"/>
        <c:title>
          <c:tx>
            <c:rich>
              <a:bodyPr rot="-5400000" vert="horz"/>
              <a:lstStyle/>
              <a:p>
                <a:pPr>
                  <a:defRPr sz="1100" b="1"/>
                </a:pPr>
                <a:r>
                  <a:rPr lang="en-US" sz="1100" b="1"/>
                  <a:t>Cumulative Cash Flow ($)</a:t>
                </a:r>
              </a:p>
            </c:rich>
          </c:tx>
          <c:overlay val="0"/>
        </c:title>
        <c:numFmt formatCode="&quot;$&quot;#,##0_);[Red]\(&quot;$&quot;#,##0\)" sourceLinked="1"/>
        <c:majorTickMark val="out"/>
        <c:minorTickMark val="none"/>
        <c:tickLblPos val="nextTo"/>
        <c:crossAx val="109747584"/>
        <c:crosses val="autoZero"/>
        <c:crossBetween val="between"/>
      </c:valAx>
      <c:spPr>
        <a:solidFill>
          <a:srgbClr val="FFFF99"/>
        </a:solidFill>
      </c:spPr>
    </c:plotArea>
    <c:plotVisOnly val="1"/>
    <c:dispBlanksAs val="gap"/>
    <c:showDLblsOverMax val="0"/>
  </c:chart>
  <c:spPr>
    <a:solidFill>
      <a:srgbClr val="FFFF99"/>
    </a:solidFill>
  </c:spPr>
  <c:printSettings>
    <c:headerFooter/>
    <c:pageMargins b="0.7500000000000101" l="0.70000000000000062" r="0.70000000000000062" t="0.75000000000001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Revenue + Tax Benefits / (Liability) v. </a:t>
            </a:r>
          </a:p>
          <a:p>
            <a:pPr>
              <a:defRPr/>
            </a:pPr>
            <a:r>
              <a:rPr lang="en-US"/>
              <a:t>Expenses + Cash Obligations</a:t>
            </a:r>
          </a:p>
        </c:rich>
      </c:tx>
      <c:overlay val="1"/>
    </c:title>
    <c:autoTitleDeleted val="0"/>
    <c:plotArea>
      <c:layout/>
      <c:areaChart>
        <c:grouping val="standard"/>
        <c:varyColors val="0"/>
        <c:ser>
          <c:idx val="1"/>
          <c:order val="1"/>
          <c:tx>
            <c:strRef>
              <c:f>'Annual Cash Flows &amp; Returns'!$S$4</c:f>
              <c:strCache>
                <c:ptCount val="1"/>
                <c:pt idx="0">
                  <c:v>Expenses + Cash Obligations</c:v>
                </c:pt>
              </c:strCache>
            </c:strRef>
          </c:tx>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Returns'!$S$6:$S$36</c:f>
              <c:numCache>
                <c:formatCode>"$"#,##0_);[Red]\("$"#,##0\)</c:formatCode>
                <c:ptCount val="31"/>
                <c:pt idx="1">
                  <c:v>476104.28598261467</c:v>
                </c:pt>
                <c:pt idx="2">
                  <c:v>473037.02790635667</c:v>
                </c:pt>
                <c:pt idx="3">
                  <c:v>470500.19816987467</c:v>
                </c:pt>
                <c:pt idx="4">
                  <c:v>468444.27631997666</c:v>
                </c:pt>
                <c:pt idx="5">
                  <c:v>466824.74946818955</c:v>
                </c:pt>
                <c:pt idx="6">
                  <c:v>465601.6124101936</c:v>
                </c:pt>
                <c:pt idx="7">
                  <c:v>464738.91774714505</c:v>
                </c:pt>
                <c:pt idx="8">
                  <c:v>464204.37100891524</c:v>
                </c:pt>
                <c:pt idx="9">
                  <c:v>463968.96627927746</c:v>
                </c:pt>
                <c:pt idx="10">
                  <c:v>406562.2138286269</c:v>
                </c:pt>
                <c:pt idx="11">
                  <c:v>466738.511664822</c:v>
                </c:pt>
                <c:pt idx="12">
                  <c:v>467254.65772167733</c:v>
                </c:pt>
                <c:pt idx="13">
                  <c:v>467980.72195491393</c:v>
                </c:pt>
                <c:pt idx="14">
                  <c:v>468899.83124394971</c:v>
                </c:pt>
                <c:pt idx="15">
                  <c:v>469996.86470807821</c:v>
                </c:pt>
                <c:pt idx="16">
                  <c:v>471258.27950695733</c:v>
                </c:pt>
                <c:pt idx="17">
                  <c:v>472671.95407722739</c:v>
                </c:pt>
                <c:pt idx="18">
                  <c:v>474227.04706190142</c:v>
                </c:pt>
                <c:pt idx="19">
                  <c:v>107280.75949661828</c:v>
                </c:pt>
                <c:pt idx="20">
                  <c:v>172079.47877541164</c:v>
                </c:pt>
                <c:pt idx="21">
                  <c:v>143469.76736786455</c:v>
                </c:pt>
                <c:pt idx="22">
                  <c:v>145133.37298616848</c:v>
                </c:pt>
                <c:pt idx="23">
                  <c:v>146895.96119823214</c:v>
                </c:pt>
                <c:pt idx="24">
                  <c:v>148752.11059707098</c:v>
                </c:pt>
                <c:pt idx="25">
                  <c:v>69964.952731739977</c:v>
                </c:pt>
                <c:pt idx="26">
                  <c:v>0</c:v>
                </c:pt>
                <c:pt idx="27">
                  <c:v>0</c:v>
                </c:pt>
                <c:pt idx="28">
                  <c:v>0</c:v>
                </c:pt>
                <c:pt idx="29">
                  <c:v>0</c:v>
                </c:pt>
                <c:pt idx="30">
                  <c:v>0</c:v>
                </c:pt>
              </c:numCache>
            </c:numRef>
          </c:val>
          <c:extLst>
            <c:ext xmlns:c16="http://schemas.microsoft.com/office/drawing/2014/chart" uri="{C3380CC4-5D6E-409C-BE32-E72D297353CC}">
              <c16:uniqueId val="{00000000-9691-B940-9B26-CD7E60166CE5}"/>
            </c:ext>
          </c:extLst>
        </c:ser>
        <c:dLbls>
          <c:showLegendKey val="0"/>
          <c:showVal val="0"/>
          <c:showCatName val="0"/>
          <c:showSerName val="0"/>
          <c:showPercent val="0"/>
          <c:showBubbleSize val="0"/>
        </c:dLbls>
        <c:axId val="140103680"/>
        <c:axId val="140107136"/>
      </c:areaChart>
      <c:lineChart>
        <c:grouping val="standard"/>
        <c:varyColors val="0"/>
        <c:ser>
          <c:idx val="0"/>
          <c:order val="0"/>
          <c:tx>
            <c:strRef>
              <c:f>'Annual Cash Flows &amp; Returns'!$R$4</c:f>
              <c:strCache>
                <c:ptCount val="1"/>
                <c:pt idx="0">
                  <c:v>Revenue + Tax Benefit/(Liability)</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Returns'!$R$6:$R$36</c:f>
              <c:numCache>
                <c:formatCode>"$"#,##0_);[Red]\("$"#,##0\)</c:formatCode>
                <c:ptCount val="31"/>
                <c:pt idx="1">
                  <c:v>973201.92675140454</c:v>
                </c:pt>
                <c:pt idx="2">
                  <c:v>988782.28941514064</c:v>
                </c:pt>
                <c:pt idx="3">
                  <c:v>1004577.6810381223</c:v>
                </c:pt>
                <c:pt idx="4">
                  <c:v>1020591.3055518415</c:v>
                </c:pt>
                <c:pt idx="5">
                  <c:v>1036826.4146263708</c:v>
                </c:pt>
                <c:pt idx="6">
                  <c:v>1053286.3083816662</c:v>
                </c:pt>
                <c:pt idx="7">
                  <c:v>1069974.336109471</c:v>
                </c:pt>
                <c:pt idx="8">
                  <c:v>1049108.8824981614</c:v>
                </c:pt>
                <c:pt idx="9">
                  <c:v>1039032.2482529673</c:v>
                </c:pt>
                <c:pt idx="10">
                  <c:v>1057737.2801361119</c:v>
                </c:pt>
                <c:pt idx="11">
                  <c:v>1073144.3259267353</c:v>
                </c:pt>
                <c:pt idx="12">
                  <c:v>891228.74722217547</c:v>
                </c:pt>
                <c:pt idx="13">
                  <c:v>838579.22009762051</c:v>
                </c:pt>
                <c:pt idx="14">
                  <c:v>845257.7502976805</c:v>
                </c:pt>
                <c:pt idx="15">
                  <c:v>839789.79530010116</c:v>
                </c:pt>
                <c:pt idx="16">
                  <c:v>823861.03452365065</c:v>
                </c:pt>
                <c:pt idx="17">
                  <c:v>819857.9548998978</c:v>
                </c:pt>
                <c:pt idx="18">
                  <c:v>825986.08307391929</c:v>
                </c:pt>
                <c:pt idx="19">
                  <c:v>831172.57238640089</c:v>
                </c:pt>
                <c:pt idx="20">
                  <c:v>883212.83525326883</c:v>
                </c:pt>
                <c:pt idx="21">
                  <c:v>285717.32093636884</c:v>
                </c:pt>
                <c:pt idx="22">
                  <c:v>288468.59696161974</c:v>
                </c:pt>
                <c:pt idx="23">
                  <c:v>263125.22733586055</c:v>
                </c:pt>
                <c:pt idx="24">
                  <c:v>268287.61664435238</c:v>
                </c:pt>
                <c:pt idx="25">
                  <c:v>260533.86119925851</c:v>
                </c:pt>
                <c:pt idx="26">
                  <c:v>0</c:v>
                </c:pt>
                <c:pt idx="27">
                  <c:v>0</c:v>
                </c:pt>
                <c:pt idx="28">
                  <c:v>0</c:v>
                </c:pt>
                <c:pt idx="29">
                  <c:v>0</c:v>
                </c:pt>
                <c:pt idx="30">
                  <c:v>0</c:v>
                </c:pt>
              </c:numCache>
            </c:numRef>
          </c:val>
          <c:smooth val="0"/>
          <c:extLst>
            <c:ext xmlns:c16="http://schemas.microsoft.com/office/drawing/2014/chart" uri="{C3380CC4-5D6E-409C-BE32-E72D297353CC}">
              <c16:uniqueId val="{00000001-9691-B940-9B26-CD7E60166CE5}"/>
            </c:ext>
          </c:extLst>
        </c:ser>
        <c:dLbls>
          <c:showLegendKey val="0"/>
          <c:showVal val="0"/>
          <c:showCatName val="0"/>
          <c:showSerName val="0"/>
          <c:showPercent val="0"/>
          <c:showBubbleSize val="0"/>
        </c:dLbls>
        <c:marker val="1"/>
        <c:smooth val="0"/>
        <c:axId val="140103680"/>
        <c:axId val="140107136"/>
      </c:lineChart>
      <c:catAx>
        <c:axId val="140103680"/>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40107136"/>
        <c:crosses val="autoZero"/>
        <c:auto val="1"/>
        <c:lblAlgn val="ctr"/>
        <c:lblOffset val="100"/>
        <c:tickLblSkip val="5"/>
        <c:noMultiLvlLbl val="0"/>
      </c:catAx>
      <c:valAx>
        <c:axId val="140107136"/>
        <c:scaling>
          <c:orientation val="minMax"/>
        </c:scaling>
        <c:delete val="0"/>
        <c:axPos val="l"/>
        <c:title>
          <c:tx>
            <c:rich>
              <a:bodyPr rot="-5400000" vert="horz"/>
              <a:lstStyle/>
              <a:p>
                <a:pPr>
                  <a:defRPr sz="1100" b="1"/>
                </a:pPr>
                <a:r>
                  <a:rPr lang="en-US" sz="1100" b="1"/>
                  <a:t>( $)</a:t>
                </a:r>
              </a:p>
            </c:rich>
          </c:tx>
          <c:overlay val="0"/>
        </c:title>
        <c:numFmt formatCode="&quot;$&quot;#,##0" sourceLinked="0"/>
        <c:majorTickMark val="out"/>
        <c:minorTickMark val="none"/>
        <c:tickLblPos val="nextTo"/>
        <c:crossAx val="140103680"/>
        <c:crosses val="autoZero"/>
        <c:crossBetween val="between"/>
      </c:valAx>
      <c:spPr>
        <a:solidFill>
          <a:srgbClr val="FFFF99"/>
        </a:solidFill>
      </c:spPr>
    </c:plotArea>
    <c:legend>
      <c:legendPos val="r"/>
      <c:overlay val="1"/>
    </c:legend>
    <c:plotVisOnly val="1"/>
    <c:dispBlanksAs val="gap"/>
    <c:showDLblsOverMax val="0"/>
  </c:chart>
  <c:spPr>
    <a:solidFill>
      <a:srgbClr val="FFFF99"/>
    </a:solidFill>
  </c:spPr>
  <c:printSettings>
    <c:headerFooter/>
    <c:pageMargins b="0.75000000000001033" l="0.70000000000000062" r="0.70000000000000062" t="0.750000000000010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83341</xdr:colOff>
      <xdr:row>37</xdr:row>
      <xdr:rowOff>130969</xdr:rowOff>
    </xdr:from>
    <xdr:to>
      <xdr:col>8</xdr:col>
      <xdr:colOff>452437</xdr:colOff>
      <xdr:row>61</xdr:row>
      <xdr:rowOff>35719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535780</xdr:colOff>
      <xdr:row>37</xdr:row>
      <xdr:rowOff>154781</xdr:rowOff>
    </xdr:from>
    <xdr:to>
      <xdr:col>16</xdr:col>
      <xdr:colOff>23813</xdr:colOff>
      <xdr:row>61</xdr:row>
      <xdr:rowOff>71437</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dsireusa.org/" TargetMode="External"/><Relationship Id="rId7" Type="http://schemas.openxmlformats.org/officeDocument/2006/relationships/hyperlink" Target="http://financere.nrel.gov/finance/content/crest-model" TargetMode="External"/><Relationship Id="rId2" Type="http://schemas.openxmlformats.org/officeDocument/2006/relationships/hyperlink" Target="http://www.nrel.gov/docs/fy02osti/31455.pdf" TargetMode="External"/><Relationship Id="rId1" Type="http://schemas.openxmlformats.org/officeDocument/2006/relationships/hyperlink" Target="http://www.pvwatts.org/" TargetMode="External"/><Relationship Id="rId6" Type="http://schemas.openxmlformats.org/officeDocument/2006/relationships/hyperlink" Target="http://financere.nrel.gov/finance/content/crest-model" TargetMode="External"/><Relationship Id="rId5" Type="http://schemas.openxmlformats.org/officeDocument/2006/relationships/hyperlink" Target="http://dsireusa.org/incentives/index.cfm?state=us&amp;re=1&amp;EE=1" TargetMode="External"/><Relationship Id="rId10" Type="http://schemas.openxmlformats.org/officeDocument/2006/relationships/comments" Target="../comments1.xml"/><Relationship Id="rId4" Type="http://schemas.openxmlformats.org/officeDocument/2006/relationships/hyperlink" Target="http://dsireusa.org/incentives/incentive.cfm?Incentive_Code=US02F&amp;re=1&amp;ee=1"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R45"/>
  <sheetViews>
    <sheetView showGridLines="0" zoomScale="80" zoomScaleNormal="80" workbookViewId="0">
      <pane ySplit="4" topLeftCell="A5" activePane="bottomLeft" state="frozen"/>
      <selection pane="bottomLeft" activeCell="C4" sqref="C4"/>
    </sheetView>
  </sheetViews>
  <sheetFormatPr defaultColWidth="9.140625" defaultRowHeight="15.75" x14ac:dyDescent="0.25"/>
  <cols>
    <col min="1" max="1" width="2.7109375" style="133" customWidth="1"/>
    <col min="2" max="2" width="26.85546875" style="133" customWidth="1"/>
    <col min="3" max="3" width="140.140625" style="133" customWidth="1"/>
    <col min="4" max="4" width="16.85546875" style="133" customWidth="1"/>
    <col min="5" max="12" width="9.140625" style="133"/>
    <col min="13" max="14" width="9.42578125" style="133" customWidth="1"/>
    <col min="15" max="15" width="5.28515625" style="133" customWidth="1"/>
    <col min="16" max="16384" width="9.140625" style="133"/>
  </cols>
  <sheetData>
    <row r="1" spans="2:18" ht="9" customHeight="1" thickBot="1" x14ac:dyDescent="0.3"/>
    <row r="2" spans="2:18" ht="30" customHeight="1" x14ac:dyDescent="0.25">
      <c r="B2" s="190" t="s">
        <v>203</v>
      </c>
      <c r="C2" s="191" t="s">
        <v>354</v>
      </c>
      <c r="D2" s="192"/>
      <c r="E2" s="130"/>
      <c r="F2" s="130"/>
      <c r="G2" s="130"/>
      <c r="H2" s="130"/>
      <c r="I2" s="130"/>
      <c r="J2" s="130"/>
      <c r="K2" s="130"/>
      <c r="L2" s="130"/>
      <c r="M2" s="130"/>
      <c r="N2" s="130"/>
      <c r="P2" s="128"/>
      <c r="Q2" s="129"/>
      <c r="R2" s="129"/>
    </row>
    <row r="3" spans="2:18" ht="30" customHeight="1" x14ac:dyDescent="0.25">
      <c r="B3" s="267" t="s">
        <v>222</v>
      </c>
      <c r="C3" s="268" t="s">
        <v>509</v>
      </c>
      <c r="D3" s="269"/>
      <c r="E3" s="130"/>
      <c r="F3" s="130"/>
      <c r="G3" s="130"/>
      <c r="H3" s="130"/>
      <c r="I3" s="130"/>
      <c r="J3" s="130"/>
      <c r="K3" s="130"/>
      <c r="L3" s="130"/>
      <c r="M3" s="130"/>
      <c r="N3" s="130"/>
      <c r="P3" s="128"/>
      <c r="Q3" s="129"/>
      <c r="R3" s="129"/>
    </row>
    <row r="4" spans="2:18" ht="60" customHeight="1" thickBot="1" x14ac:dyDescent="0.3">
      <c r="B4" s="685" t="s">
        <v>511</v>
      </c>
      <c r="C4" s="686" t="s">
        <v>510</v>
      </c>
      <c r="D4" s="269"/>
      <c r="E4" s="130"/>
      <c r="F4" s="130"/>
      <c r="G4" s="130"/>
      <c r="H4" s="130"/>
      <c r="I4" s="130"/>
      <c r="J4" s="130"/>
      <c r="K4" s="130"/>
      <c r="L4" s="130"/>
      <c r="M4" s="130"/>
      <c r="N4" s="130"/>
      <c r="P4" s="128"/>
      <c r="Q4" s="129"/>
      <c r="R4" s="129"/>
    </row>
    <row r="5" spans="2:18" ht="30" customHeight="1" x14ac:dyDescent="0.25">
      <c r="B5" s="606" t="s">
        <v>421</v>
      </c>
      <c r="C5" s="607" t="s">
        <v>420</v>
      </c>
      <c r="D5" s="608"/>
      <c r="E5" s="130"/>
      <c r="F5" s="130"/>
      <c r="G5" s="130"/>
      <c r="H5" s="130"/>
      <c r="I5" s="130"/>
      <c r="J5" s="130"/>
      <c r="K5" s="130"/>
      <c r="L5" s="130"/>
      <c r="M5" s="130"/>
      <c r="N5" s="130"/>
      <c r="P5" s="129"/>
      <c r="Q5" s="129"/>
      <c r="R5" s="129"/>
    </row>
    <row r="6" spans="2:18" ht="60" customHeight="1" x14ac:dyDescent="0.25">
      <c r="B6" s="630" t="s">
        <v>416</v>
      </c>
      <c r="C6" s="197" t="s">
        <v>418</v>
      </c>
      <c r="D6" s="631"/>
      <c r="E6" s="130"/>
      <c r="F6" s="130"/>
      <c r="G6" s="130"/>
      <c r="H6" s="130"/>
      <c r="I6" s="130"/>
      <c r="J6" s="130"/>
      <c r="K6" s="130"/>
      <c r="L6" s="130"/>
      <c r="M6" s="130"/>
      <c r="N6" s="130"/>
      <c r="P6" s="129"/>
      <c r="Q6" s="129"/>
      <c r="R6" s="129"/>
    </row>
    <row r="7" spans="2:18" ht="60" customHeight="1" x14ac:dyDescent="0.25">
      <c r="B7" s="630" t="s">
        <v>417</v>
      </c>
      <c r="C7" s="197" t="s">
        <v>419</v>
      </c>
      <c r="D7" s="631"/>
      <c r="E7" s="130"/>
      <c r="F7" s="130"/>
      <c r="G7" s="130"/>
      <c r="H7" s="130"/>
      <c r="I7" s="130"/>
      <c r="J7" s="130"/>
      <c r="K7" s="130"/>
      <c r="L7" s="130"/>
      <c r="M7" s="130"/>
      <c r="N7" s="130"/>
      <c r="P7" s="129"/>
      <c r="Q7" s="129"/>
      <c r="R7" s="129"/>
    </row>
    <row r="8" spans="2:18" x14ac:dyDescent="0.25">
      <c r="B8" s="193"/>
      <c r="C8" s="194"/>
      <c r="D8" s="195"/>
      <c r="E8" s="131"/>
      <c r="F8" s="131"/>
      <c r="G8" s="131"/>
      <c r="H8" s="131"/>
      <c r="I8" s="131"/>
      <c r="J8" s="131"/>
      <c r="K8" s="131"/>
      <c r="L8" s="131"/>
      <c r="M8" s="131"/>
      <c r="N8" s="131"/>
      <c r="P8" s="129"/>
      <c r="Q8" s="129"/>
      <c r="R8" s="129"/>
    </row>
    <row r="9" spans="2:18" ht="110.25" x14ac:dyDescent="0.25">
      <c r="B9" s="196" t="s">
        <v>204</v>
      </c>
      <c r="C9" s="197" t="s">
        <v>414</v>
      </c>
      <c r="D9" s="198"/>
      <c r="E9" s="132"/>
      <c r="F9" s="132"/>
      <c r="G9" s="132"/>
      <c r="H9" s="132"/>
      <c r="I9" s="132"/>
      <c r="J9" s="132"/>
      <c r="K9" s="132"/>
      <c r="L9" s="132"/>
      <c r="M9" s="132"/>
      <c r="N9" s="132"/>
      <c r="P9" s="128"/>
      <c r="Q9" s="129"/>
      <c r="R9" s="129"/>
    </row>
    <row r="10" spans="2:18" x14ac:dyDescent="0.25">
      <c r="B10" s="196"/>
      <c r="C10" s="628" t="s">
        <v>401</v>
      </c>
      <c r="D10" s="198"/>
      <c r="E10" s="132"/>
      <c r="F10" s="132"/>
      <c r="G10" s="132"/>
      <c r="H10" s="132"/>
      <c r="I10" s="132"/>
      <c r="J10" s="132"/>
      <c r="K10" s="132"/>
      <c r="L10" s="132"/>
      <c r="M10" s="132"/>
      <c r="N10" s="132"/>
      <c r="P10" s="128"/>
      <c r="Q10" s="129"/>
      <c r="R10" s="129"/>
    </row>
    <row r="11" spans="2:18" x14ac:dyDescent="0.25">
      <c r="B11" s="196"/>
      <c r="C11" s="197"/>
      <c r="D11" s="198"/>
      <c r="E11" s="132"/>
      <c r="F11" s="132"/>
      <c r="G11" s="132"/>
      <c r="H11" s="132"/>
      <c r="I11" s="132"/>
      <c r="J11" s="132"/>
      <c r="K11" s="132"/>
      <c r="L11" s="132"/>
      <c r="M11" s="132"/>
      <c r="N11" s="132"/>
      <c r="P11" s="128"/>
      <c r="Q11" s="129"/>
      <c r="R11" s="129"/>
    </row>
    <row r="12" spans="2:18" ht="63" x14ac:dyDescent="0.25">
      <c r="B12" s="202" t="s">
        <v>371</v>
      </c>
      <c r="C12" s="197" t="s">
        <v>403</v>
      </c>
      <c r="D12" s="198"/>
      <c r="E12" s="132"/>
      <c r="F12" s="132"/>
      <c r="G12" s="132"/>
      <c r="H12" s="132"/>
      <c r="I12" s="132"/>
      <c r="J12" s="132"/>
      <c r="K12" s="132"/>
      <c r="L12" s="132"/>
      <c r="M12" s="132"/>
      <c r="N12" s="132"/>
      <c r="P12" s="128"/>
      <c r="Q12" s="129"/>
      <c r="R12" s="129"/>
    </row>
    <row r="13" spans="2:18" x14ac:dyDescent="0.25">
      <c r="B13" s="202"/>
      <c r="C13" s="628" t="s">
        <v>401</v>
      </c>
      <c r="D13" s="198"/>
      <c r="E13" s="132"/>
      <c r="F13" s="132"/>
      <c r="G13" s="132"/>
      <c r="H13" s="132"/>
      <c r="I13" s="132"/>
      <c r="J13" s="132"/>
      <c r="K13" s="132"/>
      <c r="L13" s="132"/>
      <c r="M13" s="132"/>
      <c r="N13" s="132"/>
      <c r="P13" s="128"/>
      <c r="Q13" s="129"/>
      <c r="R13" s="129"/>
    </row>
    <row r="14" spans="2:18" x14ac:dyDescent="0.25">
      <c r="B14" s="202"/>
      <c r="C14" s="197" t="s">
        <v>402</v>
      </c>
      <c r="D14" s="198"/>
      <c r="E14" s="132"/>
      <c r="F14" s="132"/>
      <c r="G14" s="132"/>
      <c r="H14" s="132"/>
      <c r="I14" s="132"/>
      <c r="J14" s="132"/>
      <c r="K14" s="132"/>
      <c r="L14" s="132"/>
      <c r="M14" s="132"/>
      <c r="N14" s="132"/>
      <c r="P14" s="128"/>
      <c r="Q14" s="129"/>
      <c r="R14" s="129"/>
    </row>
    <row r="15" spans="2:18" x14ac:dyDescent="0.25">
      <c r="B15" s="199"/>
      <c r="C15" s="200"/>
      <c r="D15" s="201"/>
      <c r="P15" s="129"/>
      <c r="Q15" s="129"/>
      <c r="R15" s="129"/>
    </row>
    <row r="16" spans="2:18" ht="94.5" x14ac:dyDescent="0.25">
      <c r="B16" s="202" t="s">
        <v>214</v>
      </c>
      <c r="C16" s="266" t="s">
        <v>385</v>
      </c>
      <c r="D16" s="204"/>
      <c r="E16" s="134"/>
      <c r="F16" s="134"/>
      <c r="G16" s="134"/>
      <c r="H16" s="134"/>
      <c r="I16" s="134"/>
      <c r="J16" s="134"/>
      <c r="K16" s="134"/>
      <c r="L16" s="134"/>
      <c r="M16" s="134"/>
      <c r="N16" s="134"/>
      <c r="P16" s="129"/>
      <c r="Q16" s="129"/>
      <c r="R16" s="129"/>
    </row>
    <row r="17" spans="2:18" x14ac:dyDescent="0.25">
      <c r="B17" s="202"/>
      <c r="C17" s="203"/>
      <c r="D17" s="473" t="s">
        <v>372</v>
      </c>
      <c r="E17" s="134"/>
      <c r="F17" s="134"/>
      <c r="G17" s="134"/>
      <c r="H17" s="134"/>
      <c r="I17" s="134"/>
      <c r="J17" s="134"/>
      <c r="K17" s="134"/>
      <c r="L17" s="134"/>
      <c r="M17" s="134"/>
      <c r="N17" s="134"/>
      <c r="P17" s="129"/>
      <c r="Q17" s="129"/>
      <c r="R17" s="129"/>
    </row>
    <row r="18" spans="2:18" ht="31.5" x14ac:dyDescent="0.25">
      <c r="B18" s="202" t="s">
        <v>223</v>
      </c>
      <c r="C18" s="197" t="s">
        <v>343</v>
      </c>
      <c r="D18" s="474" t="s">
        <v>373</v>
      </c>
      <c r="E18" s="134"/>
      <c r="F18" s="134"/>
      <c r="G18" s="134"/>
      <c r="H18" s="134"/>
      <c r="I18" s="134"/>
      <c r="J18" s="134"/>
      <c r="K18" s="134"/>
      <c r="L18" s="134"/>
      <c r="M18" s="134"/>
      <c r="N18" s="134"/>
      <c r="P18" s="129"/>
      <c r="Q18" s="129"/>
      <c r="R18" s="129"/>
    </row>
    <row r="19" spans="2:18" ht="30" customHeight="1" x14ac:dyDescent="0.25">
      <c r="B19" s="202"/>
      <c r="C19" s="270" t="s">
        <v>215</v>
      </c>
      <c r="D19" s="475" t="s">
        <v>374</v>
      </c>
      <c r="P19" s="129"/>
      <c r="Q19" s="129"/>
      <c r="R19" s="129"/>
    </row>
    <row r="20" spans="2:18" ht="30" customHeight="1" x14ac:dyDescent="0.25">
      <c r="B20" s="202"/>
      <c r="C20" s="271" t="s">
        <v>224</v>
      </c>
      <c r="D20" s="476"/>
      <c r="E20" s="134"/>
      <c r="F20" s="134"/>
      <c r="G20" s="134"/>
      <c r="H20" s="134"/>
      <c r="I20" s="134"/>
      <c r="J20" s="134"/>
      <c r="K20" s="134"/>
      <c r="L20" s="134"/>
      <c r="M20" s="134"/>
      <c r="N20" s="134"/>
      <c r="P20" s="128"/>
      <c r="Q20" s="129"/>
      <c r="R20" s="129"/>
    </row>
    <row r="21" spans="2:18" ht="30" customHeight="1" x14ac:dyDescent="0.25">
      <c r="B21" s="202"/>
      <c r="C21" s="271" t="s">
        <v>344</v>
      </c>
      <c r="D21" s="477"/>
      <c r="E21" s="134"/>
      <c r="F21" s="134"/>
      <c r="G21" s="134"/>
      <c r="H21" s="134"/>
      <c r="I21" s="134"/>
      <c r="J21" s="134"/>
      <c r="K21" s="134"/>
      <c r="L21" s="134"/>
      <c r="M21" s="134"/>
      <c r="N21" s="134"/>
      <c r="P21" s="129"/>
      <c r="Q21" s="129"/>
      <c r="R21" s="129"/>
    </row>
    <row r="22" spans="2:18" ht="30" customHeight="1" x14ac:dyDescent="0.25">
      <c r="B22" s="202"/>
      <c r="C22" s="270" t="s">
        <v>345</v>
      </c>
      <c r="D22" s="478" t="s">
        <v>375</v>
      </c>
    </row>
    <row r="23" spans="2:18" ht="47.25" x14ac:dyDescent="0.25">
      <c r="B23" s="202"/>
      <c r="C23" s="271" t="s">
        <v>346</v>
      </c>
      <c r="D23" s="479" t="s">
        <v>8</v>
      </c>
      <c r="E23" s="134"/>
      <c r="F23" s="134"/>
      <c r="G23" s="134"/>
      <c r="H23" s="134"/>
      <c r="I23" s="134"/>
      <c r="J23" s="134"/>
      <c r="K23" s="134"/>
      <c r="L23" s="134"/>
      <c r="M23" s="134"/>
      <c r="N23" s="134"/>
    </row>
    <row r="24" spans="2:18" ht="15" customHeight="1" x14ac:dyDescent="0.25">
      <c r="B24" s="202"/>
      <c r="C24" s="205"/>
      <c r="D24" s="204"/>
      <c r="E24" s="134"/>
      <c r="F24" s="134"/>
      <c r="G24" s="134"/>
      <c r="H24" s="134"/>
      <c r="I24" s="134"/>
      <c r="J24" s="134"/>
      <c r="K24" s="134"/>
      <c r="L24" s="134"/>
      <c r="M24" s="134"/>
      <c r="N24" s="134"/>
    </row>
    <row r="25" spans="2:18" ht="157.5" x14ac:dyDescent="0.25">
      <c r="B25" s="202" t="s">
        <v>290</v>
      </c>
      <c r="C25" s="203" t="s">
        <v>376</v>
      </c>
      <c r="D25" s="204"/>
      <c r="E25" s="134"/>
      <c r="F25" s="134"/>
      <c r="G25" s="134"/>
      <c r="H25" s="134"/>
      <c r="I25" s="134"/>
      <c r="J25" s="134"/>
      <c r="K25" s="134"/>
      <c r="L25" s="134"/>
      <c r="M25" s="134"/>
      <c r="N25" s="134"/>
    </row>
    <row r="26" spans="2:18" x14ac:dyDescent="0.25">
      <c r="B26" s="202"/>
      <c r="C26" s="203"/>
      <c r="D26" s="204"/>
      <c r="E26" s="134"/>
      <c r="F26" s="134"/>
      <c r="G26" s="134"/>
      <c r="H26" s="134"/>
      <c r="I26" s="134"/>
      <c r="J26" s="134"/>
      <c r="K26" s="134"/>
      <c r="L26" s="134"/>
      <c r="M26" s="134"/>
      <c r="N26" s="134"/>
    </row>
    <row r="27" spans="2:18" ht="78.75" x14ac:dyDescent="0.25">
      <c r="B27" s="202" t="s">
        <v>291</v>
      </c>
      <c r="C27" s="266" t="s">
        <v>347</v>
      </c>
      <c r="D27" s="206"/>
      <c r="E27" s="135"/>
      <c r="F27" s="135"/>
      <c r="G27" s="135"/>
      <c r="H27" s="135"/>
      <c r="I27" s="135"/>
      <c r="J27" s="135"/>
      <c r="K27" s="135"/>
      <c r="L27" s="135"/>
      <c r="M27" s="135"/>
      <c r="N27" s="135"/>
    </row>
    <row r="28" spans="2:18" x14ac:dyDescent="0.25">
      <c r="B28" s="199"/>
      <c r="C28" s="200"/>
      <c r="D28" s="201"/>
    </row>
    <row r="29" spans="2:18" ht="107.25" customHeight="1" x14ac:dyDescent="0.25">
      <c r="B29" s="604" t="s">
        <v>386</v>
      </c>
      <c r="C29" s="271" t="s">
        <v>387</v>
      </c>
      <c r="D29" s="201"/>
    </row>
    <row r="30" spans="2:18" x14ac:dyDescent="0.25">
      <c r="B30" s="199" t="s">
        <v>388</v>
      </c>
      <c r="C30" s="605" t="s">
        <v>389</v>
      </c>
      <c r="D30" s="201"/>
    </row>
    <row r="31" spans="2:18" x14ac:dyDescent="0.25">
      <c r="B31" s="199" t="s">
        <v>397</v>
      </c>
      <c r="C31" s="610" t="s">
        <v>393</v>
      </c>
      <c r="D31" s="201"/>
    </row>
    <row r="32" spans="2:18" x14ac:dyDescent="0.25">
      <c r="B32" s="199" t="s">
        <v>394</v>
      </c>
      <c r="C32" s="610" t="s">
        <v>390</v>
      </c>
      <c r="D32" s="201"/>
    </row>
    <row r="33" spans="2:4" x14ac:dyDescent="0.25">
      <c r="B33" s="199" t="s">
        <v>395</v>
      </c>
      <c r="C33" s="610" t="s">
        <v>391</v>
      </c>
      <c r="D33" s="201"/>
    </row>
    <row r="34" spans="2:4" x14ac:dyDescent="0.25">
      <c r="B34" s="199" t="s">
        <v>396</v>
      </c>
      <c r="C34" s="610" t="s">
        <v>392</v>
      </c>
      <c r="D34" s="201"/>
    </row>
    <row r="35" spans="2:4" x14ac:dyDescent="0.25">
      <c r="B35" s="199"/>
      <c r="C35" s="200"/>
      <c r="D35" s="201"/>
    </row>
    <row r="36" spans="2:4" ht="78.75" x14ac:dyDescent="0.25">
      <c r="B36" s="202" t="s">
        <v>404</v>
      </c>
      <c r="C36" s="203" t="s">
        <v>413</v>
      </c>
      <c r="D36" s="201"/>
    </row>
    <row r="37" spans="2:4" x14ac:dyDescent="0.25">
      <c r="B37" s="202"/>
      <c r="C37" s="629" t="s">
        <v>405</v>
      </c>
      <c r="D37" s="201"/>
    </row>
    <row r="38" spans="2:4" x14ac:dyDescent="0.25">
      <c r="B38" s="202"/>
      <c r="C38" s="629" t="s">
        <v>406</v>
      </c>
      <c r="D38" s="201"/>
    </row>
    <row r="39" spans="2:4" x14ac:dyDescent="0.25">
      <c r="B39" s="202"/>
      <c r="C39" s="629" t="s">
        <v>407</v>
      </c>
      <c r="D39" s="201"/>
    </row>
    <row r="40" spans="2:4" x14ac:dyDescent="0.25">
      <c r="B40" s="202"/>
      <c r="C40" s="629" t="s">
        <v>408</v>
      </c>
      <c r="D40" s="201"/>
    </row>
    <row r="41" spans="2:4" x14ac:dyDescent="0.25">
      <c r="B41" s="202"/>
      <c r="C41" s="629" t="s">
        <v>409</v>
      </c>
      <c r="D41" s="201"/>
    </row>
    <row r="42" spans="2:4" x14ac:dyDescent="0.25">
      <c r="B42" s="202"/>
      <c r="C42" s="629" t="s">
        <v>410</v>
      </c>
      <c r="D42" s="201"/>
    </row>
    <row r="43" spans="2:4" x14ac:dyDescent="0.25">
      <c r="B43" s="202"/>
      <c r="C43" s="629" t="s">
        <v>411</v>
      </c>
      <c r="D43" s="201"/>
    </row>
    <row r="44" spans="2:4" x14ac:dyDescent="0.25">
      <c r="B44" s="202"/>
      <c r="C44" s="629" t="s">
        <v>412</v>
      </c>
      <c r="D44" s="201"/>
    </row>
    <row r="45" spans="2:4" ht="16.5" thickBot="1" x14ac:dyDescent="0.3">
      <c r="B45" s="207"/>
      <c r="C45" s="208"/>
      <c r="D45" s="209"/>
    </row>
  </sheetData>
  <sheetProtection password="8895" sheet="1" objects="1" scenarios="1"/>
  <hyperlinks>
    <hyperlink ref="C30" r:id="rId1" xr:uid="{00000000-0004-0000-0000-000000000000}"/>
    <hyperlink ref="C31" r:id="rId2" xr:uid="{00000000-0004-0000-0000-000001000000}"/>
    <hyperlink ref="C32" r:id="rId3" xr:uid="{00000000-0004-0000-0000-000002000000}"/>
    <hyperlink ref="C33" r:id="rId4" xr:uid="{00000000-0004-0000-0000-000003000000}"/>
    <hyperlink ref="C34" r:id="rId5" xr:uid="{00000000-0004-0000-0000-000004000000}"/>
    <hyperlink ref="C10" r:id="rId6" xr:uid="{00000000-0004-0000-0000-000005000000}"/>
    <hyperlink ref="C13" r:id="rId7" xr:uid="{00000000-0004-0000-0000-000006000000}"/>
  </hyperlinks>
  <pageMargins left="0.7" right="0.7" top="0.75" bottom="0.75" header="0.3" footer="0.3"/>
  <pageSetup scale="54" orientation="portrait" horizontalDpi="4294967293" verticalDpi="0"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F104"/>
  <sheetViews>
    <sheetView showGridLines="0" zoomScale="70" zoomScaleNormal="70" workbookViewId="0">
      <pane ySplit="4" topLeftCell="A51" activePane="bottomLeft" state="frozen"/>
      <selection pane="bottomLeft" activeCell="Q30" sqref="Q30"/>
    </sheetView>
  </sheetViews>
  <sheetFormatPr defaultColWidth="9.140625" defaultRowHeight="15" x14ac:dyDescent="0.2"/>
  <cols>
    <col min="1" max="1" width="1.7109375" style="1" customWidth="1"/>
    <col min="2" max="2" width="1" style="1" customWidth="1"/>
    <col min="3" max="3" width="7.7109375" style="1" customWidth="1"/>
    <col min="4" max="4" width="1" style="1" customWidth="1"/>
    <col min="5" max="5" width="54" style="1" customWidth="1"/>
    <col min="6" max="6" width="13.42578125" style="1" customWidth="1"/>
    <col min="7" max="7" width="19.140625" style="1" bestFit="1" customWidth="1"/>
    <col min="8" max="8" width="0.85546875" style="1" customWidth="1"/>
    <col min="9" max="9" width="6.7109375" style="1" customWidth="1"/>
    <col min="10" max="11" width="1.85546875" style="1" customWidth="1"/>
    <col min="12" max="12" width="1.140625" style="1" customWidth="1"/>
    <col min="13" max="13" width="7.7109375" style="1" customWidth="1"/>
    <col min="14" max="14" width="1" style="1" customWidth="1"/>
    <col min="15" max="15" width="55.42578125" style="1" customWidth="1"/>
    <col min="16" max="16" width="19" style="1" customWidth="1"/>
    <col min="17" max="17" width="24.28515625" style="1" customWidth="1"/>
    <col min="18" max="18" width="0.85546875" style="1" customWidth="1"/>
    <col min="19" max="19" width="6.85546875" style="1" customWidth="1"/>
    <col min="20" max="20" width="11.140625" style="1" customWidth="1"/>
    <col min="21" max="26" width="19.140625" style="1" customWidth="1"/>
    <col min="27" max="27" width="0.85546875" style="1" customWidth="1"/>
    <col min="28" max="29" width="9.140625" style="1"/>
    <col min="30" max="30" width="19.140625" style="1" bestFit="1" customWidth="1"/>
    <col min="31" max="31" width="12.85546875" style="1" bestFit="1" customWidth="1"/>
    <col min="32" max="16384" width="9.140625" style="1"/>
  </cols>
  <sheetData>
    <row r="1" spans="2:32" ht="7.5" customHeight="1" thickBot="1" x14ac:dyDescent="0.25">
      <c r="B1" s="39"/>
    </row>
    <row r="2" spans="2:32" s="286" customFormat="1" ht="30" customHeight="1" thickBot="1" x14ac:dyDescent="0.3">
      <c r="B2" s="617"/>
      <c r="C2" s="693" t="s">
        <v>267</v>
      </c>
      <c r="D2" s="693"/>
      <c r="E2" s="693"/>
      <c r="F2" s="693"/>
      <c r="G2" s="693"/>
      <c r="H2" s="693"/>
      <c r="I2" s="693"/>
      <c r="J2" s="693"/>
      <c r="K2" s="693"/>
      <c r="L2" s="693"/>
      <c r="M2" s="693"/>
      <c r="N2" s="693"/>
      <c r="O2" s="693"/>
      <c r="P2" s="693"/>
      <c r="Q2" s="693"/>
      <c r="R2" s="693"/>
      <c r="S2" s="693"/>
      <c r="T2" s="693"/>
      <c r="U2" s="362"/>
      <c r="V2" s="363"/>
      <c r="W2" s="363"/>
      <c r="X2" s="363"/>
      <c r="Y2" s="363"/>
      <c r="Z2" s="363"/>
      <c r="AA2" s="363"/>
      <c r="AB2" s="364"/>
      <c r="AD2" s="712" t="s">
        <v>491</v>
      </c>
      <c r="AE2" s="713"/>
    </row>
    <row r="3" spans="2:32" ht="18.75" customHeight="1" x14ac:dyDescent="0.25">
      <c r="B3" s="439"/>
      <c r="C3" s="300"/>
      <c r="D3" s="300"/>
      <c r="E3" s="300"/>
      <c r="F3" s="300"/>
      <c r="G3" s="300"/>
      <c r="H3" s="300"/>
      <c r="I3" s="300"/>
      <c r="J3" s="657"/>
      <c r="K3" s="655"/>
      <c r="L3" s="616"/>
      <c r="M3" s="14"/>
      <c r="N3" s="14"/>
      <c r="O3" s="14"/>
      <c r="P3" s="14"/>
      <c r="Q3" s="14"/>
      <c r="R3" s="14"/>
      <c r="S3" s="14"/>
      <c r="T3" s="14"/>
      <c r="U3" s="300"/>
      <c r="V3" s="301"/>
      <c r="W3" s="301"/>
      <c r="X3" s="301"/>
      <c r="Y3" s="301"/>
      <c r="Z3" s="301"/>
      <c r="AA3" s="301"/>
      <c r="AB3" s="329"/>
      <c r="AD3" s="714"/>
      <c r="AE3" s="715"/>
    </row>
    <row r="4" spans="2:32" ht="32.25" thickBot="1" x14ac:dyDescent="0.3">
      <c r="B4" s="11"/>
      <c r="C4" s="438" t="s">
        <v>21</v>
      </c>
      <c r="D4" s="14"/>
      <c r="F4" s="15"/>
      <c r="H4" s="424"/>
      <c r="I4" s="465" t="s">
        <v>20</v>
      </c>
      <c r="J4" s="285"/>
      <c r="K4" s="656"/>
      <c r="L4" s="330"/>
      <c r="M4" s="438" t="s">
        <v>21</v>
      </c>
      <c r="N4" s="15"/>
      <c r="O4" s="692" t="s">
        <v>15</v>
      </c>
      <c r="P4" s="692"/>
      <c r="Q4" s="449"/>
      <c r="R4" s="339"/>
      <c r="S4" s="450" t="s">
        <v>20</v>
      </c>
      <c r="T4" s="425"/>
      <c r="U4" s="14"/>
      <c r="AB4" s="285"/>
      <c r="AD4" s="640" t="s">
        <v>473</v>
      </c>
      <c r="AE4" s="665" t="s">
        <v>474</v>
      </c>
    </row>
    <row r="5" spans="2:32" ht="30" customHeight="1" thickBot="1" x14ac:dyDescent="0.3">
      <c r="B5" s="439"/>
      <c r="C5" s="442"/>
      <c r="D5" s="301"/>
      <c r="E5" s="83" t="s">
        <v>16</v>
      </c>
      <c r="F5" s="16"/>
      <c r="G5" s="66" t="s">
        <v>14</v>
      </c>
      <c r="H5" s="443"/>
      <c r="I5" s="466" t="s">
        <v>8</v>
      </c>
      <c r="J5" s="444"/>
      <c r="L5" s="439"/>
      <c r="M5" s="301"/>
      <c r="N5" s="301"/>
      <c r="O5" s="440" t="s">
        <v>14</v>
      </c>
      <c r="P5" s="440" t="s">
        <v>163</v>
      </c>
      <c r="Q5" s="301"/>
      <c r="R5" s="441"/>
      <c r="S5" s="301"/>
      <c r="T5" s="441"/>
      <c r="U5" s="441"/>
      <c r="V5" s="301"/>
      <c r="W5" s="301"/>
      <c r="X5" s="301"/>
      <c r="Y5" s="301"/>
      <c r="Z5" s="301"/>
      <c r="AA5" s="301"/>
      <c r="AB5" s="329"/>
      <c r="AD5" s="637" t="s">
        <v>506</v>
      </c>
      <c r="AE5" s="642">
        <v>9.0377305263157889E-2</v>
      </c>
      <c r="AF5" s="676"/>
    </row>
    <row r="6" spans="2:32" ht="18.75" thickBot="1" x14ac:dyDescent="0.3">
      <c r="B6" s="11"/>
      <c r="E6" s="20"/>
      <c r="F6" s="16"/>
      <c r="G6" s="19"/>
      <c r="H6" s="124"/>
      <c r="I6" s="17"/>
      <c r="J6" s="445"/>
      <c r="K6" s="15"/>
      <c r="L6" s="11"/>
      <c r="AB6" s="285"/>
      <c r="AD6" s="637" t="s">
        <v>424</v>
      </c>
      <c r="AE6" s="643">
        <v>0.15122328571428573</v>
      </c>
      <c r="AF6" s="676"/>
    </row>
    <row r="7" spans="2:32" ht="16.5" thickBot="1" x14ac:dyDescent="0.3">
      <c r="B7" s="11"/>
      <c r="E7" s="2" t="s">
        <v>17</v>
      </c>
      <c r="F7" s="380" t="s">
        <v>313</v>
      </c>
      <c r="G7" s="457" t="s">
        <v>351</v>
      </c>
      <c r="H7" s="56"/>
      <c r="I7" s="17"/>
      <c r="J7" s="446"/>
      <c r="K7" s="15"/>
      <c r="L7" s="11"/>
      <c r="O7" s="2" t="s">
        <v>399</v>
      </c>
      <c r="P7" s="380" t="s">
        <v>313</v>
      </c>
      <c r="Q7" s="457" t="s">
        <v>351</v>
      </c>
      <c r="AB7" s="285"/>
      <c r="AD7" s="637" t="s">
        <v>426</v>
      </c>
      <c r="AE7" s="643">
        <v>0.15075472222222225</v>
      </c>
      <c r="AF7" s="676"/>
    </row>
    <row r="8" spans="2:32" ht="15.75" x14ac:dyDescent="0.25">
      <c r="B8" s="11"/>
      <c r="E8" s="481" t="s">
        <v>31</v>
      </c>
      <c r="F8" s="7" t="str">
        <f>IF($G$5="Photovoltaic","kW dc","kW ac")</f>
        <v>kW dc</v>
      </c>
      <c r="G8" s="483">
        <v>2200</v>
      </c>
      <c r="H8" s="303"/>
      <c r="I8" s="12" t="s">
        <v>8</v>
      </c>
      <c r="J8" s="447"/>
      <c r="K8" s="15"/>
      <c r="L8" s="11"/>
      <c r="M8" s="403"/>
      <c r="N8" s="1">
        <f>IF(OR(Q8&lt;=0,Q8&gt;G15),1,0)</f>
        <v>0</v>
      </c>
      <c r="O8" s="481" t="s">
        <v>482</v>
      </c>
      <c r="P8" s="482" t="s">
        <v>4</v>
      </c>
      <c r="Q8" s="519">
        <v>20</v>
      </c>
      <c r="R8" s="306"/>
      <c r="S8" s="12" t="s">
        <v>8</v>
      </c>
      <c r="T8" s="375"/>
      <c r="AB8" s="285"/>
      <c r="AD8" s="637" t="s">
        <v>425</v>
      </c>
      <c r="AE8" s="643">
        <v>0.19350838888888891</v>
      </c>
      <c r="AF8" s="676"/>
    </row>
    <row r="9" spans="2:32" ht="15.75" x14ac:dyDescent="0.25">
      <c r="B9" s="11"/>
      <c r="C9" s="401"/>
      <c r="E9" s="663" t="s">
        <v>498</v>
      </c>
      <c r="F9" s="636"/>
      <c r="G9" s="664" t="s">
        <v>422</v>
      </c>
      <c r="I9" s="12" t="s">
        <v>8</v>
      </c>
      <c r="J9" s="285"/>
      <c r="K9" s="15"/>
      <c r="L9" s="11"/>
      <c r="M9" s="352"/>
      <c r="O9" s="484" t="s">
        <v>227</v>
      </c>
      <c r="P9" s="7" t="s">
        <v>1</v>
      </c>
      <c r="Q9" s="485">
        <v>1</v>
      </c>
      <c r="R9" s="304"/>
      <c r="S9" s="12" t="s">
        <v>8</v>
      </c>
      <c r="T9" s="375"/>
      <c r="AB9" s="285"/>
      <c r="AD9" s="637" t="s">
        <v>427</v>
      </c>
      <c r="AE9" s="643">
        <v>0.18045645833333335</v>
      </c>
      <c r="AF9" s="676"/>
    </row>
    <row r="10" spans="2:32" ht="16.5" thickBot="1" x14ac:dyDescent="0.3">
      <c r="B10" s="11"/>
      <c r="C10" s="654"/>
      <c r="E10" s="663" t="s">
        <v>423</v>
      </c>
      <c r="F10" s="639"/>
      <c r="G10" s="664" t="s">
        <v>427</v>
      </c>
      <c r="I10" s="12" t="s">
        <v>8</v>
      </c>
      <c r="J10" s="285"/>
      <c r="K10" s="15"/>
      <c r="L10" s="11"/>
      <c r="M10" s="351"/>
      <c r="O10" s="549" t="s">
        <v>400</v>
      </c>
      <c r="P10" s="491" t="s">
        <v>1</v>
      </c>
      <c r="Q10" s="550">
        <v>0.02</v>
      </c>
      <c r="R10" s="304"/>
      <c r="S10" s="12" t="s">
        <v>8</v>
      </c>
      <c r="T10" s="375"/>
      <c r="U10" s="15"/>
      <c r="AB10" s="285"/>
      <c r="AD10" s="637" t="s">
        <v>428</v>
      </c>
      <c r="AE10" s="643">
        <v>0.17701791999999997</v>
      </c>
      <c r="AF10" s="676"/>
    </row>
    <row r="11" spans="2:32" ht="16.5" thickBot="1" x14ac:dyDescent="0.3">
      <c r="B11" s="11"/>
      <c r="C11" s="654"/>
      <c r="E11" s="484" t="s">
        <v>472</v>
      </c>
      <c r="F11" s="7" t="str">
        <f>IF($G$5="Photovoltaic","% dc","% ac")</f>
        <v>% dc</v>
      </c>
      <c r="G11" s="485">
        <v>0.15</v>
      </c>
      <c r="I11" s="12" t="s">
        <v>8</v>
      </c>
      <c r="J11" s="285"/>
      <c r="K11" s="15"/>
      <c r="L11" s="330"/>
      <c r="M11" s="15"/>
      <c r="N11" s="15"/>
      <c r="O11" s="15"/>
      <c r="P11" s="15"/>
      <c r="Q11" s="15"/>
      <c r="R11" s="15"/>
      <c r="S11" s="15"/>
      <c r="T11" s="15"/>
      <c r="U11" s="136"/>
      <c r="V11" s="136"/>
      <c r="W11" s="136"/>
      <c r="X11" s="136"/>
      <c r="Y11" s="136"/>
      <c r="Z11" s="136"/>
      <c r="AB11" s="285"/>
      <c r="AD11" s="637" t="s">
        <v>429</v>
      </c>
      <c r="AE11" s="643">
        <v>0.13725642857142858</v>
      </c>
      <c r="AF11" s="676"/>
    </row>
    <row r="12" spans="2:32" ht="16.5" thickBot="1" x14ac:dyDescent="0.3">
      <c r="B12" s="11"/>
      <c r="C12" s="402"/>
      <c r="D12" s="1">
        <f>IF(OR(G12&lt;=0,G12&gt;1),1,0)</f>
        <v>0</v>
      </c>
      <c r="E12" s="484" t="s">
        <v>293</v>
      </c>
      <c r="F12" s="7"/>
      <c r="G12" s="675">
        <f>IF($G$9="Custom",$G$11,IF($G$5=$O$5,INDEX($AD$5:$AE$55,MATCH($G$10,$AD$5:$AD$55,0),2),"use Custom CF for solar thermal"))</f>
        <v>0.18045645833333335</v>
      </c>
      <c r="H12" s="304"/>
      <c r="I12" s="12" t="s">
        <v>8</v>
      </c>
      <c r="J12" s="447"/>
      <c r="K12" s="15"/>
      <c r="L12" s="330"/>
      <c r="O12" s="2" t="s">
        <v>415</v>
      </c>
      <c r="P12" s="3"/>
      <c r="Q12" s="4"/>
      <c r="R12" s="15"/>
      <c r="S12" s="12" t="s">
        <v>8</v>
      </c>
      <c r="T12" s="136"/>
      <c r="U12" s="211"/>
      <c r="V12" s="211"/>
      <c r="W12" s="211"/>
      <c r="X12" s="211"/>
      <c r="Y12" s="211"/>
      <c r="Z12" s="211"/>
      <c r="AB12" s="285"/>
      <c r="AD12" s="637" t="s">
        <v>430</v>
      </c>
      <c r="AE12" s="643">
        <v>0.14515900000000001</v>
      </c>
      <c r="AF12" s="676"/>
    </row>
    <row r="13" spans="2:32" ht="15.75" x14ac:dyDescent="0.25">
      <c r="B13" s="11"/>
      <c r="C13" s="317"/>
      <c r="E13" s="484" t="s">
        <v>301</v>
      </c>
      <c r="F13" s="8" t="s">
        <v>2</v>
      </c>
      <c r="G13" s="488">
        <f>G8*G12*8760</f>
        <v>3477756.8650000002</v>
      </c>
      <c r="H13" s="305"/>
      <c r="I13" s="12" t="s">
        <v>8</v>
      </c>
      <c r="J13" s="447"/>
      <c r="K13" s="15"/>
      <c r="L13" s="330"/>
      <c r="M13" s="401"/>
      <c r="O13" s="551" t="s">
        <v>277</v>
      </c>
      <c r="P13" s="552"/>
      <c r="Q13" s="553" t="s">
        <v>338</v>
      </c>
      <c r="S13" s="378" t="s">
        <v>8</v>
      </c>
      <c r="T13" s="379">
        <f>IF(Q8&lt;G15,1,0)</f>
        <v>1</v>
      </c>
      <c r="Y13" s="136"/>
      <c r="Z13" s="136"/>
      <c r="AB13" s="285"/>
      <c r="AD13" s="637" t="s">
        <v>431</v>
      </c>
      <c r="AE13" s="643">
        <v>0.15991028571428573</v>
      </c>
      <c r="AF13" s="676"/>
    </row>
    <row r="14" spans="2:32" ht="15.75" x14ac:dyDescent="0.25">
      <c r="B14" s="11"/>
      <c r="C14" s="401"/>
      <c r="D14" s="1">
        <f>IF(OR(G14&lt;0,G14&gt;1),1,0)</f>
        <v>0</v>
      </c>
      <c r="E14" s="489" t="s">
        <v>226</v>
      </c>
      <c r="F14" s="7" t="s">
        <v>1</v>
      </c>
      <c r="G14" s="485">
        <v>5.0000000000000001E-3</v>
      </c>
      <c r="H14" s="304"/>
      <c r="I14" s="12" t="s">
        <v>8</v>
      </c>
      <c r="J14" s="447"/>
      <c r="K14" s="15"/>
      <c r="L14" s="330"/>
      <c r="M14" s="401"/>
      <c r="N14" s="1">
        <f>IF(OR(Q14&lt;=0,Q14=""),1,0)</f>
        <v>0</v>
      </c>
      <c r="O14" s="554" t="s">
        <v>240</v>
      </c>
      <c r="P14" s="376" t="s">
        <v>56</v>
      </c>
      <c r="Q14" s="555">
        <v>5</v>
      </c>
      <c r="S14" s="378" t="s">
        <v>8</v>
      </c>
      <c r="T14" s="379">
        <f>IF(AND($Q$8&lt;$G$15,$Q$13="Year One"),1,0)</f>
        <v>1</v>
      </c>
      <c r="Y14" s="136"/>
      <c r="Z14" s="136"/>
      <c r="AB14" s="285"/>
      <c r="AD14" s="637" t="s">
        <v>432</v>
      </c>
      <c r="AE14" s="643">
        <v>0.15345157894736841</v>
      </c>
      <c r="AF14" s="676"/>
    </row>
    <row r="15" spans="2:32" ht="16.5" thickBot="1" x14ac:dyDescent="0.3">
      <c r="B15" s="11"/>
      <c r="C15" s="403"/>
      <c r="D15" s="1">
        <f>IF(OR(G15&lt;1,G15&gt;30),1,0)</f>
        <v>0</v>
      </c>
      <c r="E15" s="490" t="s">
        <v>239</v>
      </c>
      <c r="F15" s="491" t="s">
        <v>4</v>
      </c>
      <c r="G15" s="492">
        <v>25</v>
      </c>
      <c r="H15" s="306"/>
      <c r="I15" s="12" t="s">
        <v>8</v>
      </c>
      <c r="J15" s="447"/>
      <c r="K15" s="15"/>
      <c r="L15" s="330"/>
      <c r="M15" s="401"/>
      <c r="N15" s="1">
        <f>IF(OR(Q15&lt;=0,Q15=""),1,0)</f>
        <v>0</v>
      </c>
      <c r="O15" s="556" t="s">
        <v>241</v>
      </c>
      <c r="P15" s="377" t="s">
        <v>1</v>
      </c>
      <c r="Q15" s="557">
        <v>0.03</v>
      </c>
      <c r="S15" s="400" t="s">
        <v>8</v>
      </c>
      <c r="T15" s="379">
        <f>IF(AND($Q$8&lt;$G$15,$Q$13="Year One"),1,0)</f>
        <v>1</v>
      </c>
      <c r="Y15" s="136"/>
      <c r="Z15" s="136"/>
      <c r="AB15" s="285"/>
      <c r="AD15" s="637" t="s">
        <v>507</v>
      </c>
      <c r="AE15" s="643">
        <v>0.16900110000000002</v>
      </c>
      <c r="AF15" s="676"/>
    </row>
    <row r="16" spans="2:32" ht="16.5" thickBot="1" x14ac:dyDescent="0.3">
      <c r="B16" s="11"/>
      <c r="G16" s="17"/>
      <c r="H16" s="17"/>
      <c r="I16" s="13"/>
      <c r="J16" s="447"/>
      <c r="K16" s="15"/>
      <c r="L16" s="330"/>
      <c r="O16" s="558" t="str">
        <f>IF(OR($Q$13="Year One",$Q$8=$G$15),"","Click Here for Complex Input Worksheet")</f>
        <v/>
      </c>
      <c r="P16" s="559"/>
      <c r="Q16" s="560"/>
      <c r="S16" s="398" t="s">
        <v>8</v>
      </c>
      <c r="T16" s="379">
        <f>IF(AND($Q$8&lt;$G$15,$Q$13="Year-by-Year"),1,0)</f>
        <v>0</v>
      </c>
      <c r="U16" s="136"/>
      <c r="V16" s="136"/>
      <c r="W16" s="136"/>
      <c r="X16" s="136"/>
      <c r="Y16" s="136"/>
      <c r="Z16" s="136"/>
      <c r="AB16" s="285"/>
      <c r="AD16" s="637" t="s">
        <v>436</v>
      </c>
      <c r="AE16" s="643">
        <v>0.1383748974358974</v>
      </c>
      <c r="AF16" s="676"/>
    </row>
    <row r="17" spans="2:32" ht="16.5" thickBot="1" x14ac:dyDescent="0.3">
      <c r="B17" s="11"/>
      <c r="E17" s="10" t="s">
        <v>167</v>
      </c>
      <c r="F17" s="380" t="s">
        <v>313</v>
      </c>
      <c r="G17" s="457" t="s">
        <v>351</v>
      </c>
      <c r="H17" s="315"/>
      <c r="I17" s="13"/>
      <c r="J17" s="447"/>
      <c r="K17" s="15"/>
      <c r="L17" s="330"/>
      <c r="T17" s="212"/>
      <c r="U17" s="136"/>
      <c r="V17" s="136"/>
      <c r="W17" s="136"/>
      <c r="X17" s="136"/>
      <c r="Y17" s="136"/>
      <c r="Z17" s="136"/>
      <c r="AB17" s="285"/>
      <c r="AD17" s="637" t="s">
        <v>433</v>
      </c>
      <c r="AE17" s="643">
        <v>0.16156215384615386</v>
      </c>
      <c r="AF17" s="676"/>
    </row>
    <row r="18" spans="2:32" ht="16.5" thickBot="1" x14ac:dyDescent="0.3">
      <c r="B18" s="11"/>
      <c r="C18" s="353"/>
      <c r="E18" s="493" t="s">
        <v>9</v>
      </c>
      <c r="F18" s="494"/>
      <c r="G18" s="495" t="s">
        <v>508</v>
      </c>
      <c r="H18" s="313"/>
      <c r="I18" s="12" t="s">
        <v>8</v>
      </c>
      <c r="J18" s="447"/>
      <c r="K18" s="15"/>
      <c r="L18" s="330"/>
      <c r="O18" s="5" t="s">
        <v>27</v>
      </c>
      <c r="P18" s="380" t="s">
        <v>313</v>
      </c>
      <c r="Q18" s="457" t="s">
        <v>351</v>
      </c>
      <c r="R18" s="125"/>
      <c r="S18" s="13"/>
      <c r="T18" s="15"/>
      <c r="AA18" s="15"/>
      <c r="AB18" s="285"/>
      <c r="AD18" s="637" t="s">
        <v>434</v>
      </c>
      <c r="AE18" s="643">
        <v>0.14037910526315789</v>
      </c>
      <c r="AF18" s="676"/>
    </row>
    <row r="19" spans="2:32" ht="15.75" x14ac:dyDescent="0.25">
      <c r="B19" s="11"/>
      <c r="C19" s="354"/>
      <c r="E19" s="633" t="s">
        <v>143</v>
      </c>
      <c r="F19" s="634" t="str">
        <f>IF($G$5="Photovoltaic","$/Watt dc","$/Watt ac")</f>
        <v>$/Watt dc</v>
      </c>
      <c r="G19" s="635">
        <v>3.6</v>
      </c>
      <c r="H19" s="307"/>
      <c r="I19" s="398" t="s">
        <v>8</v>
      </c>
      <c r="J19" s="448"/>
      <c r="K19" s="15"/>
      <c r="L19" s="330"/>
      <c r="M19" s="406"/>
      <c r="O19" s="619" t="s">
        <v>499</v>
      </c>
      <c r="P19" s="620"/>
      <c r="Q19" s="621" t="s">
        <v>518</v>
      </c>
      <c r="R19" s="379">
        <f>IF(OR(Q19="Performance-Based",Q19="Neither"),1,IF(OR(Q19="Cost-Based",Q19="Neither"),2,0))</f>
        <v>1</v>
      </c>
      <c r="S19" s="12" t="s">
        <v>8</v>
      </c>
      <c r="T19" s="15"/>
      <c r="Z19" s="15"/>
      <c r="AA19" s="15"/>
      <c r="AB19" s="656"/>
      <c r="AD19" s="637" t="s">
        <v>435</v>
      </c>
      <c r="AE19" s="643">
        <v>0.13658869999999998</v>
      </c>
      <c r="AF19" s="676"/>
    </row>
    <row r="20" spans="2:32" ht="15.75" x14ac:dyDescent="0.25">
      <c r="B20" s="11"/>
      <c r="C20" s="355"/>
      <c r="E20" s="496" t="s">
        <v>168</v>
      </c>
      <c r="F20" s="376" t="s">
        <v>0</v>
      </c>
      <c r="G20" s="497">
        <v>2000000</v>
      </c>
      <c r="H20" s="308"/>
      <c r="I20" s="398" t="s">
        <v>8</v>
      </c>
      <c r="J20" s="447"/>
      <c r="K20" s="15"/>
      <c r="L20" s="330"/>
      <c r="M20" s="406"/>
      <c r="O20" s="489" t="s">
        <v>329</v>
      </c>
      <c r="P20" s="7"/>
      <c r="Q20" s="666" t="s">
        <v>515</v>
      </c>
      <c r="R20" s="15"/>
      <c r="S20" s="12" t="s">
        <v>8</v>
      </c>
      <c r="T20" s="15"/>
      <c r="Z20" s="15"/>
      <c r="AA20" s="15"/>
      <c r="AB20" s="656"/>
      <c r="AD20" s="637" t="s">
        <v>437</v>
      </c>
      <c r="AE20" s="643">
        <v>0.16386139130434785</v>
      </c>
      <c r="AF20" s="676"/>
    </row>
    <row r="21" spans="2:32" ht="15.75" x14ac:dyDescent="0.25">
      <c r="B21" s="11"/>
      <c r="C21" s="408"/>
      <c r="E21" s="496" t="s">
        <v>170</v>
      </c>
      <c r="F21" s="376" t="s">
        <v>0</v>
      </c>
      <c r="G21" s="497">
        <v>2000000</v>
      </c>
      <c r="H21" s="308"/>
      <c r="I21" s="398" t="s">
        <v>8</v>
      </c>
      <c r="J21" s="447"/>
      <c r="K21" s="15"/>
      <c r="L21" s="330"/>
      <c r="M21" s="406"/>
      <c r="N21" s="1">
        <f>IF(OR(Q21&lt;0,Q21&gt;1,Q21=""),1,0)</f>
        <v>0</v>
      </c>
      <c r="O21" s="486" t="s">
        <v>249</v>
      </c>
      <c r="P21" s="6" t="s">
        <v>1</v>
      </c>
      <c r="Q21" s="562">
        <v>0.26</v>
      </c>
      <c r="R21" s="15"/>
      <c r="S21" s="12" t="s">
        <v>8</v>
      </c>
      <c r="T21" s="15"/>
      <c r="Z21" s="15"/>
      <c r="AA21" s="15"/>
      <c r="AB21" s="690"/>
      <c r="AD21" s="637" t="s">
        <v>438</v>
      </c>
      <c r="AE21" s="643">
        <v>0.14003133333333331</v>
      </c>
      <c r="AF21" s="676"/>
    </row>
    <row r="22" spans="2:32" ht="15.75" x14ac:dyDescent="0.25">
      <c r="B22" s="11"/>
      <c r="C22" s="408"/>
      <c r="E22" s="496" t="s">
        <v>171</v>
      </c>
      <c r="F22" s="376" t="s">
        <v>0</v>
      </c>
      <c r="G22" s="497">
        <v>500000</v>
      </c>
      <c r="H22" s="308"/>
      <c r="I22" s="398" t="s">
        <v>8</v>
      </c>
      <c r="J22" s="447"/>
      <c r="K22" s="15"/>
      <c r="L22" s="11"/>
      <c r="N22" s="687">
        <f>IF(OR(Q22&lt;0,Q22&gt;1,Q22=""),1,0)</f>
        <v>0</v>
      </c>
      <c r="O22" s="486" t="s">
        <v>19</v>
      </c>
      <c r="P22" s="6" t="s">
        <v>1</v>
      </c>
      <c r="Q22" s="562">
        <v>1</v>
      </c>
      <c r="R22" s="688">
        <f>IF(AND($Q$19="Cost-Based",$Q$20="ITC"),1,0)</f>
        <v>0</v>
      </c>
      <c r="AB22" s="285"/>
      <c r="AD22" s="637" t="s">
        <v>439</v>
      </c>
      <c r="AE22" s="643">
        <v>0.15126782352941176</v>
      </c>
      <c r="AF22" s="676"/>
    </row>
    <row r="23" spans="2:32" ht="16.5" thickBot="1" x14ac:dyDescent="0.3">
      <c r="B23" s="11"/>
      <c r="C23" s="408"/>
      <c r="E23" s="496" t="s">
        <v>172</v>
      </c>
      <c r="F23" s="376" t="s">
        <v>0</v>
      </c>
      <c r="G23" s="497">
        <v>1000000</v>
      </c>
      <c r="H23" s="308"/>
      <c r="I23" s="398" t="s">
        <v>8</v>
      </c>
      <c r="J23" s="447"/>
      <c r="K23" s="15"/>
      <c r="L23" s="330"/>
      <c r="O23" s="490" t="s">
        <v>141</v>
      </c>
      <c r="P23" s="537" t="s">
        <v>0</v>
      </c>
      <c r="Q23" s="563">
        <f>IF($G$73="Yes",IF($Q$20="ITC",IF($G$18="Complex",'Complex Inputs'!$D$121,'Cash Flow'!$C$99)*Inputs!$Q$21*Inputs!$Q$22,IF($Q$20="Cash Grant",IF($G$18="Complex",'Complex Inputs'!$D$121,'Cash Flow'!$C$99)*Inputs!$Q$21,0)),0)</f>
        <v>967200</v>
      </c>
      <c r="R23" s="126"/>
      <c r="S23" s="12" t="s">
        <v>8</v>
      </c>
      <c r="AB23" s="285"/>
      <c r="AD23" s="637" t="s">
        <v>442</v>
      </c>
      <c r="AE23" s="643">
        <v>0.13314893333333333</v>
      </c>
      <c r="AF23" s="676"/>
    </row>
    <row r="24" spans="2:32" ht="15.75" x14ac:dyDescent="0.25">
      <c r="B24" s="11"/>
      <c r="C24" s="356"/>
      <c r="E24" s="496" t="s">
        <v>104</v>
      </c>
      <c r="F24" s="376" t="s">
        <v>0</v>
      </c>
      <c r="G24" s="498">
        <f>($G$54*$G$51*SUM($G$20:$G$23)+$G$48+$G$64+$Q$63+$Q$66)</f>
        <v>346609.77022297902</v>
      </c>
      <c r="H24" s="309"/>
      <c r="I24" s="398" t="s">
        <v>8</v>
      </c>
      <c r="J24" s="447"/>
      <c r="K24" s="15"/>
      <c r="L24" s="330"/>
      <c r="M24" s="406"/>
      <c r="O24" s="502" t="s">
        <v>331</v>
      </c>
      <c r="P24" s="564"/>
      <c r="Q24" s="565" t="s">
        <v>328</v>
      </c>
      <c r="S24" s="12" t="s">
        <v>8</v>
      </c>
      <c r="AB24" s="285"/>
      <c r="AD24" s="637" t="s">
        <v>441</v>
      </c>
      <c r="AE24" s="643">
        <v>0.14594820000000003</v>
      </c>
      <c r="AF24" s="676"/>
    </row>
    <row r="25" spans="2:32" ht="16.5" thickBot="1" x14ac:dyDescent="0.3">
      <c r="B25" s="11"/>
      <c r="C25" s="356"/>
      <c r="E25" s="499" t="s">
        <v>333</v>
      </c>
      <c r="F25" s="500" t="str">
        <f>IF($G$18="Complex","$","")</f>
        <v/>
      </c>
      <c r="G25" s="501" t="str">
        <f>IF($G$18="Complex",'Complex Inputs'!$C$121,"")</f>
        <v/>
      </c>
      <c r="H25" s="310"/>
      <c r="I25" s="398" t="s">
        <v>8</v>
      </c>
      <c r="J25" s="447"/>
      <c r="K25" s="15"/>
      <c r="L25" s="330"/>
      <c r="M25" s="401"/>
      <c r="O25" s="484" t="s">
        <v>144</v>
      </c>
      <c r="P25" s="8" t="s">
        <v>56</v>
      </c>
      <c r="Q25" s="566">
        <v>2.2999999999999998</v>
      </c>
      <c r="R25" s="15"/>
      <c r="S25" s="12" t="s">
        <v>8</v>
      </c>
      <c r="AB25" s="285"/>
      <c r="AD25" s="637" t="s">
        <v>440</v>
      </c>
      <c r="AE25" s="643">
        <v>0.13126406666666665</v>
      </c>
      <c r="AF25" s="676"/>
    </row>
    <row r="26" spans="2:32" ht="15.75" x14ac:dyDescent="0.25">
      <c r="B26" s="11"/>
      <c r="C26" s="357"/>
      <c r="E26" s="502" t="s">
        <v>488</v>
      </c>
      <c r="F26" s="482" t="s">
        <v>0</v>
      </c>
      <c r="G26" s="503">
        <f>IF($G$18="Simple",($G$19*$G$8*1000),IF($G$18="Intermediate",SUM($G$20:$G$24),IF($G$18="Complex",$G$25,0)))</f>
        <v>5846609.7702229787</v>
      </c>
      <c r="H26" s="310"/>
      <c r="I26" s="12" t="s">
        <v>8</v>
      </c>
      <c r="J26" s="447"/>
      <c r="K26" s="15"/>
      <c r="L26" s="11"/>
      <c r="N26" s="1">
        <f>IF(OR(Q26&lt;0,Q26&gt;1),1,0)</f>
        <v>0</v>
      </c>
      <c r="O26" s="484" t="s">
        <v>377</v>
      </c>
      <c r="P26" s="6" t="s">
        <v>1</v>
      </c>
      <c r="Q26" s="567">
        <v>1</v>
      </c>
      <c r="T26" s="15"/>
      <c r="AB26" s="285"/>
      <c r="AD26" s="637" t="s">
        <v>443</v>
      </c>
      <c r="AE26" s="643">
        <v>0.13152564516129034</v>
      </c>
      <c r="AF26" s="676"/>
    </row>
    <row r="27" spans="2:32" ht="16.5" thickBot="1" x14ac:dyDescent="0.3">
      <c r="B27" s="11"/>
      <c r="C27" s="357"/>
      <c r="E27" s="490" t="s">
        <v>488</v>
      </c>
      <c r="F27" s="427" t="str">
        <f>F19</f>
        <v>$/Watt dc</v>
      </c>
      <c r="G27" s="504">
        <f>G26/G8/1000</f>
        <v>2.6575498955558992</v>
      </c>
      <c r="H27" s="316"/>
      <c r="I27" s="12" t="s">
        <v>8</v>
      </c>
      <c r="J27" s="447"/>
      <c r="K27" s="15"/>
      <c r="L27" s="330"/>
      <c r="M27" s="401"/>
      <c r="N27" s="1">
        <f>IF(OR(Q27&lt;0,Q27&gt;G15),1,0)</f>
        <v>0</v>
      </c>
      <c r="O27" s="484" t="s">
        <v>36</v>
      </c>
      <c r="P27" s="8" t="s">
        <v>35</v>
      </c>
      <c r="Q27" s="689">
        <v>10</v>
      </c>
      <c r="R27" s="15"/>
      <c r="S27" s="12" t="s">
        <v>8</v>
      </c>
      <c r="AB27" s="285"/>
      <c r="AD27" s="637" t="s">
        <v>444</v>
      </c>
      <c r="AE27" s="643">
        <v>0.13474461111111113</v>
      </c>
      <c r="AF27" s="676"/>
    </row>
    <row r="28" spans="2:32" ht="16.5" thickBot="1" x14ac:dyDescent="0.3">
      <c r="B28" s="11"/>
      <c r="C28" s="358"/>
      <c r="E28" s="18"/>
      <c r="I28" s="17"/>
      <c r="J28" s="447"/>
      <c r="K28" s="15"/>
      <c r="L28" s="330"/>
      <c r="M28" s="401"/>
      <c r="O28" s="484" t="s">
        <v>149</v>
      </c>
      <c r="P28" s="6" t="s">
        <v>1</v>
      </c>
      <c r="Q28" s="567">
        <v>0.02</v>
      </c>
      <c r="R28" s="15"/>
      <c r="S28" s="12" t="s">
        <v>8</v>
      </c>
      <c r="T28" s="15"/>
      <c r="AB28" s="285"/>
      <c r="AD28" s="637" t="s">
        <v>446</v>
      </c>
      <c r="AE28" s="643">
        <v>0.14885788235294117</v>
      </c>
      <c r="AF28" s="676"/>
    </row>
    <row r="29" spans="2:32" ht="16.5" thickBot="1" x14ac:dyDescent="0.3">
      <c r="B29" s="11"/>
      <c r="E29" s="5" t="s">
        <v>10</v>
      </c>
      <c r="F29" s="380" t="s">
        <v>313</v>
      </c>
      <c r="G29" s="457" t="s">
        <v>351</v>
      </c>
      <c r="H29" s="317"/>
      <c r="I29" s="17"/>
      <c r="J29" s="447"/>
      <c r="K29" s="15"/>
      <c r="L29" s="330"/>
      <c r="M29" s="401"/>
      <c r="O29" s="568" t="s">
        <v>502</v>
      </c>
      <c r="P29" s="505" t="s">
        <v>0</v>
      </c>
      <c r="Q29" s="569">
        <v>10000</v>
      </c>
      <c r="R29" s="126"/>
      <c r="S29" s="12" t="s">
        <v>8</v>
      </c>
      <c r="T29" s="15"/>
      <c r="AB29" s="285"/>
      <c r="AD29" s="637" t="s">
        <v>445</v>
      </c>
      <c r="AE29" s="643">
        <v>0.15322899999999998</v>
      </c>
      <c r="AF29" s="676"/>
    </row>
    <row r="30" spans="2:32" ht="16.5" thickBot="1" x14ac:dyDescent="0.3">
      <c r="B30" s="11"/>
      <c r="C30" s="353"/>
      <c r="E30" s="493" t="s">
        <v>9</v>
      </c>
      <c r="F30" s="494"/>
      <c r="G30" s="495" t="s">
        <v>508</v>
      </c>
      <c r="H30" s="313"/>
      <c r="I30" s="12" t="s">
        <v>8</v>
      </c>
      <c r="J30" s="447"/>
      <c r="K30" s="15"/>
      <c r="L30" s="330"/>
      <c r="M30" s="406"/>
      <c r="O30" s="490" t="s">
        <v>268</v>
      </c>
      <c r="P30" s="491"/>
      <c r="Q30" s="544" t="s">
        <v>13</v>
      </c>
      <c r="R30" s="21"/>
      <c r="S30" s="12" t="s">
        <v>8</v>
      </c>
      <c r="T30" s="15"/>
      <c r="AB30" s="285"/>
      <c r="AD30" s="637" t="s">
        <v>447</v>
      </c>
      <c r="AE30" s="643">
        <v>0.1495389375</v>
      </c>
      <c r="AF30" s="676"/>
    </row>
    <row r="31" spans="2:32" ht="16.5" thickBot="1" x14ac:dyDescent="0.3">
      <c r="B31" s="11"/>
      <c r="C31" s="359"/>
      <c r="E31" s="481" t="s">
        <v>238</v>
      </c>
      <c r="F31" s="505" t="str">
        <f>IF($G$5=$O$5,"$/kW-yr dc",IF($G$5=$P$5,"$/kW-yr ac","error"))</f>
        <v>$/kW-yr dc</v>
      </c>
      <c r="G31" s="506">
        <v>5</v>
      </c>
      <c r="H31" s="318"/>
      <c r="I31" s="12" t="s">
        <v>8</v>
      </c>
      <c r="J31" s="447"/>
      <c r="K31" s="15"/>
      <c r="L31" s="11"/>
      <c r="AB31" s="285"/>
      <c r="AD31" s="637" t="s">
        <v>454</v>
      </c>
      <c r="AE31" s="643">
        <v>0.15266604545454546</v>
      </c>
      <c r="AF31" s="676"/>
    </row>
    <row r="32" spans="2:32" ht="16.5" thickBot="1" x14ac:dyDescent="0.3">
      <c r="B32" s="11"/>
      <c r="C32" s="401"/>
      <c r="E32" s="486" t="s">
        <v>105</v>
      </c>
      <c r="F32" s="6" t="s">
        <v>106</v>
      </c>
      <c r="G32" s="507">
        <v>0.01</v>
      </c>
      <c r="H32" s="319"/>
      <c r="I32" s="12" t="s">
        <v>8</v>
      </c>
      <c r="J32" s="447"/>
      <c r="K32" s="15"/>
      <c r="L32" s="330"/>
      <c r="O32" s="5" t="s">
        <v>494</v>
      </c>
      <c r="P32" s="380" t="s">
        <v>313</v>
      </c>
      <c r="Q32" s="457" t="s">
        <v>351</v>
      </c>
      <c r="R32" s="15"/>
      <c r="AB32" s="285"/>
      <c r="AD32" s="637" t="s">
        <v>455</v>
      </c>
      <c r="AE32" s="643">
        <v>0.14229880000000003</v>
      </c>
      <c r="AF32" s="676"/>
    </row>
    <row r="33" spans="2:32" ht="15.75" x14ac:dyDescent="0.25">
      <c r="B33" s="11"/>
      <c r="C33" s="360"/>
      <c r="D33" s="15"/>
      <c r="E33" s="508" t="s">
        <v>237</v>
      </c>
      <c r="F33" s="7" t="s">
        <v>1</v>
      </c>
      <c r="G33" s="509">
        <v>1.6E-2</v>
      </c>
      <c r="H33" s="318"/>
      <c r="I33" s="12" t="s">
        <v>8</v>
      </c>
      <c r="J33" s="448"/>
      <c r="K33" s="15"/>
      <c r="L33" s="330"/>
      <c r="M33" s="406"/>
      <c r="O33" s="619" t="s">
        <v>500</v>
      </c>
      <c r="P33" s="620"/>
      <c r="Q33" s="621" t="s">
        <v>497</v>
      </c>
      <c r="S33" s="12" t="s">
        <v>8</v>
      </c>
      <c r="AB33" s="285"/>
      <c r="AD33" s="637" t="s">
        <v>448</v>
      </c>
      <c r="AE33" s="643">
        <v>0.15780880769230771</v>
      </c>
      <c r="AF33" s="676"/>
    </row>
    <row r="34" spans="2:32" ht="15.75" x14ac:dyDescent="0.25">
      <c r="B34" s="11"/>
      <c r="C34" s="352"/>
      <c r="E34" s="484" t="s">
        <v>235</v>
      </c>
      <c r="F34" s="7" t="s">
        <v>30</v>
      </c>
      <c r="G34" s="510">
        <v>10</v>
      </c>
      <c r="H34" s="318"/>
      <c r="I34" s="12" t="s">
        <v>8</v>
      </c>
      <c r="J34" s="448"/>
      <c r="K34" s="15"/>
      <c r="L34" s="330"/>
      <c r="M34" s="401"/>
      <c r="N34" s="1">
        <f>IF(OR(Q34&lt;0,Q34&gt;1),1,0)</f>
        <v>0</v>
      </c>
      <c r="O34" s="489" t="s">
        <v>229</v>
      </c>
      <c r="P34" s="7" t="s">
        <v>1</v>
      </c>
      <c r="Q34" s="570">
        <v>0.3</v>
      </c>
      <c r="R34" s="658">
        <f>IF(OR($Q$33="Performance-Based",$Q$33="Neither"),1,0)</f>
        <v>1</v>
      </c>
      <c r="S34" s="12" t="s">
        <v>8</v>
      </c>
      <c r="T34" s="15"/>
      <c r="AB34" s="285"/>
      <c r="AD34" s="637" t="s">
        <v>450</v>
      </c>
      <c r="AE34" s="643">
        <v>0.13193012500000001</v>
      </c>
      <c r="AF34" s="676"/>
    </row>
    <row r="35" spans="2:32" ht="16.5" thickBot="1" x14ac:dyDescent="0.3">
      <c r="B35" s="11"/>
      <c r="C35" s="360"/>
      <c r="D35" s="15"/>
      <c r="E35" s="511" t="s">
        <v>236</v>
      </c>
      <c r="F35" s="491" t="s">
        <v>1</v>
      </c>
      <c r="G35" s="512">
        <v>1.6E-2</v>
      </c>
      <c r="H35" s="318"/>
      <c r="I35" s="12" t="s">
        <v>8</v>
      </c>
      <c r="J35" s="447"/>
      <c r="K35" s="15"/>
      <c r="L35" s="11"/>
      <c r="N35" s="1">
        <f>IF(OR(Q35&lt;0,Q35&gt;1),1,0)</f>
        <v>0</v>
      </c>
      <c r="O35" s="489" t="s">
        <v>28</v>
      </c>
      <c r="P35" s="7" t="s">
        <v>1</v>
      </c>
      <c r="Q35" s="570">
        <v>1</v>
      </c>
      <c r="AB35" s="285"/>
      <c r="AD35" s="637" t="s">
        <v>451</v>
      </c>
      <c r="AE35" s="643">
        <v>0.1446861111111111</v>
      </c>
      <c r="AF35" s="676"/>
    </row>
    <row r="36" spans="2:32" ht="15.75" x14ac:dyDescent="0.25">
      <c r="B36" s="11"/>
      <c r="C36" s="401"/>
      <c r="E36" s="502" t="s">
        <v>69</v>
      </c>
      <c r="F36" s="482" t="s">
        <v>1</v>
      </c>
      <c r="G36" s="513">
        <v>5.0000000000000001E-3</v>
      </c>
      <c r="H36" s="318"/>
      <c r="I36" s="398" t="s">
        <v>8</v>
      </c>
      <c r="J36" s="447"/>
      <c r="K36" s="15"/>
      <c r="L36" s="330"/>
      <c r="M36" s="401"/>
      <c r="N36" s="1">
        <f>IF(OR(Q36&lt;1,Q36&gt;G15),1,0)</f>
        <v>0</v>
      </c>
      <c r="O36" s="484" t="s">
        <v>34</v>
      </c>
      <c r="P36" s="8" t="s">
        <v>35</v>
      </c>
      <c r="Q36" s="689">
        <v>5</v>
      </c>
      <c r="R36" s="379"/>
      <c r="S36" s="12" t="s">
        <v>8</v>
      </c>
      <c r="AB36" s="285"/>
      <c r="AD36" s="637" t="s">
        <v>452</v>
      </c>
      <c r="AE36" s="643">
        <v>0.19511670588235294</v>
      </c>
      <c r="AF36" s="676"/>
    </row>
    <row r="37" spans="2:32" ht="16.5" thickBot="1" x14ac:dyDescent="0.3">
      <c r="B37" s="11"/>
      <c r="E37" s="484" t="s">
        <v>341</v>
      </c>
      <c r="F37" s="7" t="s">
        <v>0</v>
      </c>
      <c r="G37" s="514">
        <f>$G$36*IF($G$18="Simple",$G$26,IF($G$18="Intermediate",SUM($G$20:$G$23),SUM('Complex Inputs'!$C$116:$C$119)))</f>
        <v>27500</v>
      </c>
      <c r="H37" s="318"/>
      <c r="I37" s="398" t="s">
        <v>8</v>
      </c>
      <c r="J37" s="447"/>
      <c r="K37" s="15"/>
      <c r="L37" s="11"/>
      <c r="O37" s="490" t="s">
        <v>398</v>
      </c>
      <c r="P37" s="427" t="s">
        <v>0</v>
      </c>
      <c r="Q37" s="624">
        <f>IF(AND($G$73="Yes",$Q$33="Cost-Based"),SUM('Cash Flow'!$G$177:$AJ$177),0)</f>
        <v>0</v>
      </c>
      <c r="R37" s="379"/>
      <c r="S37" s="12" t="s">
        <v>8</v>
      </c>
      <c r="AB37" s="285"/>
      <c r="AD37" s="637" t="s">
        <v>449</v>
      </c>
      <c r="AE37" s="643">
        <v>0.18556</v>
      </c>
      <c r="AF37" s="676"/>
    </row>
    <row r="38" spans="2:32" ht="15.75" x14ac:dyDescent="0.25">
      <c r="B38" s="11"/>
      <c r="C38" s="401"/>
      <c r="E38" s="486" t="s">
        <v>228</v>
      </c>
      <c r="F38" s="6" t="s">
        <v>11</v>
      </c>
      <c r="G38" s="515">
        <v>50000</v>
      </c>
      <c r="H38" s="318"/>
      <c r="I38" s="398" t="s">
        <v>8</v>
      </c>
      <c r="J38" s="448"/>
      <c r="K38" s="15"/>
      <c r="L38" s="330"/>
      <c r="M38" s="406"/>
      <c r="O38" s="622" t="s">
        <v>332</v>
      </c>
      <c r="P38" s="6"/>
      <c r="Q38" s="623" t="s">
        <v>504</v>
      </c>
      <c r="R38" s="658">
        <f>IF(OR($Q$33="Cost-Based",$Q$33="Neither"),1,0)</f>
        <v>1</v>
      </c>
      <c r="S38" s="12" t="s">
        <v>8</v>
      </c>
      <c r="AB38" s="285"/>
      <c r="AD38" s="637" t="s">
        <v>453</v>
      </c>
      <c r="AE38" s="643">
        <v>0.13266062500000003</v>
      </c>
      <c r="AF38" s="676"/>
    </row>
    <row r="39" spans="2:32" ht="15.75" x14ac:dyDescent="0.25">
      <c r="B39" s="11"/>
      <c r="C39" s="401"/>
      <c r="E39" s="484" t="s">
        <v>270</v>
      </c>
      <c r="F39" s="6" t="s">
        <v>11</v>
      </c>
      <c r="G39" s="515">
        <v>50000</v>
      </c>
      <c r="H39" s="318"/>
      <c r="I39" s="398" t="s">
        <v>8</v>
      </c>
      <c r="J39" s="447"/>
      <c r="K39" s="15"/>
      <c r="L39" s="11"/>
      <c r="O39" s="484" t="s">
        <v>490</v>
      </c>
      <c r="P39" s="54" t="s">
        <v>0</v>
      </c>
      <c r="Q39" s="662">
        <v>0</v>
      </c>
      <c r="R39" s="265"/>
      <c r="S39" s="12" t="s">
        <v>8</v>
      </c>
      <c r="T39" s="15"/>
      <c r="U39" s="15"/>
      <c r="AB39" s="285"/>
      <c r="AD39" s="637" t="s">
        <v>456</v>
      </c>
      <c r="AE39" s="643">
        <v>0.13163007692307693</v>
      </c>
      <c r="AF39" s="676"/>
    </row>
    <row r="40" spans="2:32" ht="15.75" x14ac:dyDescent="0.25">
      <c r="B40" s="11"/>
      <c r="C40" s="401"/>
      <c r="E40" s="484" t="s">
        <v>269</v>
      </c>
      <c r="F40" s="6" t="s">
        <v>1</v>
      </c>
      <c r="G40" s="516">
        <v>-0.1</v>
      </c>
      <c r="H40" s="318"/>
      <c r="I40" s="398" t="s">
        <v>8</v>
      </c>
      <c r="J40" s="447"/>
      <c r="K40" s="15"/>
      <c r="L40" s="330"/>
      <c r="M40" s="406"/>
      <c r="O40" s="484" t="s">
        <v>505</v>
      </c>
      <c r="P40" s="8"/>
      <c r="Q40" s="571" t="s">
        <v>13</v>
      </c>
      <c r="R40" s="658">
        <f>IF(OR($Q$33="Cost-Based",$Q$33="Neither",$Q$38="Tax Credit"),1,0)</f>
        <v>1</v>
      </c>
      <c r="S40" s="12" t="s">
        <v>8</v>
      </c>
      <c r="U40" s="381"/>
      <c r="AB40" s="285"/>
      <c r="AD40" s="637" t="s">
        <v>457</v>
      </c>
      <c r="AE40" s="643">
        <v>0.16546093333333334</v>
      </c>
      <c r="AF40" s="676"/>
    </row>
    <row r="41" spans="2:32" ht="15.75" x14ac:dyDescent="0.25">
      <c r="B41" s="11"/>
      <c r="C41" s="401"/>
      <c r="E41" s="484" t="s">
        <v>355</v>
      </c>
      <c r="F41" s="6" t="s">
        <v>11</v>
      </c>
      <c r="G41" s="515">
        <v>5000</v>
      </c>
      <c r="H41" s="318"/>
      <c r="I41" s="398" t="s">
        <v>8</v>
      </c>
      <c r="J41" s="285"/>
      <c r="K41" s="15"/>
      <c r="L41" s="330"/>
      <c r="M41" s="401"/>
      <c r="O41" s="484" t="s">
        <v>492</v>
      </c>
      <c r="P41" s="8" t="s">
        <v>56</v>
      </c>
      <c r="Q41" s="566">
        <v>1.5</v>
      </c>
      <c r="R41" s="265"/>
      <c r="S41" s="12" t="s">
        <v>8</v>
      </c>
      <c r="T41" s="379">
        <f>IF(OR($Q$33="Cost-Based",$Q$33="Neither",$Q$38="Tax Credit"),1,0)</f>
        <v>1</v>
      </c>
      <c r="AB41" s="285"/>
      <c r="AD41" s="637" t="s">
        <v>458</v>
      </c>
      <c r="AE41" s="643">
        <v>0.14561410526315791</v>
      </c>
      <c r="AF41" s="676"/>
    </row>
    <row r="42" spans="2:32" ht="15.75" x14ac:dyDescent="0.25">
      <c r="B42" s="11"/>
      <c r="C42" s="401"/>
      <c r="E42" s="486" t="s">
        <v>121</v>
      </c>
      <c r="F42" s="6" t="s">
        <v>1</v>
      </c>
      <c r="G42" s="516">
        <v>0.03</v>
      </c>
      <c r="H42" s="318"/>
      <c r="I42" s="398" t="s">
        <v>8</v>
      </c>
      <c r="J42" s="447"/>
      <c r="K42" s="15"/>
      <c r="L42" s="11"/>
      <c r="N42" s="27">
        <f>IF(OR(Q42&lt;0,Q42&gt;1),1,0)</f>
        <v>0</v>
      </c>
      <c r="O42" s="484" t="s">
        <v>166</v>
      </c>
      <c r="P42" s="7" t="s">
        <v>1</v>
      </c>
      <c r="Q42" s="567">
        <v>1</v>
      </c>
      <c r="T42" s="379"/>
      <c r="U42" s="21"/>
      <c r="AB42" s="285"/>
      <c r="AD42" s="637" t="s">
        <v>459</v>
      </c>
      <c r="AE42" s="643">
        <v>0.13503780952380953</v>
      </c>
      <c r="AF42" s="676"/>
    </row>
    <row r="43" spans="2:32" ht="16.5" thickBot="1" x14ac:dyDescent="0.3">
      <c r="B43" s="11"/>
      <c r="E43" s="490" t="s">
        <v>342</v>
      </c>
      <c r="F43" s="491" t="s">
        <v>0</v>
      </c>
      <c r="G43" s="517">
        <f>-'Cash Flow'!G34</f>
        <v>29056.658607075016</v>
      </c>
      <c r="H43" s="318"/>
      <c r="I43" s="398" t="s">
        <v>8</v>
      </c>
      <c r="J43" s="285"/>
      <c r="K43" s="15"/>
      <c r="L43" s="330"/>
      <c r="M43" s="401"/>
      <c r="N43" s="1">
        <f>IF(OR(Q43&lt;0,Q43&gt;G15),1,0)</f>
        <v>0</v>
      </c>
      <c r="O43" s="484" t="s">
        <v>503</v>
      </c>
      <c r="P43" s="8" t="s">
        <v>35</v>
      </c>
      <c r="Q43" s="689">
        <v>10</v>
      </c>
      <c r="R43" s="21"/>
      <c r="S43" s="12" t="s">
        <v>8</v>
      </c>
      <c r="U43" s="21"/>
      <c r="AB43" s="285"/>
      <c r="AD43" s="637" t="s">
        <v>460</v>
      </c>
      <c r="AE43" s="643">
        <v>0.13814799999999999</v>
      </c>
      <c r="AF43" s="676"/>
    </row>
    <row r="44" spans="2:32" ht="16.5" thickBot="1" x14ac:dyDescent="0.3">
      <c r="B44" s="11"/>
      <c r="C44" s="361"/>
      <c r="I44" s="17"/>
      <c r="J44" s="447"/>
      <c r="K44" s="15"/>
      <c r="L44" s="330"/>
      <c r="M44" s="401"/>
      <c r="O44" s="484" t="s">
        <v>493</v>
      </c>
      <c r="P44" s="6" t="s">
        <v>1</v>
      </c>
      <c r="Q44" s="567">
        <v>0.02</v>
      </c>
      <c r="R44" s="15"/>
      <c r="S44" s="12" t="s">
        <v>8</v>
      </c>
      <c r="T44" s="379"/>
      <c r="U44" s="397"/>
      <c r="AB44" s="285"/>
      <c r="AD44" s="637" t="s">
        <v>461</v>
      </c>
      <c r="AE44" s="643">
        <v>0.15785109999999997</v>
      </c>
      <c r="AF44" s="676"/>
    </row>
    <row r="45" spans="2:32" ht="16.5" thickBot="1" x14ac:dyDescent="0.3">
      <c r="B45" s="11"/>
      <c r="C45" s="361"/>
      <c r="E45" s="5" t="s">
        <v>219</v>
      </c>
      <c r="F45" s="380" t="s">
        <v>313</v>
      </c>
      <c r="G45" s="457" t="s">
        <v>351</v>
      </c>
      <c r="H45" s="321"/>
      <c r="I45" s="17"/>
      <c r="J45" s="447"/>
      <c r="K45" s="15"/>
      <c r="L45" s="330"/>
      <c r="M45" s="401"/>
      <c r="N45" s="15"/>
      <c r="O45" s="659" t="s">
        <v>501</v>
      </c>
      <c r="P45" s="546" t="s">
        <v>32</v>
      </c>
      <c r="Q45" s="660">
        <v>0</v>
      </c>
      <c r="S45" s="12" t="s">
        <v>8</v>
      </c>
      <c r="U45" s="21"/>
      <c r="AB45" s="285"/>
      <c r="AD45" s="637" t="s">
        <v>462</v>
      </c>
      <c r="AE45" s="643">
        <v>0.14783954545454545</v>
      </c>
      <c r="AF45" s="676"/>
    </row>
    <row r="46" spans="2:32" ht="15.75" x14ac:dyDescent="0.25">
      <c r="B46" s="11"/>
      <c r="C46" s="404"/>
      <c r="E46" s="518" t="s">
        <v>5</v>
      </c>
      <c r="F46" s="482" t="s">
        <v>39</v>
      </c>
      <c r="G46" s="519">
        <v>6</v>
      </c>
      <c r="H46" s="321"/>
      <c r="I46" s="12" t="s">
        <v>8</v>
      </c>
      <c r="J46" s="447"/>
      <c r="K46" s="15"/>
      <c r="L46" s="11"/>
      <c r="O46" s="484" t="s">
        <v>487</v>
      </c>
      <c r="P46" s="8" t="s">
        <v>0</v>
      </c>
      <c r="Q46" s="661">
        <v>500000</v>
      </c>
      <c r="S46" s="12" t="s">
        <v>8</v>
      </c>
      <c r="U46" s="21"/>
      <c r="AB46" s="285"/>
      <c r="AD46" s="637" t="s">
        <v>463</v>
      </c>
      <c r="AE46" s="643">
        <v>0.14919450000000001</v>
      </c>
      <c r="AF46" s="676"/>
    </row>
    <row r="47" spans="2:32" ht="16.5" thickBot="1" x14ac:dyDescent="0.3">
      <c r="B47" s="11"/>
      <c r="C47" s="404"/>
      <c r="E47" s="508" t="s">
        <v>38</v>
      </c>
      <c r="F47" s="7" t="s">
        <v>1</v>
      </c>
      <c r="G47" s="509">
        <v>0.05</v>
      </c>
      <c r="H47" s="321"/>
      <c r="I47" s="12" t="s">
        <v>8</v>
      </c>
      <c r="J47" s="447"/>
      <c r="K47" s="15"/>
      <c r="L47" s="330"/>
      <c r="M47" s="406"/>
      <c r="O47" s="490" t="s">
        <v>489</v>
      </c>
      <c r="P47" s="491"/>
      <c r="Q47" s="544" t="s">
        <v>13</v>
      </c>
      <c r="R47" s="21"/>
      <c r="S47" s="12" t="s">
        <v>8</v>
      </c>
      <c r="U47" s="15"/>
      <c r="AB47" s="285"/>
      <c r="AD47" s="637" t="s">
        <v>464</v>
      </c>
      <c r="AE47" s="643">
        <v>0.16158443333333339</v>
      </c>
      <c r="AF47" s="676"/>
    </row>
    <row r="48" spans="2:32" ht="16.5" thickBot="1" x14ac:dyDescent="0.3">
      <c r="B48" s="11"/>
      <c r="C48" s="361"/>
      <c r="E48" s="511" t="s">
        <v>40</v>
      </c>
      <c r="F48" s="427" t="s">
        <v>0</v>
      </c>
      <c r="G48" s="517">
        <f>IF($G$18="intermediate",SUM(G20:G23)*($G$47/12)*($G$46/2),IF($G$18="complex",'Complex Inputs'!$C$107,0))</f>
        <v>68750</v>
      </c>
      <c r="H48" s="321"/>
      <c r="I48" s="12" t="s">
        <v>8</v>
      </c>
      <c r="J48" s="447"/>
      <c r="K48" s="15"/>
      <c r="L48" s="11"/>
      <c r="U48" s="332"/>
      <c r="AB48" s="285"/>
      <c r="AD48" s="637" t="s">
        <v>465</v>
      </c>
      <c r="AE48" s="643">
        <v>0.1788548461538462</v>
      </c>
      <c r="AF48" s="676"/>
    </row>
    <row r="49" spans="2:32" ht="16.5" thickBot="1" x14ac:dyDescent="0.3">
      <c r="B49" s="11"/>
      <c r="G49" s="215"/>
      <c r="H49" s="215"/>
      <c r="I49" s="17"/>
      <c r="J49" s="447"/>
      <c r="K49" s="15"/>
      <c r="L49" s="330"/>
      <c r="M49" s="15"/>
      <c r="N49" s="15"/>
      <c r="O49" s="5" t="s">
        <v>302</v>
      </c>
      <c r="P49" s="22"/>
      <c r="Q49" s="457" t="s">
        <v>351</v>
      </c>
      <c r="R49" s="15"/>
      <c r="S49" s="15"/>
      <c r="T49" s="15"/>
      <c r="U49" s="15"/>
      <c r="AB49" s="285"/>
      <c r="AD49" s="637" t="s">
        <v>467</v>
      </c>
      <c r="AE49" s="643">
        <v>0.14856019354838715</v>
      </c>
      <c r="AF49" s="676"/>
    </row>
    <row r="50" spans="2:32" ht="16.5" thickBot="1" x14ac:dyDescent="0.3">
      <c r="B50" s="11"/>
      <c r="C50" s="361"/>
      <c r="E50" s="5" t="s">
        <v>37</v>
      </c>
      <c r="F50" s="380" t="s">
        <v>313</v>
      </c>
      <c r="G50" s="457" t="s">
        <v>351</v>
      </c>
      <c r="H50" s="321"/>
      <c r="I50" s="451"/>
      <c r="J50" s="447"/>
      <c r="K50" s="15"/>
      <c r="L50" s="330"/>
      <c r="M50" s="407"/>
      <c r="N50" s="15">
        <f>IF(OR(Q50&lt;1,Q50&gt;$G$15),1,0)</f>
        <v>0</v>
      </c>
      <c r="O50" s="518" t="s">
        <v>67</v>
      </c>
      <c r="P50" s="505" t="s">
        <v>30</v>
      </c>
      <c r="Q50" s="572">
        <v>10</v>
      </c>
      <c r="R50" s="15"/>
      <c r="S50" s="12" t="s">
        <v>8</v>
      </c>
      <c r="T50" s="15"/>
      <c r="U50" s="15"/>
      <c r="AB50" s="285"/>
      <c r="AD50" s="637" t="s">
        <v>466</v>
      </c>
      <c r="AE50" s="643">
        <v>0.12892275</v>
      </c>
      <c r="AF50" s="676"/>
    </row>
    <row r="51" spans="2:32" ht="15.75" x14ac:dyDescent="0.25">
      <c r="B51" s="11"/>
      <c r="C51" s="401"/>
      <c r="D51" s="1">
        <f>IF(OR(G51="",G51&lt;0,G51&gt;1),1,0)</f>
        <v>0</v>
      </c>
      <c r="E51" s="502" t="s">
        <v>271</v>
      </c>
      <c r="F51" s="482" t="s">
        <v>1</v>
      </c>
      <c r="G51" s="520">
        <v>0.45</v>
      </c>
      <c r="H51" s="322"/>
      <c r="I51" s="12" t="s">
        <v>8</v>
      </c>
      <c r="J51" s="448"/>
      <c r="K51" s="15"/>
      <c r="L51" s="330"/>
      <c r="M51" s="360"/>
      <c r="N51" s="15"/>
      <c r="O51" s="508" t="s">
        <v>279</v>
      </c>
      <c r="P51" s="8" t="str">
        <f>F19</f>
        <v>$/Watt dc</v>
      </c>
      <c r="Q51" s="573">
        <v>0.23499999999999999</v>
      </c>
      <c r="R51" s="15"/>
      <c r="S51" s="12" t="s">
        <v>8</v>
      </c>
      <c r="T51" s="15"/>
      <c r="U51" s="15"/>
      <c r="AB51" s="285"/>
      <c r="AD51" s="637" t="s">
        <v>468</v>
      </c>
      <c r="AE51" s="643">
        <v>0.13182176551724137</v>
      </c>
      <c r="AF51" s="676"/>
    </row>
    <row r="52" spans="2:32" ht="15.75" x14ac:dyDescent="0.25">
      <c r="B52" s="11"/>
      <c r="C52" s="401"/>
      <c r="D52" s="1">
        <f>IF(OR(G52&lt;=0,G52&gt;G15),1,0)</f>
        <v>0</v>
      </c>
      <c r="E52" s="484" t="s">
        <v>479</v>
      </c>
      <c r="F52" s="6" t="s">
        <v>4</v>
      </c>
      <c r="G52" s="510">
        <v>18</v>
      </c>
      <c r="H52" s="306"/>
      <c r="I52" s="12" t="s">
        <v>8</v>
      </c>
      <c r="J52" s="448"/>
      <c r="K52" s="15"/>
      <c r="L52" s="330"/>
      <c r="M52" s="407"/>
      <c r="N52" s="15">
        <f>IF(OR(Q52&lt;=Q50,Q52&gt;$G$15),1,0)</f>
        <v>0</v>
      </c>
      <c r="O52" s="508" t="s">
        <v>68</v>
      </c>
      <c r="P52" s="8" t="s">
        <v>30</v>
      </c>
      <c r="Q52" s="487">
        <v>20</v>
      </c>
      <c r="R52" s="15"/>
      <c r="S52" s="12" t="s">
        <v>8</v>
      </c>
      <c r="T52" s="15"/>
      <c r="U52" s="15"/>
      <c r="AB52" s="285"/>
      <c r="AD52" s="637" t="s">
        <v>470</v>
      </c>
      <c r="AE52" s="643">
        <v>0.13659035</v>
      </c>
      <c r="AF52" s="676"/>
    </row>
    <row r="53" spans="2:32" ht="16.5" thickBot="1" x14ac:dyDescent="0.3">
      <c r="B53" s="11"/>
      <c r="C53" s="404"/>
      <c r="D53" s="1">
        <f>IF(OR(G53&lt;0,G53=""),1,0)</f>
        <v>0</v>
      </c>
      <c r="E53" s="484" t="s">
        <v>234</v>
      </c>
      <c r="F53" s="7" t="s">
        <v>1</v>
      </c>
      <c r="G53" s="521">
        <v>7.0000000000000007E-2</v>
      </c>
      <c r="H53" s="323"/>
      <c r="I53" s="12" t="s">
        <v>8</v>
      </c>
      <c r="J53" s="448"/>
      <c r="K53" s="15"/>
      <c r="L53" s="330"/>
      <c r="M53" s="360"/>
      <c r="N53" s="15"/>
      <c r="O53" s="511" t="s">
        <v>280</v>
      </c>
      <c r="P53" s="427" t="str">
        <f>F19</f>
        <v>$/Watt dc</v>
      </c>
      <c r="Q53" s="574">
        <v>0.245</v>
      </c>
      <c r="R53" s="15"/>
      <c r="S53" s="12" t="s">
        <v>8</v>
      </c>
      <c r="T53" s="15"/>
      <c r="U53" s="15"/>
      <c r="AB53" s="285"/>
      <c r="AD53" s="637" t="s">
        <v>469</v>
      </c>
      <c r="AE53" s="643">
        <v>0.13070636363636362</v>
      </c>
      <c r="AF53" s="676"/>
    </row>
    <row r="54" spans="2:32" ht="16.5" thickBot="1" x14ac:dyDescent="0.3">
      <c r="B54" s="11"/>
      <c r="C54" s="401"/>
      <c r="D54" s="1">
        <f>IF(OR(G54&lt;0,G54=""),1,0)</f>
        <v>0</v>
      </c>
      <c r="E54" s="522" t="s">
        <v>51</v>
      </c>
      <c r="F54" s="491" t="s">
        <v>1</v>
      </c>
      <c r="G54" s="523">
        <v>0.03</v>
      </c>
      <c r="H54" s="304"/>
      <c r="I54" s="12" t="s">
        <v>8</v>
      </c>
      <c r="J54" s="447"/>
      <c r="K54" s="15"/>
      <c r="L54" s="330"/>
      <c r="M54" s="15"/>
      <c r="N54" s="15"/>
      <c r="R54" s="15"/>
      <c r="T54" s="15"/>
      <c r="U54" s="15"/>
      <c r="AB54" s="285"/>
      <c r="AD54" s="638" t="s">
        <v>471</v>
      </c>
      <c r="AE54" s="641">
        <v>0.17076261538461537</v>
      </c>
      <c r="AF54" s="676"/>
    </row>
    <row r="55" spans="2:32" ht="16.5" thickBot="1" x14ac:dyDescent="0.3">
      <c r="B55" s="11"/>
      <c r="C55" s="401"/>
      <c r="E55" s="502" t="s">
        <v>247</v>
      </c>
      <c r="F55" s="505"/>
      <c r="G55" s="524">
        <v>1.2</v>
      </c>
      <c r="H55" s="311"/>
      <c r="I55" s="12" t="s">
        <v>8</v>
      </c>
      <c r="J55" s="447"/>
      <c r="K55" s="15"/>
      <c r="L55" s="330"/>
      <c r="M55" s="15"/>
      <c r="N55" s="15"/>
      <c r="O55" s="5" t="s">
        <v>48</v>
      </c>
      <c r="P55" s="380" t="s">
        <v>313</v>
      </c>
      <c r="Q55" s="457" t="s">
        <v>351</v>
      </c>
      <c r="R55" s="15"/>
      <c r="S55" s="15"/>
      <c r="T55" s="15"/>
      <c r="U55" s="15"/>
      <c r="AB55" s="285"/>
      <c r="AD55" s="677"/>
      <c r="AE55" s="678"/>
    </row>
    <row r="56" spans="2:32" ht="15.75" x14ac:dyDescent="0.25">
      <c r="B56" s="11"/>
      <c r="E56" s="484" t="s">
        <v>248</v>
      </c>
      <c r="F56" s="287">
        <f>MAX('Cash Flow'!G42:AJ42)</f>
        <v>1</v>
      </c>
      <c r="G56" s="525">
        <f>ROUND('Cash Flow'!$F$41,2)</f>
        <v>3.02</v>
      </c>
      <c r="H56" s="312"/>
      <c r="I56" s="12" t="s">
        <v>8</v>
      </c>
      <c r="J56" s="447"/>
      <c r="K56" s="15"/>
      <c r="L56" s="330"/>
      <c r="M56" s="15"/>
      <c r="N56" s="15"/>
      <c r="O56" s="575" t="s">
        <v>47</v>
      </c>
      <c r="P56" s="576"/>
      <c r="Q56" s="577"/>
      <c r="R56" s="15"/>
      <c r="S56" s="15"/>
      <c r="T56" s="15"/>
      <c r="AB56" s="285"/>
    </row>
    <row r="57" spans="2:32" ht="15.75" x14ac:dyDescent="0.25">
      <c r="B57" s="11"/>
      <c r="C57" s="401"/>
      <c r="E57" s="484" t="s">
        <v>349</v>
      </c>
      <c r="F57" s="8" t="s">
        <v>216</v>
      </c>
      <c r="G57" s="526" t="str">
        <f>IF($G$56&gt;=$G$55,"Pass","Fail")</f>
        <v>Pass</v>
      </c>
      <c r="H57" s="452"/>
      <c r="I57" s="12" t="s">
        <v>8</v>
      </c>
      <c r="J57" s="448"/>
      <c r="K57" s="15"/>
      <c r="L57" s="330"/>
      <c r="M57" s="406"/>
      <c r="N57" s="15"/>
      <c r="O57" s="578" t="s">
        <v>49</v>
      </c>
      <c r="P57" s="458"/>
      <c r="Q57" s="571" t="s">
        <v>513</v>
      </c>
      <c r="R57" s="15"/>
      <c r="S57" s="12" t="s">
        <v>8</v>
      </c>
      <c r="T57" s="15"/>
      <c r="U57" s="15"/>
      <c r="AB57" s="285"/>
    </row>
    <row r="58" spans="2:32" ht="16.5" thickBot="1" x14ac:dyDescent="0.3">
      <c r="B58" s="11"/>
      <c r="C58" s="401"/>
      <c r="E58" s="484" t="s">
        <v>276</v>
      </c>
      <c r="F58" s="8"/>
      <c r="G58" s="527">
        <v>1.45</v>
      </c>
      <c r="H58" s="311"/>
      <c r="I58" s="12" t="s">
        <v>8</v>
      </c>
      <c r="J58" s="447"/>
      <c r="K58" s="15"/>
      <c r="L58" s="330"/>
      <c r="M58" s="407"/>
      <c r="N58" s="15"/>
      <c r="O58" s="511" t="s">
        <v>50</v>
      </c>
      <c r="P58" s="427" t="s">
        <v>0</v>
      </c>
      <c r="Q58" s="533">
        <v>0</v>
      </c>
      <c r="R58" s="15"/>
      <c r="S58" s="12" t="s">
        <v>8</v>
      </c>
      <c r="T58" s="15"/>
      <c r="U58" s="417"/>
      <c r="AB58" s="285"/>
    </row>
    <row r="59" spans="2:32" ht="16.5" thickBot="1" x14ac:dyDescent="0.3">
      <c r="B59" s="11"/>
      <c r="E59" s="484" t="s">
        <v>275</v>
      </c>
      <c r="F59" s="287"/>
      <c r="G59" s="525">
        <f>ROUND('Cash Flow'!$E$41,2)</f>
        <v>3.63</v>
      </c>
      <c r="H59" s="312"/>
      <c r="I59" s="12" t="s">
        <v>8</v>
      </c>
      <c r="J59" s="447"/>
      <c r="K59" s="15"/>
      <c r="L59" s="330"/>
      <c r="U59" s="417"/>
      <c r="AB59" s="285"/>
    </row>
    <row r="60" spans="2:32" ht="16.5" thickBot="1" x14ac:dyDescent="0.3">
      <c r="B60" s="11"/>
      <c r="C60" s="401"/>
      <c r="E60" s="490" t="s">
        <v>350</v>
      </c>
      <c r="F60" s="427" t="s">
        <v>216</v>
      </c>
      <c r="G60" s="528" t="str">
        <f>IF($G$59&gt;=$G$58,"Pass","Fail")</f>
        <v>Pass</v>
      </c>
      <c r="H60" s="452"/>
      <c r="I60" s="12" t="s">
        <v>8</v>
      </c>
      <c r="J60" s="447"/>
      <c r="K60" s="15"/>
      <c r="L60" s="330"/>
      <c r="M60" s="15"/>
      <c r="N60" s="15"/>
      <c r="O60" s="5" t="s">
        <v>41</v>
      </c>
      <c r="P60" s="380" t="s">
        <v>313</v>
      </c>
      <c r="Q60" s="457" t="s">
        <v>351</v>
      </c>
      <c r="R60" s="15"/>
      <c r="S60" s="15"/>
      <c r="T60" s="15"/>
      <c r="U60" s="410"/>
      <c r="AB60" s="285"/>
    </row>
    <row r="61" spans="2:32" ht="15.75" x14ac:dyDescent="0.25">
      <c r="B61" s="11"/>
      <c r="E61" s="502" t="s">
        <v>353</v>
      </c>
      <c r="F61" s="482" t="s">
        <v>1</v>
      </c>
      <c r="G61" s="529">
        <f>1-G51</f>
        <v>0.55000000000000004</v>
      </c>
      <c r="H61" s="324"/>
      <c r="I61" s="12" t="s">
        <v>8</v>
      </c>
      <c r="J61" s="447"/>
      <c r="K61" s="15"/>
      <c r="L61" s="330"/>
      <c r="M61" s="15"/>
      <c r="N61" s="15"/>
      <c r="O61" s="579" t="s">
        <v>42</v>
      </c>
      <c r="P61" s="580"/>
      <c r="Q61" s="581"/>
      <c r="R61" s="15"/>
      <c r="S61" s="15"/>
      <c r="T61" s="15"/>
      <c r="U61" s="15"/>
      <c r="AB61" s="285"/>
    </row>
    <row r="62" spans="2:32" ht="16.5" thickBot="1" x14ac:dyDescent="0.3">
      <c r="B62" s="11"/>
      <c r="C62" s="401"/>
      <c r="D62" s="1">
        <f>IF(OR(G62&lt;0,G62=""),1,0)</f>
        <v>0</v>
      </c>
      <c r="E62" s="530" t="s">
        <v>294</v>
      </c>
      <c r="F62" s="491" t="s">
        <v>1</v>
      </c>
      <c r="G62" s="531">
        <v>0.15</v>
      </c>
      <c r="H62" s="323"/>
      <c r="I62" s="12" t="s">
        <v>8</v>
      </c>
      <c r="J62" s="447"/>
      <c r="K62" s="15"/>
      <c r="L62" s="330"/>
      <c r="M62" s="407"/>
      <c r="N62" s="15"/>
      <c r="O62" s="484" t="s">
        <v>46</v>
      </c>
      <c r="P62" s="7" t="s">
        <v>39</v>
      </c>
      <c r="Q62" s="510">
        <v>6</v>
      </c>
      <c r="R62" s="15"/>
      <c r="S62" s="12" t="s">
        <v>8</v>
      </c>
      <c r="T62" s="15"/>
      <c r="U62" s="15"/>
      <c r="AB62" s="285"/>
    </row>
    <row r="63" spans="2:32" ht="16.5" thickBot="1" x14ac:dyDescent="0.3">
      <c r="B63" s="11"/>
      <c r="E63" s="502" t="s">
        <v>336</v>
      </c>
      <c r="F63" s="482" t="s">
        <v>1</v>
      </c>
      <c r="G63" s="532">
        <f>(G62*F68)+(F67*G53*(1-G78))</f>
        <v>0.1040130779837824</v>
      </c>
      <c r="I63" s="12" t="s">
        <v>8</v>
      </c>
      <c r="J63" s="285"/>
      <c r="K63" s="15"/>
      <c r="L63" s="330"/>
      <c r="M63" s="15"/>
      <c r="N63" s="15"/>
      <c r="O63" s="490" t="s">
        <v>45</v>
      </c>
      <c r="P63" s="491" t="s">
        <v>0</v>
      </c>
      <c r="Q63" s="582">
        <f>-'Cash Flow'!$G$85/12*$Q$62</f>
        <v>122877.70362229762</v>
      </c>
      <c r="R63" s="15"/>
      <c r="S63" s="12" t="s">
        <v>8</v>
      </c>
      <c r="T63" s="15"/>
      <c r="U63" s="15"/>
      <c r="AB63" s="285"/>
    </row>
    <row r="64" spans="2:32" ht="16.5" thickBot="1" x14ac:dyDescent="0.3">
      <c r="B64" s="11"/>
      <c r="C64" s="401"/>
      <c r="E64" s="522" t="s">
        <v>200</v>
      </c>
      <c r="F64" s="491" t="s">
        <v>0</v>
      </c>
      <c r="G64" s="533">
        <v>0</v>
      </c>
      <c r="H64" s="320"/>
      <c r="I64" s="12" t="s">
        <v>8</v>
      </c>
      <c r="J64" s="285"/>
      <c r="K64" s="15"/>
      <c r="L64" s="330"/>
      <c r="M64" s="15"/>
      <c r="N64" s="15"/>
      <c r="O64" s="579" t="s">
        <v>66</v>
      </c>
      <c r="P64" s="580"/>
      <c r="Q64" s="583"/>
      <c r="R64" s="15"/>
      <c r="S64" s="15"/>
      <c r="T64" s="15"/>
      <c r="U64" s="15"/>
      <c r="AB64" s="285"/>
    </row>
    <row r="65" spans="2:28" ht="16.5" thickBot="1" x14ac:dyDescent="0.3">
      <c r="B65" s="11"/>
      <c r="J65" s="285"/>
      <c r="K65" s="15"/>
      <c r="L65" s="330"/>
      <c r="M65" s="407"/>
      <c r="N65" s="15"/>
      <c r="O65" s="508" t="s">
        <v>43</v>
      </c>
      <c r="P65" s="7" t="s">
        <v>39</v>
      </c>
      <c r="Q65" s="510">
        <v>6</v>
      </c>
      <c r="R65" s="15"/>
      <c r="S65" s="12" t="s">
        <v>8</v>
      </c>
      <c r="T65" s="15"/>
      <c r="AB65" s="285"/>
    </row>
    <row r="66" spans="2:28" ht="16.5" thickBot="1" x14ac:dyDescent="0.3">
      <c r="B66" s="330"/>
      <c r="E66" s="349" t="s">
        <v>274</v>
      </c>
      <c r="F66" s="22"/>
      <c r="G66" s="350"/>
      <c r="J66" s="285"/>
      <c r="L66" s="330"/>
      <c r="M66" s="15"/>
      <c r="N66" s="15"/>
      <c r="O66" s="511" t="s">
        <v>44</v>
      </c>
      <c r="P66" s="491" t="s">
        <v>0</v>
      </c>
      <c r="Q66" s="582">
        <f>-(AVERAGE('Cash Flow'!G36:AJ36)/12*$Q$65)</f>
        <v>80732.066600681384</v>
      </c>
      <c r="R66" s="15"/>
      <c r="S66" s="12" t="s">
        <v>8</v>
      </c>
      <c r="T66" s="15"/>
      <c r="U66" s="15"/>
      <c r="AB66" s="285"/>
    </row>
    <row r="67" spans="2:28" ht="16.5" thickBot="1" x14ac:dyDescent="0.3">
      <c r="B67" s="330"/>
      <c r="E67" s="502" t="s">
        <v>272</v>
      </c>
      <c r="F67" s="626">
        <f>G67/$G$70</f>
        <v>0.4228219595893638</v>
      </c>
      <c r="G67" s="534">
        <f>'Cash Flow'!F82</f>
        <v>2472075</v>
      </c>
      <c r="I67" s="12" t="s">
        <v>8</v>
      </c>
      <c r="J67" s="285"/>
      <c r="K67" s="15"/>
      <c r="L67" s="330"/>
      <c r="M67" s="407"/>
      <c r="N67" s="15"/>
      <c r="O67" s="585" t="s">
        <v>153</v>
      </c>
      <c r="P67" s="494" t="s">
        <v>1</v>
      </c>
      <c r="Q67" s="584">
        <v>0.02</v>
      </c>
      <c r="R67" s="15"/>
      <c r="S67" s="12" t="s">
        <v>8</v>
      </c>
      <c r="T67" s="15"/>
      <c r="AB67" s="285"/>
    </row>
    <row r="68" spans="2:28" ht="16.5" thickBot="1" x14ac:dyDescent="0.3">
      <c r="B68" s="330"/>
      <c r="E68" s="484" t="s">
        <v>273</v>
      </c>
      <c r="F68" s="625">
        <f>G68/$G$70</f>
        <v>0.57606628500785473</v>
      </c>
      <c r="G68" s="514">
        <f>-'Cash Flow'!$F$52</f>
        <v>3368034.7702229787</v>
      </c>
      <c r="I68" s="12" t="s">
        <v>8</v>
      </c>
      <c r="J68" s="285"/>
      <c r="L68" s="11"/>
      <c r="AB68" s="285"/>
    </row>
    <row r="69" spans="2:28" ht="16.5" thickBot="1" x14ac:dyDescent="0.3">
      <c r="B69" s="11"/>
      <c r="E69" s="535" t="s">
        <v>339</v>
      </c>
      <c r="F69" s="627">
        <f>G69/$G$70</f>
        <v>1.1117554027814144E-3</v>
      </c>
      <c r="G69" s="632">
        <f>IF($Q$30="Yes",$Q$29*(1-$G$74),$Q$29)+IF($Q$47="Yes",IF($Q$46=0,($Q$45*$G$8*1000)*(1-$G$76),MIN($Q$46*(1-$G$76),($Q$45*$G$8*1000)*(1-$G$76))),IF($Q$46=0,$Q$45*$G$8*1000,MIN($Q$46,$Q$45*$G$8*1000)))</f>
        <v>6500</v>
      </c>
      <c r="I69" s="12" t="s">
        <v>8</v>
      </c>
      <c r="J69" s="285"/>
      <c r="L69" s="11"/>
      <c r="O69" s="463" t="s">
        <v>99</v>
      </c>
      <c r="P69" s="609" t="s">
        <v>352</v>
      </c>
      <c r="Q69" s="609"/>
      <c r="R69" s="609"/>
      <c r="S69" s="609"/>
      <c r="T69" s="609"/>
      <c r="U69" s="609"/>
      <c r="V69" s="609"/>
      <c r="W69" s="609"/>
      <c r="X69" s="609"/>
      <c r="Y69" s="609"/>
      <c r="Z69" s="350"/>
      <c r="AB69" s="285"/>
    </row>
    <row r="70" spans="2:28" ht="17.25" thickTop="1" thickBot="1" x14ac:dyDescent="0.3">
      <c r="B70" s="330"/>
      <c r="E70" s="536" t="s">
        <v>143</v>
      </c>
      <c r="F70" s="537" t="s">
        <v>0</v>
      </c>
      <c r="G70" s="538">
        <f>SUM(G67:G69)</f>
        <v>5846609.7702229787</v>
      </c>
      <c r="I70" s="12" t="s">
        <v>8</v>
      </c>
      <c r="J70" s="285"/>
      <c r="L70" s="11"/>
      <c r="M70" s="405"/>
      <c r="N70" s="15"/>
      <c r="O70" s="568" t="s">
        <v>356</v>
      </c>
      <c r="P70" s="561" t="s">
        <v>13</v>
      </c>
      <c r="S70" s="462" t="s">
        <v>8</v>
      </c>
      <c r="Z70" s="285"/>
      <c r="AB70" s="285"/>
    </row>
    <row r="71" spans="2:28" ht="16.5" thickBot="1" x14ac:dyDescent="0.3">
      <c r="B71" s="11"/>
      <c r="J71" s="285"/>
      <c r="L71" s="11"/>
      <c r="M71" s="407"/>
      <c r="O71" s="490" t="s">
        <v>357</v>
      </c>
      <c r="P71" s="618">
        <v>0.5</v>
      </c>
      <c r="S71" s="12" t="s">
        <v>8</v>
      </c>
      <c r="Z71" s="338"/>
      <c r="AB71" s="285"/>
    </row>
    <row r="72" spans="2:28" ht="16.5" thickBot="1" x14ac:dyDescent="0.3">
      <c r="B72" s="11"/>
      <c r="E72" s="5" t="s">
        <v>162</v>
      </c>
      <c r="F72" s="380" t="s">
        <v>313</v>
      </c>
      <c r="G72" s="457" t="s">
        <v>351</v>
      </c>
      <c r="H72" s="325"/>
      <c r="I72" s="17"/>
      <c r="J72" s="285"/>
      <c r="L72" s="11"/>
      <c r="M72" s="15"/>
      <c r="N72" s="15"/>
      <c r="O72" s="586" t="s">
        <v>367</v>
      </c>
      <c r="P72" s="587" t="s">
        <v>22</v>
      </c>
      <c r="Q72" s="681" t="s">
        <v>136</v>
      </c>
      <c r="R72" s="697" t="s">
        <v>23</v>
      </c>
      <c r="S72" s="698"/>
      <c r="T72" s="699"/>
      <c r="U72" s="587" t="s">
        <v>137</v>
      </c>
      <c r="V72" s="587" t="s">
        <v>138</v>
      </c>
      <c r="W72" s="587" t="s">
        <v>24</v>
      </c>
      <c r="X72" s="587" t="s">
        <v>25</v>
      </c>
      <c r="Y72" s="587" t="s">
        <v>139</v>
      </c>
      <c r="Z72" s="588" t="s">
        <v>26</v>
      </c>
      <c r="AB72" s="285"/>
    </row>
    <row r="73" spans="2:28" ht="16.5" thickBot="1" x14ac:dyDescent="0.3">
      <c r="B73" s="11"/>
      <c r="C73" s="405"/>
      <c r="E73" s="493" t="s">
        <v>18</v>
      </c>
      <c r="F73" s="539"/>
      <c r="G73" s="540" t="s">
        <v>13</v>
      </c>
      <c r="H73" s="314"/>
      <c r="I73" s="12" t="s">
        <v>8</v>
      </c>
      <c r="J73" s="285"/>
      <c r="L73" s="11">
        <f>IF(AND($G$73="Yes",$G$18="Simple"),1,0)</f>
        <v>0</v>
      </c>
      <c r="M73" s="15"/>
      <c r="N73" s="265">
        <f>IF(AND($G$18="Simple",SUM(P73:Z73)=1),1,IF(AND($G$18="Simple",SUM(P73:Z73)&lt;&gt;1),2,0))</f>
        <v>0</v>
      </c>
      <c r="O73" s="589" t="str">
        <f t="shared" ref="O73:O78" si="0">E19</f>
        <v>Total Installed Cost</v>
      </c>
      <c r="P73" s="590">
        <v>0.94</v>
      </c>
      <c r="Q73" s="682">
        <v>0</v>
      </c>
      <c r="R73" s="700">
        <v>1.4999999999999999E-2</v>
      </c>
      <c r="S73" s="701"/>
      <c r="T73" s="702"/>
      <c r="U73" s="590">
        <v>0.01</v>
      </c>
      <c r="V73" s="590">
        <v>0</v>
      </c>
      <c r="W73" s="590">
        <v>0</v>
      </c>
      <c r="X73" s="590">
        <v>0.01</v>
      </c>
      <c r="Y73" s="590">
        <v>0</v>
      </c>
      <c r="Z73" s="591">
        <v>2.5000000000000001E-2</v>
      </c>
      <c r="AB73" s="326" t="s">
        <v>8</v>
      </c>
    </row>
    <row r="74" spans="2:28" ht="15.75" x14ac:dyDescent="0.25">
      <c r="B74" s="11"/>
      <c r="C74" s="401"/>
      <c r="D74" s="1">
        <f>IF(OR(G74&lt;0,G74=""),1,0)</f>
        <v>0</v>
      </c>
      <c r="E74" s="481" t="s">
        <v>6</v>
      </c>
      <c r="F74" s="482" t="s">
        <v>1</v>
      </c>
      <c r="G74" s="541">
        <v>0.35</v>
      </c>
      <c r="H74" s="304"/>
      <c r="I74" s="12" t="s">
        <v>8</v>
      </c>
      <c r="J74" s="447"/>
      <c r="L74" s="11">
        <f>IF(AND($G$73="Yes",$G$18="Intermediate"),1,0)</f>
        <v>1</v>
      </c>
      <c r="M74" s="15"/>
      <c r="N74" s="265">
        <f>IF(AND($G$18="Intermediate",SUM(P74:Z74)=1),1,IF(AND($G$18="Intermediate",SUM(P74:Z74)&lt;&gt;1),2,0))</f>
        <v>1</v>
      </c>
      <c r="O74" s="592" t="str">
        <f t="shared" si="0"/>
        <v>Generation Equipment</v>
      </c>
      <c r="P74" s="593">
        <v>0.96</v>
      </c>
      <c r="Q74" s="683">
        <v>0</v>
      </c>
      <c r="R74" s="703">
        <v>0.02</v>
      </c>
      <c r="S74" s="704"/>
      <c r="T74" s="705"/>
      <c r="U74" s="593">
        <v>0</v>
      </c>
      <c r="V74" s="593">
        <v>0</v>
      </c>
      <c r="W74" s="593">
        <v>0</v>
      </c>
      <c r="X74" s="593">
        <v>0.02</v>
      </c>
      <c r="Y74" s="593">
        <v>0</v>
      </c>
      <c r="Z74" s="594">
        <v>0</v>
      </c>
      <c r="AB74" s="326" t="s">
        <v>8</v>
      </c>
    </row>
    <row r="75" spans="2:28" ht="16.5" thickBot="1" x14ac:dyDescent="0.3">
      <c r="B75" s="11"/>
      <c r="C75" s="405"/>
      <c r="E75" s="542" t="s">
        <v>308</v>
      </c>
      <c r="F75" s="543"/>
      <c r="G75" s="544" t="s">
        <v>512</v>
      </c>
      <c r="H75" s="314"/>
      <c r="I75" s="12" t="s">
        <v>8</v>
      </c>
      <c r="J75" s="285"/>
      <c r="L75" s="11">
        <f>IF(AND($G$73="Yes",$G$18="Intermediate"),1,0)</f>
        <v>1</v>
      </c>
      <c r="M75" s="15"/>
      <c r="N75" s="265">
        <f>IF(AND($G$18="Intermediate",SUM(P75:Z75)=1),1,IF(AND($G$18="Intermediate",SUM(P75:Z75)&lt;&gt;1),2,0))</f>
        <v>1</v>
      </c>
      <c r="O75" s="595" t="str">
        <f t="shared" si="0"/>
        <v>Balance of Plant</v>
      </c>
      <c r="P75" s="399">
        <v>0.5</v>
      </c>
      <c r="Q75" s="679">
        <v>0</v>
      </c>
      <c r="R75" s="694">
        <v>0</v>
      </c>
      <c r="S75" s="695"/>
      <c r="T75" s="696"/>
      <c r="U75" s="399">
        <v>0</v>
      </c>
      <c r="V75" s="399">
        <v>0</v>
      </c>
      <c r="W75" s="399">
        <v>0.5</v>
      </c>
      <c r="X75" s="399">
        <v>0</v>
      </c>
      <c r="Y75" s="399">
        <v>0</v>
      </c>
      <c r="Z75" s="596">
        <v>0</v>
      </c>
      <c r="AB75" s="326" t="s">
        <v>8</v>
      </c>
    </row>
    <row r="76" spans="2:28" ht="15.75" x14ac:dyDescent="0.25">
      <c r="B76" s="11"/>
      <c r="C76" s="401"/>
      <c r="D76" s="1">
        <f>IF(OR(G76&lt;0,G76=""),1,0)</f>
        <v>0</v>
      </c>
      <c r="E76" s="481" t="s">
        <v>7</v>
      </c>
      <c r="F76" s="482" t="s">
        <v>1</v>
      </c>
      <c r="G76" s="541">
        <v>8.5000000000000006E-2</v>
      </c>
      <c r="H76" s="304"/>
      <c r="I76" s="12" t="s">
        <v>8</v>
      </c>
      <c r="J76" s="447"/>
      <c r="L76" s="11">
        <f>IF(AND($G$73="Yes",$G$18="Intermediate"),1,0)</f>
        <v>1</v>
      </c>
      <c r="M76" s="15"/>
      <c r="N76" s="265">
        <f>IF(AND($G$18="Intermediate",SUM(P76:Z76)=1),1,IF(AND($G$18="Intermediate",SUM(P76:Z76)&lt;&gt;1),2,0))</f>
        <v>1</v>
      </c>
      <c r="O76" s="595" t="str">
        <f t="shared" si="0"/>
        <v>Interconnection</v>
      </c>
      <c r="P76" s="399">
        <v>0</v>
      </c>
      <c r="Q76" s="679">
        <v>0</v>
      </c>
      <c r="R76" s="694">
        <v>1</v>
      </c>
      <c r="S76" s="695"/>
      <c r="T76" s="696"/>
      <c r="U76" s="399">
        <v>0</v>
      </c>
      <c r="V76" s="399">
        <v>0</v>
      </c>
      <c r="W76" s="399">
        <v>0</v>
      </c>
      <c r="X76" s="399">
        <v>0</v>
      </c>
      <c r="Y76" s="399">
        <v>0</v>
      </c>
      <c r="Z76" s="596">
        <v>0</v>
      </c>
      <c r="AB76" s="326" t="s">
        <v>8</v>
      </c>
    </row>
    <row r="77" spans="2:28" ht="16.5" thickBot="1" x14ac:dyDescent="0.3">
      <c r="B77" s="11"/>
      <c r="C77" s="405"/>
      <c r="E77" s="542" t="s">
        <v>309</v>
      </c>
      <c r="F77" s="543"/>
      <c r="G77" s="544" t="s">
        <v>512</v>
      </c>
      <c r="H77" s="314"/>
      <c r="I77" s="12" t="s">
        <v>8</v>
      </c>
      <c r="J77" s="447"/>
      <c r="L77" s="11">
        <f>IF(AND($G$73="Yes",$G$18="Intermediate"),1,0)</f>
        <v>1</v>
      </c>
      <c r="M77" s="15"/>
      <c r="N77" s="265">
        <f>IF(AND($G$18="Intermediate",SUM(P77:Z77)=1),1,IF(AND($G$18="Intermediate",SUM(P77:Z77)&lt;&gt;1),2,0))</f>
        <v>1</v>
      </c>
      <c r="O77" s="595" t="str">
        <f t="shared" si="0"/>
        <v>Development Costs &amp; Fee</v>
      </c>
      <c r="P77" s="399">
        <v>0.8</v>
      </c>
      <c r="Q77" s="679">
        <v>0</v>
      </c>
      <c r="R77" s="694">
        <v>0</v>
      </c>
      <c r="S77" s="695"/>
      <c r="T77" s="696"/>
      <c r="U77" s="399">
        <v>0</v>
      </c>
      <c r="V77" s="399">
        <v>0</v>
      </c>
      <c r="W77" s="399">
        <v>0.05</v>
      </c>
      <c r="X77" s="399">
        <v>0.05</v>
      </c>
      <c r="Y77" s="399">
        <v>0</v>
      </c>
      <c r="Z77" s="596">
        <v>0.1</v>
      </c>
      <c r="AB77" s="326" t="s">
        <v>8</v>
      </c>
    </row>
    <row r="78" spans="2:28" ht="16.5" thickBot="1" x14ac:dyDescent="0.3">
      <c r="B78" s="11"/>
      <c r="E78" s="545" t="s">
        <v>33</v>
      </c>
      <c r="F78" s="546" t="s">
        <v>1</v>
      </c>
      <c r="G78" s="547">
        <f>IF($G$73="Yes",$G$74+(G76*(1-$G$74)),0%)</f>
        <v>0.40525</v>
      </c>
      <c r="H78" s="327"/>
      <c r="I78" s="12" t="s">
        <v>8</v>
      </c>
      <c r="J78" s="447"/>
      <c r="L78" s="11">
        <f>IF(AND($G$73="Yes",$G$18="Intermediate"),1,0)</f>
        <v>1</v>
      </c>
      <c r="M78" s="15"/>
      <c r="N78" s="265">
        <f>IF(AND($G$18="Intermediate",SUM(P78:Z78)=1),1,IF(AND($G$18="Intermediate",SUM(P78:Z78)&lt;&gt;1),2,0))</f>
        <v>1</v>
      </c>
      <c r="O78" s="597" t="str">
        <f t="shared" si="0"/>
        <v>Reserves &amp; Financing Costs</v>
      </c>
      <c r="P78" s="598">
        <v>0</v>
      </c>
      <c r="Q78" s="680">
        <v>0</v>
      </c>
      <c r="R78" s="706">
        <v>0</v>
      </c>
      <c r="S78" s="707"/>
      <c r="T78" s="708"/>
      <c r="U78" s="598">
        <v>0</v>
      </c>
      <c r="V78" s="598">
        <v>0</v>
      </c>
      <c r="W78" s="598">
        <v>0</v>
      </c>
      <c r="X78" s="598">
        <v>0.5</v>
      </c>
      <c r="Y78" s="598">
        <v>0</v>
      </c>
      <c r="Z78" s="599">
        <v>0.5</v>
      </c>
      <c r="AB78" s="326" t="s">
        <v>8</v>
      </c>
    </row>
    <row r="79" spans="2:28" ht="16.5" thickBot="1" x14ac:dyDescent="0.3">
      <c r="B79" s="328"/>
      <c r="C79" s="39"/>
      <c r="D79" s="39"/>
      <c r="E79" s="490" t="s">
        <v>99</v>
      </c>
      <c r="F79" s="426"/>
      <c r="G79" s="548" t="s">
        <v>107</v>
      </c>
      <c r="H79" s="428"/>
      <c r="I79" s="429" t="s">
        <v>8</v>
      </c>
      <c r="J79" s="338"/>
      <c r="L79" s="328">
        <f>IF(AND($G$73="Yes",$G$18="Complex"),1,0)</f>
        <v>0</v>
      </c>
      <c r="M79" s="339"/>
      <c r="N79" s="339"/>
      <c r="O79" s="600" t="s">
        <v>337</v>
      </c>
      <c r="P79" s="601"/>
      <c r="Q79" s="602"/>
      <c r="R79" s="709"/>
      <c r="S79" s="710"/>
      <c r="T79" s="711"/>
      <c r="U79" s="601"/>
      <c r="V79" s="601"/>
      <c r="W79" s="601"/>
      <c r="X79" s="601"/>
      <c r="Y79" s="601"/>
      <c r="Z79" s="603"/>
      <c r="AA79" s="39"/>
      <c r="AB79" s="464" t="s">
        <v>8</v>
      </c>
    </row>
    <row r="81" spans="1:28" ht="15.75" thickBot="1" x14ac:dyDescent="0.25"/>
    <row r="82" spans="1:28" ht="15.75" x14ac:dyDescent="0.25">
      <c r="B82" s="384"/>
      <c r="C82" s="385"/>
      <c r="D82" s="385"/>
      <c r="E82" s="396" t="s">
        <v>314</v>
      </c>
      <c r="F82" s="385"/>
      <c r="G82" s="385"/>
      <c r="H82" s="385"/>
      <c r="I82" s="385"/>
      <c r="J82" s="385"/>
      <c r="K82" s="385"/>
      <c r="L82" s="385"/>
      <c r="M82" s="386"/>
      <c r="N82" s="386"/>
      <c r="O82" s="386"/>
      <c r="P82" s="386"/>
      <c r="Q82" s="386"/>
      <c r="R82" s="386"/>
      <c r="S82" s="386"/>
      <c r="T82" s="386"/>
      <c r="U82" s="386"/>
      <c r="V82" s="385"/>
      <c r="W82" s="385"/>
      <c r="X82" s="385"/>
      <c r="Y82" s="385"/>
      <c r="Z82" s="385"/>
      <c r="AA82" s="385"/>
      <c r="AB82" s="387"/>
    </row>
    <row r="83" spans="1:28" ht="15.75" x14ac:dyDescent="0.25">
      <c r="B83" s="388"/>
      <c r="C83" s="382"/>
      <c r="D83" s="382"/>
      <c r="E83" s="389" t="s">
        <v>316</v>
      </c>
      <c r="F83" s="382"/>
      <c r="G83" s="382"/>
      <c r="H83" s="382"/>
      <c r="I83" s="382"/>
      <c r="J83" s="382"/>
      <c r="K83" s="382"/>
      <c r="L83" s="382"/>
      <c r="M83" s="383"/>
      <c r="N83" s="383"/>
      <c r="O83" s="383"/>
      <c r="P83" s="383"/>
      <c r="Q83" s="383"/>
      <c r="R83" s="383"/>
      <c r="S83" s="383"/>
      <c r="T83" s="383"/>
      <c r="U83" s="383"/>
      <c r="V83" s="382"/>
      <c r="W83" s="382"/>
      <c r="X83" s="382"/>
      <c r="Y83" s="382"/>
      <c r="Z83" s="382"/>
      <c r="AA83" s="382"/>
      <c r="AB83" s="390"/>
    </row>
    <row r="84" spans="1:28" ht="15.75" x14ac:dyDescent="0.25">
      <c r="B84" s="388"/>
      <c r="C84" s="382"/>
      <c r="D84" s="382"/>
      <c r="E84" s="389" t="s">
        <v>317</v>
      </c>
      <c r="F84" s="382"/>
      <c r="G84" s="382"/>
      <c r="H84" s="382"/>
      <c r="I84" s="382"/>
      <c r="J84" s="382"/>
      <c r="K84" s="382"/>
      <c r="L84" s="382"/>
      <c r="M84" s="383"/>
      <c r="N84" s="383"/>
      <c r="O84" s="383"/>
      <c r="P84" s="383"/>
      <c r="Q84" s="383"/>
      <c r="R84" s="383"/>
      <c r="S84" s="383"/>
      <c r="T84" s="383"/>
      <c r="U84" s="383"/>
      <c r="V84" s="382"/>
      <c r="W84" s="382"/>
      <c r="X84" s="382"/>
      <c r="Y84" s="382"/>
      <c r="Z84" s="382"/>
      <c r="AA84" s="382"/>
      <c r="AB84" s="390"/>
    </row>
    <row r="85" spans="1:28" ht="15.75" x14ac:dyDescent="0.25">
      <c r="B85" s="388"/>
      <c r="C85" s="382"/>
      <c r="D85" s="382"/>
      <c r="E85" s="389" t="s">
        <v>318</v>
      </c>
      <c r="F85" s="382"/>
      <c r="G85" s="382"/>
      <c r="H85" s="382"/>
      <c r="I85" s="382"/>
      <c r="J85" s="382"/>
      <c r="K85" s="382"/>
      <c r="L85" s="382"/>
      <c r="M85" s="383"/>
      <c r="N85" s="383"/>
      <c r="O85" s="383"/>
      <c r="P85" s="383"/>
      <c r="Q85" s="383"/>
      <c r="R85" s="383"/>
      <c r="S85" s="383"/>
      <c r="T85" s="383"/>
      <c r="U85" s="383"/>
      <c r="V85" s="382"/>
      <c r="W85" s="382"/>
      <c r="X85" s="382"/>
      <c r="Y85" s="382"/>
      <c r="Z85" s="382"/>
      <c r="AA85" s="382"/>
      <c r="AB85" s="390"/>
    </row>
    <row r="86" spans="1:28" ht="15.75" x14ac:dyDescent="0.25">
      <c r="B86" s="388"/>
      <c r="C86" s="382"/>
      <c r="D86" s="382"/>
      <c r="E86" s="389" t="s">
        <v>319</v>
      </c>
      <c r="F86" s="382"/>
      <c r="G86" s="382"/>
      <c r="H86" s="382"/>
      <c r="I86" s="382"/>
      <c r="J86" s="382"/>
      <c r="K86" s="382"/>
      <c r="L86" s="382"/>
      <c r="M86" s="383"/>
      <c r="N86" s="383"/>
      <c r="O86" s="383"/>
      <c r="P86" s="383"/>
      <c r="Q86" s="383"/>
      <c r="R86" s="383"/>
      <c r="S86" s="383"/>
      <c r="T86" s="383"/>
      <c r="U86" s="383"/>
      <c r="V86" s="382"/>
      <c r="W86" s="382"/>
      <c r="X86" s="382"/>
      <c r="Y86" s="382"/>
      <c r="Z86" s="382"/>
      <c r="AA86" s="382"/>
      <c r="AB86" s="390"/>
    </row>
    <row r="87" spans="1:28" ht="15.75" x14ac:dyDescent="0.25">
      <c r="B87" s="388"/>
      <c r="C87" s="382"/>
      <c r="D87" s="382"/>
      <c r="E87" s="389" t="s">
        <v>334</v>
      </c>
      <c r="F87" s="382"/>
      <c r="G87" s="382"/>
      <c r="H87" s="382"/>
      <c r="I87" s="382"/>
      <c r="J87" s="382"/>
      <c r="K87" s="382"/>
      <c r="L87" s="382"/>
      <c r="M87" s="383"/>
      <c r="N87" s="383"/>
      <c r="O87" s="383"/>
      <c r="P87" s="383"/>
      <c r="Q87" s="383"/>
      <c r="R87" s="383"/>
      <c r="S87" s="383"/>
      <c r="T87" s="383"/>
      <c r="U87" s="383"/>
      <c r="V87" s="382"/>
      <c r="W87" s="382"/>
      <c r="X87" s="382"/>
      <c r="Y87" s="382"/>
      <c r="Z87" s="382"/>
      <c r="AA87" s="382"/>
      <c r="AB87" s="390"/>
    </row>
    <row r="88" spans="1:28" ht="15.75" x14ac:dyDescent="0.25">
      <c r="B88" s="388"/>
      <c r="C88" s="382"/>
      <c r="D88" s="382"/>
      <c r="E88" s="389" t="s">
        <v>335</v>
      </c>
      <c r="F88" s="382"/>
      <c r="G88" s="382"/>
      <c r="H88" s="382"/>
      <c r="I88" s="382"/>
      <c r="J88" s="382"/>
      <c r="K88" s="382"/>
      <c r="L88" s="382"/>
      <c r="M88" s="383"/>
      <c r="N88" s="383"/>
      <c r="O88" s="383"/>
      <c r="P88" s="383"/>
      <c r="Q88" s="383"/>
      <c r="R88" s="383"/>
      <c r="S88" s="383"/>
      <c r="T88" s="383"/>
      <c r="U88" s="383"/>
      <c r="V88" s="382"/>
      <c r="W88" s="382"/>
      <c r="X88" s="382"/>
      <c r="Y88" s="382"/>
      <c r="Z88" s="382"/>
      <c r="AA88" s="382"/>
      <c r="AB88" s="390"/>
    </row>
    <row r="89" spans="1:28" ht="15.75" x14ac:dyDescent="0.25">
      <c r="B89" s="388"/>
      <c r="C89" s="382"/>
      <c r="D89" s="382"/>
      <c r="E89" s="389" t="s">
        <v>320</v>
      </c>
      <c r="F89" s="382"/>
      <c r="G89" s="382"/>
      <c r="H89" s="382"/>
      <c r="I89" s="382"/>
      <c r="J89" s="382"/>
      <c r="K89" s="382"/>
      <c r="L89" s="382"/>
      <c r="M89" s="383"/>
      <c r="N89" s="383"/>
      <c r="O89" s="383"/>
      <c r="P89" s="383"/>
      <c r="Q89" s="383"/>
      <c r="R89" s="383"/>
      <c r="S89" s="383"/>
      <c r="T89" s="383"/>
      <c r="U89" s="383"/>
      <c r="V89" s="382"/>
      <c r="W89" s="382"/>
      <c r="X89" s="382"/>
      <c r="Y89" s="382"/>
      <c r="Z89" s="382"/>
      <c r="AA89" s="382"/>
      <c r="AB89" s="390"/>
    </row>
    <row r="90" spans="1:28" ht="15.75" x14ac:dyDescent="0.25">
      <c r="B90" s="388"/>
      <c r="C90" s="382"/>
      <c r="D90" s="382"/>
      <c r="E90" s="389" t="s">
        <v>321</v>
      </c>
      <c r="F90" s="382"/>
      <c r="G90" s="382"/>
      <c r="H90" s="382"/>
      <c r="I90" s="382"/>
      <c r="J90" s="382"/>
      <c r="K90" s="382"/>
      <c r="L90" s="382"/>
      <c r="M90" s="383"/>
      <c r="N90" s="383"/>
      <c r="O90" s="383"/>
      <c r="P90" s="383"/>
      <c r="Q90" s="383"/>
      <c r="R90" s="383"/>
      <c r="S90" s="383"/>
      <c r="T90" s="383"/>
      <c r="U90" s="383"/>
      <c r="V90" s="382"/>
      <c r="W90" s="382"/>
      <c r="X90" s="382"/>
      <c r="Y90" s="382"/>
      <c r="Z90" s="382"/>
      <c r="AA90" s="382"/>
      <c r="AB90" s="390"/>
    </row>
    <row r="91" spans="1:28" ht="15.75" x14ac:dyDescent="0.25">
      <c r="B91" s="388"/>
      <c r="C91" s="382"/>
      <c r="D91" s="382"/>
      <c r="E91" s="389" t="s">
        <v>322</v>
      </c>
      <c r="F91" s="382"/>
      <c r="G91" s="382"/>
      <c r="H91" s="382"/>
      <c r="I91" s="382"/>
      <c r="J91" s="382"/>
      <c r="K91" s="383"/>
      <c r="L91" s="383"/>
      <c r="M91" s="383"/>
      <c r="N91" s="383"/>
      <c r="O91" s="383"/>
      <c r="P91" s="383"/>
      <c r="Q91" s="383"/>
      <c r="R91" s="383"/>
      <c r="S91" s="383"/>
      <c r="T91" s="383"/>
      <c r="U91" s="383"/>
      <c r="V91" s="382"/>
      <c r="W91" s="382"/>
      <c r="X91" s="382"/>
      <c r="Y91" s="382"/>
      <c r="Z91" s="382"/>
      <c r="AA91" s="382"/>
      <c r="AB91" s="390"/>
    </row>
    <row r="92" spans="1:28" ht="15.75" x14ac:dyDescent="0.25">
      <c r="B92" s="388"/>
      <c r="C92" s="382"/>
      <c r="D92" s="382"/>
      <c r="E92" s="389" t="s">
        <v>323</v>
      </c>
      <c r="F92" s="382"/>
      <c r="G92" s="382"/>
      <c r="H92" s="382"/>
      <c r="I92" s="382"/>
      <c r="J92" s="382"/>
      <c r="K92" s="383"/>
      <c r="L92" s="383"/>
      <c r="M92" s="383"/>
      <c r="N92" s="383"/>
      <c r="O92" s="383"/>
      <c r="P92" s="383"/>
      <c r="Q92" s="383"/>
      <c r="R92" s="383"/>
      <c r="S92" s="383"/>
      <c r="T92" s="383"/>
      <c r="U92" s="383"/>
      <c r="V92" s="382"/>
      <c r="W92" s="382"/>
      <c r="X92" s="382"/>
      <c r="Y92" s="382"/>
      <c r="Z92" s="382"/>
      <c r="AA92" s="382"/>
      <c r="AB92" s="390"/>
    </row>
    <row r="93" spans="1:28" ht="15.75" x14ac:dyDescent="0.25">
      <c r="B93" s="388"/>
      <c r="C93" s="382"/>
      <c r="D93" s="382"/>
      <c r="E93" s="389" t="s">
        <v>324</v>
      </c>
      <c r="F93" s="382"/>
      <c r="G93" s="382"/>
      <c r="H93" s="382"/>
      <c r="I93" s="382"/>
      <c r="J93" s="382"/>
      <c r="K93" s="383"/>
      <c r="L93" s="383"/>
      <c r="M93" s="383"/>
      <c r="N93" s="383"/>
      <c r="O93" s="383"/>
      <c r="P93" s="383"/>
      <c r="Q93" s="383"/>
      <c r="R93" s="383"/>
      <c r="S93" s="383"/>
      <c r="T93" s="383"/>
      <c r="U93" s="383"/>
      <c r="V93" s="382"/>
      <c r="W93" s="382"/>
      <c r="X93" s="382"/>
      <c r="Y93" s="382"/>
      <c r="Z93" s="382"/>
      <c r="AA93" s="382"/>
      <c r="AB93" s="390"/>
    </row>
    <row r="94" spans="1:28" ht="16.5" thickBot="1" x14ac:dyDescent="0.3">
      <c r="B94" s="391"/>
      <c r="C94" s="392"/>
      <c r="D94" s="392"/>
      <c r="E94" s="393" t="s">
        <v>315</v>
      </c>
      <c r="F94" s="392"/>
      <c r="G94" s="392"/>
      <c r="H94" s="392"/>
      <c r="I94" s="392"/>
      <c r="J94" s="392"/>
      <c r="K94" s="394"/>
      <c r="L94" s="394"/>
      <c r="M94" s="394"/>
      <c r="N94" s="394"/>
      <c r="O94" s="394"/>
      <c r="P94" s="394"/>
      <c r="Q94" s="394"/>
      <c r="R94" s="394"/>
      <c r="S94" s="394"/>
      <c r="T94" s="394"/>
      <c r="U94" s="394"/>
      <c r="V94" s="392"/>
      <c r="W94" s="392"/>
      <c r="X94" s="392"/>
      <c r="Y94" s="392"/>
      <c r="Z94" s="392"/>
      <c r="AA94" s="392"/>
      <c r="AB94" s="395"/>
    </row>
    <row r="95" spans="1:28" ht="15.75" x14ac:dyDescent="0.25">
      <c r="E95"/>
    </row>
    <row r="96" spans="1:28" x14ac:dyDescent="0.2">
      <c r="A96" s="611"/>
      <c r="B96" s="611"/>
      <c r="C96" s="611"/>
      <c r="D96" s="612"/>
      <c r="E96" s="613"/>
      <c r="F96" s="611"/>
      <c r="G96" s="611"/>
      <c r="H96" s="611"/>
      <c r="I96" s="611"/>
      <c r="J96" s="611"/>
      <c r="K96" s="611"/>
    </row>
    <row r="97" spans="1:28" x14ac:dyDescent="0.2">
      <c r="A97" s="611"/>
      <c r="B97" s="611"/>
      <c r="C97" s="611"/>
      <c r="D97" s="611"/>
      <c r="E97" s="614"/>
      <c r="F97" s="611"/>
      <c r="G97" s="615"/>
      <c r="H97" s="611"/>
      <c r="I97" s="611"/>
      <c r="J97" s="611"/>
      <c r="K97" s="611"/>
    </row>
    <row r="98" spans="1:28" x14ac:dyDescent="0.2">
      <c r="A98" s="611"/>
      <c r="B98" s="611"/>
      <c r="C98" s="611"/>
      <c r="D98" s="611"/>
      <c r="E98" s="614"/>
      <c r="F98" s="611"/>
      <c r="G98" s="615"/>
      <c r="H98" s="611"/>
      <c r="I98" s="611"/>
      <c r="J98" s="611"/>
      <c r="K98" s="611"/>
    </row>
    <row r="99" spans="1:28" x14ac:dyDescent="0.2">
      <c r="A99" s="611"/>
      <c r="B99" s="611"/>
      <c r="C99" s="611"/>
      <c r="D99" s="611"/>
      <c r="E99" s="614"/>
      <c r="F99" s="611"/>
      <c r="G99" s="615"/>
      <c r="H99" s="611"/>
      <c r="I99" s="611"/>
      <c r="J99" s="611"/>
      <c r="K99" s="611"/>
    </row>
    <row r="100" spans="1:28" x14ac:dyDescent="0.2">
      <c r="A100" s="611"/>
      <c r="B100" s="611"/>
      <c r="C100" s="611"/>
      <c r="D100" s="611"/>
      <c r="E100" s="614"/>
      <c r="F100" s="611"/>
      <c r="G100" s="615"/>
      <c r="H100" s="611"/>
      <c r="I100" s="611"/>
      <c r="J100" s="611"/>
      <c r="K100" s="611"/>
    </row>
    <row r="101" spans="1:28" x14ac:dyDescent="0.2">
      <c r="A101" s="611"/>
      <c r="B101" s="611"/>
    </row>
    <row r="103" spans="1:28" x14ac:dyDescent="0.2">
      <c r="L103" s="611"/>
      <c r="M103" s="611"/>
      <c r="N103" s="611"/>
      <c r="O103" s="611"/>
      <c r="P103" s="611"/>
      <c r="Q103" s="611"/>
      <c r="R103" s="611"/>
      <c r="S103" s="611"/>
      <c r="T103" s="611"/>
      <c r="U103" s="611"/>
      <c r="V103" s="611"/>
      <c r="W103" s="611"/>
      <c r="X103" s="611"/>
      <c r="Y103" s="611"/>
      <c r="Z103" s="611"/>
      <c r="AA103" s="611"/>
      <c r="AB103" s="611"/>
    </row>
    <row r="104" spans="1:28" x14ac:dyDescent="0.2">
      <c r="L104" s="611"/>
      <c r="M104" s="611"/>
      <c r="N104" s="611"/>
      <c r="O104" s="611"/>
      <c r="P104" s="611"/>
      <c r="Q104" s="611"/>
      <c r="R104" s="611"/>
      <c r="S104" s="611"/>
      <c r="T104" s="611"/>
      <c r="U104" s="611"/>
      <c r="V104" s="611"/>
      <c r="W104" s="611"/>
      <c r="X104" s="611"/>
      <c r="Y104" s="611"/>
      <c r="Z104" s="611"/>
      <c r="AA104" s="611"/>
      <c r="AB104" s="611"/>
    </row>
  </sheetData>
  <protectedRanges>
    <protectedRange sqref="P70:P71 P73:Z78" name="Depreciation Inputs"/>
    <protectedRange sqref="Q8:Q10 Q13:Q15 Q50:Q53 Q57:Q58 Q62 Q65 Q67 Q47 Q38:Q41 Q24:Q25 Q19:Q21 Q33:Q34 Q27:Q30 Q36 Q43:Q45" name="Column Q Inputs"/>
    <protectedRange sqref="G5 G51:G55 G14:G15 G18:G23 G46:G47 G58 G62 G64 G73:G77 G30:G36 G38:G42 G8:G11" name="Column G Inputs"/>
  </protectedRanges>
  <mergeCells count="11">
    <mergeCell ref="R76:T76"/>
    <mergeCell ref="R77:T77"/>
    <mergeCell ref="R78:T78"/>
    <mergeCell ref="R79:T79"/>
    <mergeCell ref="AD2:AE3"/>
    <mergeCell ref="O4:P4"/>
    <mergeCell ref="C2:T2"/>
    <mergeCell ref="R75:T75"/>
    <mergeCell ref="R72:T72"/>
    <mergeCell ref="R73:T73"/>
    <mergeCell ref="R74:T74"/>
  </mergeCells>
  <conditionalFormatting sqref="C18">
    <cfRule type="expression" dxfId="147" priority="567">
      <formula>$G$18&lt;&gt;""</formula>
    </cfRule>
  </conditionalFormatting>
  <conditionalFormatting sqref="C31">
    <cfRule type="expression" dxfId="146" priority="561">
      <formula>$G$31&gt;=0</formula>
    </cfRule>
  </conditionalFormatting>
  <conditionalFormatting sqref="C19">
    <cfRule type="expression" dxfId="145" priority="388">
      <formula>AND($G$18="Simple",$G$19&gt;0)</formula>
    </cfRule>
    <cfRule type="expression" dxfId="144" priority="558">
      <formula>AND($G$18="Simple",$G$19&lt;=0)</formula>
    </cfRule>
  </conditionalFormatting>
  <conditionalFormatting sqref="C20">
    <cfRule type="expression" dxfId="143" priority="387">
      <formula>AND($G$18="Intermediate",$G$20&gt;0)</formula>
    </cfRule>
    <cfRule type="expression" dxfId="142" priority="557">
      <formula>AND($G$18="Intermediate",$G$20&lt;=0)</formula>
    </cfRule>
  </conditionalFormatting>
  <conditionalFormatting sqref="C74">
    <cfRule type="expression" dxfId="141" priority="141">
      <formula>$G$73="No"</formula>
    </cfRule>
    <cfRule type="expression" dxfId="140" priority="142">
      <formula>$D$74=1</formula>
    </cfRule>
  </conditionalFormatting>
  <conditionalFormatting sqref="C62">
    <cfRule type="expression" dxfId="139" priority="379">
      <formula>$D$62=1</formula>
    </cfRule>
  </conditionalFormatting>
  <conditionalFormatting sqref="L29 G25:H25 K25">
    <cfRule type="expression" dxfId="138" priority="721">
      <formula>$G$18="Complex"</formula>
    </cfRule>
  </conditionalFormatting>
  <conditionalFormatting sqref="C51">
    <cfRule type="expression" dxfId="137" priority="381">
      <formula>$D$51=1</formula>
    </cfRule>
  </conditionalFormatting>
  <conditionalFormatting sqref="M10">
    <cfRule type="expression" dxfId="136" priority="404">
      <formula>$Q$10&lt;&gt;""</formula>
    </cfRule>
  </conditionalFormatting>
  <conditionalFormatting sqref="M9">
    <cfRule type="expression" dxfId="135" priority="403">
      <formula>$Q$9&lt;&gt;""</formula>
    </cfRule>
  </conditionalFormatting>
  <conditionalFormatting sqref="E36:G43">
    <cfRule type="expression" dxfId="134" priority="399">
      <formula>$G$30="Simple"</formula>
    </cfRule>
  </conditionalFormatting>
  <conditionalFormatting sqref="C25">
    <cfRule type="expression" dxfId="133" priority="385">
      <formula>AND($G$18="Complex",$G$25&gt;0)</formula>
    </cfRule>
    <cfRule type="expression" dxfId="132" priority="386">
      <formula>$G$18="Complex"</formula>
    </cfRule>
  </conditionalFormatting>
  <conditionalFormatting sqref="C33">
    <cfRule type="expression" dxfId="131" priority="384">
      <formula>$G$33&gt;0</formula>
    </cfRule>
  </conditionalFormatting>
  <conditionalFormatting sqref="C34">
    <cfRule type="expression" dxfId="130" priority="383">
      <formula>AND($G$34&gt;0,$G$34&lt;=$G$15)</formula>
    </cfRule>
  </conditionalFormatting>
  <conditionalFormatting sqref="C35">
    <cfRule type="expression" dxfId="129" priority="382">
      <formula>$G$35&gt;0</formula>
    </cfRule>
  </conditionalFormatting>
  <conditionalFormatting sqref="G57">
    <cfRule type="expression" dxfId="128" priority="366">
      <formula>$G$57="Fail"</formula>
    </cfRule>
  </conditionalFormatting>
  <conditionalFormatting sqref="O58:Q58 S58">
    <cfRule type="expression" dxfId="127" priority="361">
      <formula>$Q$57="Salvage"</formula>
    </cfRule>
  </conditionalFormatting>
  <conditionalFormatting sqref="E46:G48">
    <cfRule type="expression" dxfId="126" priority="339">
      <formula>$G$18="Simple"</formula>
    </cfRule>
  </conditionalFormatting>
  <conditionalFormatting sqref="G60">
    <cfRule type="expression" dxfId="125" priority="307">
      <formula>$G$60="Fail"</formula>
    </cfRule>
  </conditionalFormatting>
  <conditionalFormatting sqref="G19">
    <cfRule type="expression" dxfId="124" priority="271">
      <formula>$G$18="Simple"</formula>
    </cfRule>
  </conditionalFormatting>
  <conditionalFormatting sqref="G24 E20:F24">
    <cfRule type="expression" dxfId="123" priority="270">
      <formula>$G$18="Intermediate"</formula>
    </cfRule>
  </conditionalFormatting>
  <conditionalFormatting sqref="G20 G22:G23">
    <cfRule type="expression" dxfId="122" priority="259">
      <formula>$G$18="Intermediate"</formula>
    </cfRule>
  </conditionalFormatting>
  <conditionalFormatting sqref="G21">
    <cfRule type="expression" dxfId="121" priority="257">
      <formula>$G$18="Intermediate"</formula>
    </cfRule>
    <cfRule type="expression" dxfId="120" priority="258">
      <formula>$G$18="Intermediate"</formula>
    </cfRule>
  </conditionalFormatting>
  <conditionalFormatting sqref="E52:G60 I52:I60">
    <cfRule type="expression" dxfId="119" priority="253">
      <formula>$G$51=0</formula>
    </cfRule>
  </conditionalFormatting>
  <conditionalFormatting sqref="O14:P14">
    <cfRule type="expression" dxfId="118" priority="246">
      <formula>$T$14=1</formula>
    </cfRule>
  </conditionalFormatting>
  <conditionalFormatting sqref="O15:P15">
    <cfRule type="expression" dxfId="117" priority="245">
      <formula>$T$15=1</formula>
    </cfRule>
  </conditionalFormatting>
  <conditionalFormatting sqref="O16">
    <cfRule type="expression" dxfId="116" priority="244">
      <formula>$T$16=1</formula>
    </cfRule>
  </conditionalFormatting>
  <conditionalFormatting sqref="Q14">
    <cfRule type="expression" dxfId="115" priority="241">
      <formula>$T$14=1</formula>
    </cfRule>
  </conditionalFormatting>
  <conditionalFormatting sqref="Q15">
    <cfRule type="expression" dxfId="114" priority="240">
      <formula>$T$15=1</formula>
    </cfRule>
  </conditionalFormatting>
  <conditionalFormatting sqref="P16:Q16">
    <cfRule type="expression" dxfId="113" priority="239">
      <formula>$T$16=1</formula>
    </cfRule>
  </conditionalFormatting>
  <conditionalFormatting sqref="O13:P13">
    <cfRule type="expression" dxfId="112" priority="237">
      <formula>$T$13=1</formula>
    </cfRule>
  </conditionalFormatting>
  <conditionalFormatting sqref="Q13">
    <cfRule type="expression" dxfId="111" priority="236">
      <formula>$T$13=1</formula>
    </cfRule>
  </conditionalFormatting>
  <conditionalFormatting sqref="O23:Q23 S23 O20:Q21 S20:S21">
    <cfRule type="expression" dxfId="110" priority="224">
      <formula>$R$19=1</formula>
    </cfRule>
  </conditionalFormatting>
  <conditionalFormatting sqref="S38:S39 S43:S44 S41 O38:Q39 O43:Q44 O41:Q41">
    <cfRule type="expression" dxfId="109" priority="220">
      <formula>$R$38=1</formula>
    </cfRule>
  </conditionalFormatting>
  <conditionalFormatting sqref="I19">
    <cfRule type="expression" dxfId="108" priority="212">
      <formula>$G$18="Simple"</formula>
    </cfRule>
  </conditionalFormatting>
  <conditionalFormatting sqref="I25">
    <cfRule type="expression" dxfId="107" priority="211">
      <formula>$G$18="Complex"</formula>
    </cfRule>
  </conditionalFormatting>
  <conditionalFormatting sqref="I20:I24">
    <cfRule type="expression" dxfId="106" priority="210">
      <formula>$G$18="Intermediate"</formula>
    </cfRule>
  </conditionalFormatting>
  <conditionalFormatting sqref="I36:I43">
    <cfRule type="expression" dxfId="105" priority="209">
      <formula>$G$30="Intermediate"</formula>
    </cfRule>
  </conditionalFormatting>
  <conditionalFormatting sqref="E19:F19">
    <cfRule type="expression" dxfId="104" priority="203">
      <formula>$G$18="Simple"</formula>
    </cfRule>
  </conditionalFormatting>
  <conditionalFormatting sqref="F25">
    <cfRule type="expression" dxfId="103" priority="200">
      <formula>$G$18="Complex"</formula>
    </cfRule>
  </conditionalFormatting>
  <conditionalFormatting sqref="E25">
    <cfRule type="expression" dxfId="102" priority="199">
      <formula>$G$18="Complex"</formula>
    </cfRule>
  </conditionalFormatting>
  <conditionalFormatting sqref="O40:Q40 S40">
    <cfRule type="expression" dxfId="101" priority="2101">
      <formula>$T$41=1</formula>
    </cfRule>
  </conditionalFormatting>
  <conditionalFormatting sqref="S13">
    <cfRule type="expression" dxfId="100" priority="188">
      <formula>$T$13=1</formula>
    </cfRule>
  </conditionalFormatting>
  <conditionalFormatting sqref="S14">
    <cfRule type="expression" dxfId="99" priority="187">
      <formula>$T$14=1</formula>
    </cfRule>
  </conditionalFormatting>
  <conditionalFormatting sqref="S15">
    <cfRule type="expression" dxfId="98" priority="186">
      <formula>$T$15=1</formula>
    </cfRule>
  </conditionalFormatting>
  <conditionalFormatting sqref="S16">
    <cfRule type="expression" dxfId="97" priority="185">
      <formula>$T$16=1</formula>
    </cfRule>
  </conditionalFormatting>
  <conditionalFormatting sqref="C57">
    <cfRule type="expression" dxfId="96" priority="184">
      <formula>$G$57="Fail"</formula>
    </cfRule>
  </conditionalFormatting>
  <conditionalFormatting sqref="C60">
    <cfRule type="expression" dxfId="95" priority="183">
      <formula>$G$60="Fail"</formula>
    </cfRule>
  </conditionalFormatting>
  <conditionalFormatting sqref="E63:G63">
    <cfRule type="expression" dxfId="94" priority="182">
      <formula>$G$51=0%</formula>
    </cfRule>
  </conditionalFormatting>
  <conditionalFormatting sqref="C12">
    <cfRule type="expression" dxfId="93" priority="178">
      <formula>$D$12=1</formula>
    </cfRule>
  </conditionalFormatting>
  <conditionalFormatting sqref="C14">
    <cfRule type="expression" dxfId="92" priority="177">
      <formula>$D$14=1</formula>
    </cfRule>
  </conditionalFormatting>
  <conditionalFormatting sqref="M8">
    <cfRule type="expression" dxfId="91" priority="176">
      <formula>$N$8=1</formula>
    </cfRule>
  </conditionalFormatting>
  <conditionalFormatting sqref="C30">
    <cfRule type="expression" dxfId="90" priority="167">
      <formula>$G$30&lt;&gt;""</formula>
    </cfRule>
  </conditionalFormatting>
  <conditionalFormatting sqref="C46">
    <cfRule type="expression" dxfId="89" priority="148">
      <formula>$G$18="Simple"</formula>
    </cfRule>
    <cfRule type="expression" dxfId="88" priority="166">
      <formula>$G$46&lt;=0</formula>
    </cfRule>
  </conditionalFormatting>
  <conditionalFormatting sqref="C47">
    <cfRule type="expression" dxfId="87" priority="147">
      <formula>$G$18="Simple"</formula>
    </cfRule>
    <cfRule type="expression" dxfId="86" priority="163">
      <formula>AND($G$18="Intermediate",$G$47&gt;=0)</formula>
    </cfRule>
  </conditionalFormatting>
  <conditionalFormatting sqref="C52">
    <cfRule type="expression" dxfId="85" priority="146">
      <formula>$G$51=0</formula>
    </cfRule>
    <cfRule type="expression" dxfId="84" priority="162">
      <formula>$D$52=1</formula>
    </cfRule>
  </conditionalFormatting>
  <conditionalFormatting sqref="C53">
    <cfRule type="expression" dxfId="83" priority="159">
      <formula>$D$53=1</formula>
    </cfRule>
  </conditionalFormatting>
  <conditionalFormatting sqref="C55">
    <cfRule type="expression" dxfId="82" priority="158">
      <formula>$G$55&lt;1</formula>
    </cfRule>
  </conditionalFormatting>
  <conditionalFormatting sqref="C58">
    <cfRule type="expression" dxfId="81" priority="157">
      <formula>$G$58&lt;1</formula>
    </cfRule>
  </conditionalFormatting>
  <conditionalFormatting sqref="C54">
    <cfRule type="expression" dxfId="80" priority="156">
      <formula>$D$54=1</formula>
    </cfRule>
  </conditionalFormatting>
  <conditionalFormatting sqref="C57:C58 C60 C52:C55">
    <cfRule type="expression" dxfId="79" priority="145">
      <formula>$G$51=0</formula>
    </cfRule>
  </conditionalFormatting>
  <conditionalFormatting sqref="C64">
    <cfRule type="expression" dxfId="78" priority="144">
      <formula>$G$64&lt;0</formula>
    </cfRule>
  </conditionalFormatting>
  <conditionalFormatting sqref="C73">
    <cfRule type="expression" dxfId="77" priority="143">
      <formula>$G$73=""</formula>
    </cfRule>
  </conditionalFormatting>
  <conditionalFormatting sqref="C76">
    <cfRule type="expression" dxfId="76" priority="134">
      <formula>$G$73="No"</formula>
    </cfRule>
    <cfRule type="expression" dxfId="75" priority="135">
      <formula>$D$76=1</formula>
    </cfRule>
  </conditionalFormatting>
  <conditionalFormatting sqref="C75">
    <cfRule type="expression" dxfId="74" priority="133">
      <formula>$G$75=""</formula>
    </cfRule>
  </conditionalFormatting>
  <conditionalFormatting sqref="C77">
    <cfRule type="expression" dxfId="73" priority="132">
      <formula>$G$77=""</formula>
    </cfRule>
  </conditionalFormatting>
  <conditionalFormatting sqref="M13">
    <cfRule type="expression" dxfId="72" priority="130">
      <formula>$Q$13=""</formula>
    </cfRule>
  </conditionalFormatting>
  <conditionalFormatting sqref="M14">
    <cfRule type="expression" dxfId="71" priority="129">
      <formula>$N$14=1</formula>
    </cfRule>
  </conditionalFormatting>
  <conditionalFormatting sqref="M15">
    <cfRule type="expression" dxfId="70" priority="128">
      <formula>$N$15=1</formula>
    </cfRule>
  </conditionalFormatting>
  <conditionalFormatting sqref="M19">
    <cfRule type="expression" dxfId="69" priority="127">
      <formula>$Q$19=""</formula>
    </cfRule>
  </conditionalFormatting>
  <conditionalFormatting sqref="M20">
    <cfRule type="expression" dxfId="68" priority="126">
      <formula>$Q$20=""</formula>
    </cfRule>
  </conditionalFormatting>
  <conditionalFormatting sqref="M24">
    <cfRule type="expression" dxfId="67" priority="125">
      <formula>$Q$24=""</formula>
    </cfRule>
  </conditionalFormatting>
  <conditionalFormatting sqref="M21 M52 M57 M50 M47 M30 M33:M34 M38">
    <cfRule type="expression" dxfId="66" priority="124">
      <formula>$N21=1</formula>
    </cfRule>
  </conditionalFormatting>
  <conditionalFormatting sqref="M25">
    <cfRule type="expression" dxfId="65" priority="116">
      <formula>$Q$25&lt;0</formula>
    </cfRule>
  </conditionalFormatting>
  <conditionalFormatting sqref="M27">
    <cfRule type="expression" dxfId="64" priority="115">
      <formula>$N$27=1</formula>
    </cfRule>
  </conditionalFormatting>
  <conditionalFormatting sqref="M28">
    <cfRule type="expression" dxfId="63" priority="114">
      <formula>$Q$28=""</formula>
    </cfRule>
  </conditionalFormatting>
  <conditionalFormatting sqref="M62 M65 M45 M29">
    <cfRule type="expression" dxfId="62" priority="112">
      <formula>$Q29&lt;0</formula>
    </cfRule>
  </conditionalFormatting>
  <conditionalFormatting sqref="M36">
    <cfRule type="expression" dxfId="61" priority="108">
      <formula>$N$36=1</formula>
    </cfRule>
  </conditionalFormatting>
  <conditionalFormatting sqref="M41">
    <cfRule type="expression" dxfId="60" priority="107">
      <formula>$Q$41&lt;0</formula>
    </cfRule>
  </conditionalFormatting>
  <conditionalFormatting sqref="M43">
    <cfRule type="expression" dxfId="59" priority="106">
      <formula>$N$43=1</formula>
    </cfRule>
  </conditionalFormatting>
  <conditionalFormatting sqref="M44">
    <cfRule type="expression" dxfId="58" priority="105">
      <formula>$Q$44=""</formula>
    </cfRule>
  </conditionalFormatting>
  <conditionalFormatting sqref="M51 M53">
    <cfRule type="expression" dxfId="57" priority="101">
      <formula>$Q51&gt;0</formula>
    </cfRule>
  </conditionalFormatting>
  <conditionalFormatting sqref="M58">
    <cfRule type="expression" dxfId="56" priority="89">
      <formula>$Q$57="Salvage"</formula>
    </cfRule>
    <cfRule type="expression" dxfId="55" priority="99">
      <formula>$Q$58&lt;0</formula>
    </cfRule>
  </conditionalFormatting>
  <conditionalFormatting sqref="M67">
    <cfRule type="expression" dxfId="54" priority="96">
      <formula>$Q$67&lt;0</formula>
    </cfRule>
  </conditionalFormatting>
  <conditionalFormatting sqref="M27:M28 M24:M25">
    <cfRule type="expression" dxfId="53" priority="93">
      <formula>$Q$19="Cost-Based"</formula>
    </cfRule>
  </conditionalFormatting>
  <conditionalFormatting sqref="M73">
    <cfRule type="expression" dxfId="52" priority="85">
      <formula>$N$73=2</formula>
    </cfRule>
    <cfRule type="expression" dxfId="51" priority="86">
      <formula>$N$73=1</formula>
    </cfRule>
  </conditionalFormatting>
  <conditionalFormatting sqref="M74:M78">
    <cfRule type="expression" dxfId="50" priority="81">
      <formula>$N74=2</formula>
    </cfRule>
    <cfRule type="expression" dxfId="49" priority="82">
      <formula>$N74=1</formula>
    </cfRule>
  </conditionalFormatting>
  <conditionalFormatting sqref="AB73:AB79 O73:R78 U73:Z78">
    <cfRule type="expression" dxfId="48" priority="80">
      <formula>$L73=0</formula>
    </cfRule>
  </conditionalFormatting>
  <conditionalFormatting sqref="O79:R79 U79:Z79">
    <cfRule type="expression" dxfId="47" priority="75">
      <formula>$L$79=0</formula>
    </cfRule>
  </conditionalFormatting>
  <conditionalFormatting sqref="C5">
    <cfRule type="expression" dxfId="46" priority="74">
      <formula>$G$5=""</formula>
    </cfRule>
  </conditionalFormatting>
  <conditionalFormatting sqref="C21:C23">
    <cfRule type="expression" dxfId="45" priority="73">
      <formula>$G21&lt;0</formula>
    </cfRule>
  </conditionalFormatting>
  <conditionalFormatting sqref="C36 C38:C42">
    <cfRule type="expression" dxfId="44" priority="70">
      <formula>$G$30="Simple"</formula>
    </cfRule>
  </conditionalFormatting>
  <conditionalFormatting sqref="C36 C38:C39 C41:C42">
    <cfRule type="expression" dxfId="43" priority="67">
      <formula>$G36&lt;0</formula>
    </cfRule>
    <cfRule type="expression" dxfId="42" priority="68">
      <formula>$G36&lt;0</formula>
    </cfRule>
  </conditionalFormatting>
  <conditionalFormatting sqref="C40">
    <cfRule type="expression" dxfId="41" priority="56">
      <formula>$G$40=""</formula>
    </cfRule>
  </conditionalFormatting>
  <conditionalFormatting sqref="C32">
    <cfRule type="expression" dxfId="40" priority="55">
      <formula>$G$32&lt;0</formula>
    </cfRule>
  </conditionalFormatting>
  <conditionalFormatting sqref="C15">
    <cfRule type="expression" dxfId="39" priority="54">
      <formula>$D$15=1</formula>
    </cfRule>
  </conditionalFormatting>
  <conditionalFormatting sqref="E74:G79 I74:I79">
    <cfRule type="expression" dxfId="38" priority="2359">
      <formula>$G$73="No"</formula>
    </cfRule>
  </conditionalFormatting>
  <conditionalFormatting sqref="I57 I60">
    <cfRule type="expression" dxfId="37" priority="42">
      <formula>$G57="Fail"</formula>
    </cfRule>
  </conditionalFormatting>
  <conditionalFormatting sqref="E57">
    <cfRule type="expression" dxfId="36" priority="37">
      <formula>$G$57="Fail"</formula>
    </cfRule>
  </conditionalFormatting>
  <conditionalFormatting sqref="E60">
    <cfRule type="expression" dxfId="35" priority="36">
      <formula>$G$60="Fail"</formula>
    </cfRule>
  </conditionalFormatting>
  <conditionalFormatting sqref="M71">
    <cfRule type="expression" dxfId="34" priority="21">
      <formula>$P$70="No"</formula>
    </cfRule>
    <cfRule type="expression" dxfId="33" priority="22">
      <formula>$P$71&lt;0</formula>
    </cfRule>
  </conditionalFormatting>
  <conditionalFormatting sqref="O71:P71 S71">
    <cfRule type="expression" dxfId="32" priority="20">
      <formula>$P$70="No"</formula>
    </cfRule>
  </conditionalFormatting>
  <conditionalFormatting sqref="M70">
    <cfRule type="expression" dxfId="31" priority="18">
      <formula>$P$70=""</formula>
    </cfRule>
  </conditionalFormatting>
  <conditionalFormatting sqref="M13:M15">
    <cfRule type="expression" dxfId="30" priority="3188">
      <formula>$G$15=$Q$8</formula>
    </cfRule>
  </conditionalFormatting>
  <conditionalFormatting sqref="L24 K19">
    <cfRule type="expression" dxfId="29" priority="3189">
      <formula>$G$18="Simple"</formula>
    </cfRule>
  </conditionalFormatting>
  <conditionalFormatting sqref="L27:L28 L25 K20:K24">
    <cfRule type="expression" dxfId="28" priority="3191">
      <formula>$G$18="Intermediate"</formula>
    </cfRule>
  </conditionalFormatting>
  <conditionalFormatting sqref="C9">
    <cfRule type="expression" dxfId="27" priority="15">
      <formula>$G$9=""</formula>
    </cfRule>
  </conditionalFormatting>
  <conditionalFormatting sqref="I10 E10:G10">
    <cfRule type="expression" dxfId="26" priority="14">
      <formula>$G$9="Custom"</formula>
    </cfRule>
  </conditionalFormatting>
  <conditionalFormatting sqref="C10">
    <cfRule type="expression" dxfId="25" priority="13">
      <formula>$G$10=""</formula>
    </cfRule>
  </conditionalFormatting>
  <conditionalFormatting sqref="C11">
    <cfRule type="expression" dxfId="24" priority="12">
      <formula>$G$11=""</formula>
    </cfRule>
  </conditionalFormatting>
  <conditionalFormatting sqref="E11:G11 I11">
    <cfRule type="expression" dxfId="23" priority="11">
      <formula>$G$9="State Average"</formula>
    </cfRule>
  </conditionalFormatting>
  <conditionalFormatting sqref="O39:Q39 O43:Q44 O41:Q41">
    <cfRule type="expression" dxfId="22" priority="3216">
      <formula>$Q$38="No"</formula>
    </cfRule>
  </conditionalFormatting>
  <conditionalFormatting sqref="G12">
    <cfRule type="expression" dxfId="21" priority="8">
      <formula>ISERROR($G$13)</formula>
    </cfRule>
  </conditionalFormatting>
  <conditionalFormatting sqref="E12:G12 I12">
    <cfRule type="expression" dxfId="20" priority="7">
      <formula>$G$9="custom"</formula>
    </cfRule>
  </conditionalFormatting>
  <conditionalFormatting sqref="S36:S37 O36:Q37 S34 O34:Q34">
    <cfRule type="expression" dxfId="19" priority="4697">
      <formula>$R$34=1</formula>
    </cfRule>
  </conditionalFormatting>
  <conditionalFormatting sqref="M36 M34">
    <cfRule type="expression" dxfId="18" priority="4762">
      <formula>$Q$33="Performance-Based"</formula>
    </cfRule>
  </conditionalFormatting>
  <conditionalFormatting sqref="M38 M43:M44 M41">
    <cfRule type="expression" dxfId="17" priority="4800">
      <formula>$Q$33="Cost-Based"</formula>
    </cfRule>
  </conditionalFormatting>
  <conditionalFormatting sqref="M40">
    <cfRule type="expression" dxfId="16" priority="4944">
      <formula>$Q$38="Tax Credit"</formula>
    </cfRule>
    <cfRule type="expression" dxfId="15" priority="4945">
      <formula>$Q40=""</formula>
    </cfRule>
  </conditionalFormatting>
  <conditionalFormatting sqref="O42:Q42">
    <cfRule type="expression" dxfId="14" priority="6">
      <formula>$R$38=1</formula>
    </cfRule>
  </conditionalFormatting>
  <conditionalFormatting sqref="O42:Q42">
    <cfRule type="expression" dxfId="13" priority="5">
      <formula>$Q$38="No"</formula>
    </cfRule>
  </conditionalFormatting>
  <conditionalFormatting sqref="O35:Q35">
    <cfRule type="expression" dxfId="12" priority="4">
      <formula>$R$34=1</formula>
    </cfRule>
  </conditionalFormatting>
  <conditionalFormatting sqref="O22:Q22">
    <cfRule type="expression" dxfId="11" priority="3">
      <formula>$R$19=1</formula>
    </cfRule>
  </conditionalFormatting>
  <conditionalFormatting sqref="O24:Q28 S24:S25 S27:S28">
    <cfRule type="expression" dxfId="10" priority="1">
      <formula>OR($R$19=2,$Q$19="Neither")</formula>
    </cfRule>
  </conditionalFormatting>
  <dataValidations count="16">
    <dataValidation type="decimal" errorStyle="warning" operator="greaterThan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 sqref="G59" xr:uid="{00000000-0002-0000-0100-000000000000}">
      <formula1>G58</formula1>
    </dataValidation>
    <dataValidation type="list" allowBlank="1" showInputMessage="1" showErrorMessage="1" sqref="Q40 Q30 Q47 G73 P70" xr:uid="{00000000-0002-0000-0100-000001000000}">
      <formula1>"Yes, No"</formula1>
    </dataValidation>
    <dataValidation type="list" allowBlank="1" showInputMessage="1" showErrorMessage="1" sqref="Q38 Q24" xr:uid="{00000000-0002-0000-0100-000002000000}">
      <formula1>"Cash, Tax Credit"</formula1>
    </dataValidation>
    <dataValidation type="list" allowBlank="1" showInputMessage="1" showErrorMessage="1" sqref="Q33 Q19" xr:uid="{00000000-0002-0000-0100-000003000000}">
      <formula1>"Cost-Based, Performance-Based, Neither"</formula1>
    </dataValidation>
    <dataValidation type="list" allowBlank="1" showInputMessage="1" showErrorMessage="1" sqref="Q57" xr:uid="{00000000-0002-0000-0100-000004000000}">
      <formula1>"Operations, Salvage"</formula1>
    </dataValidation>
    <dataValidation type="list" allowBlank="1" showInputMessage="1" showErrorMessage="1" sqref="Q20" xr:uid="{00000000-0002-0000-0100-000005000000}">
      <formula1>"ITC, Cash Grant"</formula1>
    </dataValidation>
    <dataValidation type="list" allowBlank="1" showInputMessage="1" showErrorMessage="1" sqref="G75 G77" xr:uid="{00000000-0002-0000-0100-000006000000}">
      <formula1>"As Generated, Carried Forward"</formula1>
    </dataValidation>
    <dataValidation errorStyle="warning" allowBlank="1" showInputMessage="1" showErrorMessage="1" sqref="G57" xr:uid="{00000000-0002-0000-0100-000007000000}"/>
    <dataValidation errorStyle="warning" operat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_x000a_" sqref="H57 H60" xr:uid="{00000000-0002-0000-0100-000008000000}"/>
    <dataValidation errorStyle="warning" operator="greaterThanOrEqual" allowBlank="1" showInputMessage="1" showErrorMessage="1" errorTitle="test" error="test" sqref="G55" xr:uid="{00000000-0002-0000-0100-000009000000}"/>
    <dataValidation type="list" allowBlank="1" showInputMessage="1" showErrorMessage="1" sqref="G30" xr:uid="{00000000-0002-0000-0100-00000A000000}">
      <formula1>"Simple, Intermediate"</formula1>
    </dataValidation>
    <dataValidation type="list" allowBlank="1" showInputMessage="1" showErrorMessage="1" sqref="G18" xr:uid="{00000000-0002-0000-0100-00000B000000}">
      <formula1>"Simple, Intermediate, Complex"</formula1>
    </dataValidation>
    <dataValidation type="list" allowBlank="1" showInputMessage="1" showErrorMessage="1" sqref="Q13" xr:uid="{00000000-0002-0000-0100-00000C000000}">
      <formula1>"Year One, Year-by-Year"</formula1>
    </dataValidation>
    <dataValidation type="list" allowBlank="1" showInputMessage="1" showErrorMessage="1" sqref="J5 G5" xr:uid="{00000000-0002-0000-0100-00000D000000}">
      <formula1>$O$5:$P$5</formula1>
    </dataValidation>
    <dataValidation type="list" allowBlank="1" showInputMessage="1" showErrorMessage="1" sqref="G9" xr:uid="{00000000-0002-0000-0100-00000E000000}">
      <formula1>"State Average, Custom"</formula1>
    </dataValidation>
    <dataValidation type="list" allowBlank="1" showInputMessage="1" showErrorMessage="1" sqref="G10" xr:uid="{00000000-0002-0000-0100-00000F000000}">
      <formula1>$AD$5:$AD$55</formula1>
    </dataValidation>
  </dataValidations>
  <hyperlinks>
    <hyperlink ref="E25" location="'Complex Inputs'!A1" display="'Complex Inputs'!A1" xr:uid="{00000000-0004-0000-0100-000000000000}"/>
    <hyperlink ref="O16" location="'Complex Inputs'!A126" display="'Complex Inputs'!A126" xr:uid="{00000000-0004-0000-0100-000001000000}"/>
    <hyperlink ref="O79" location="'Complex Inputs'!A114" display="'Complex Inputs'!A114" xr:uid="{00000000-0004-0000-0100-000002000000}"/>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O59"/>
  <sheetViews>
    <sheetView showGridLines="0" tabSelected="1" zoomScale="70" zoomScaleNormal="70" workbookViewId="0">
      <pane xSplit="1" ySplit="2" topLeftCell="B11" activePane="bottomRight" state="frozen"/>
      <selection pane="topRight" activeCell="B1" sqref="B1"/>
      <selection pane="bottomLeft" activeCell="A3" sqref="A3"/>
      <selection pane="bottomRight" activeCell="I16" sqref="I16"/>
    </sheetView>
  </sheetViews>
  <sheetFormatPr defaultColWidth="8.85546875" defaultRowHeight="14.25" x14ac:dyDescent="0.2"/>
  <cols>
    <col min="1" max="1" width="2.42578125" style="136" customWidth="1"/>
    <col min="2" max="2" width="57.42578125" style="136" customWidth="1"/>
    <col min="3" max="3" width="8.42578125" style="136" bestFit="1" customWidth="1"/>
    <col min="4" max="4" width="22.7109375" style="136" bestFit="1" customWidth="1"/>
    <col min="5" max="5" width="3.85546875" style="136" customWidth="1"/>
    <col min="6" max="15" width="26.28515625" style="136" bestFit="1" customWidth="1"/>
    <col min="16" max="243" width="9.140625" style="136"/>
    <col min="244" max="244" width="21.42578125" style="136" customWidth="1"/>
    <col min="245" max="245" width="16.42578125" style="136" customWidth="1"/>
    <col min="246" max="246" width="18" style="136" customWidth="1"/>
    <col min="247" max="247" width="23.7109375" style="136" customWidth="1"/>
    <col min="248" max="248" width="26" style="136" customWidth="1"/>
    <col min="249" max="249" width="21.42578125" style="136" customWidth="1"/>
    <col min="250" max="250" width="20.85546875" style="136" customWidth="1"/>
    <col min="251" max="251" width="0" style="136" hidden="1" customWidth="1"/>
    <col min="252" max="499" width="9.140625" style="136"/>
    <col min="500" max="500" width="21.42578125" style="136" customWidth="1"/>
    <col min="501" max="501" width="16.42578125" style="136" customWidth="1"/>
    <col min="502" max="502" width="18" style="136" customWidth="1"/>
    <col min="503" max="503" width="23.7109375" style="136" customWidth="1"/>
    <col min="504" max="504" width="26" style="136" customWidth="1"/>
    <col min="505" max="505" width="21.42578125" style="136" customWidth="1"/>
    <col min="506" max="506" width="20.85546875" style="136" customWidth="1"/>
    <col min="507" max="507" width="0" style="136" hidden="1" customWidth="1"/>
    <col min="508" max="755" width="9.140625" style="136"/>
    <col min="756" max="756" width="21.42578125" style="136" customWidth="1"/>
    <col min="757" max="757" width="16.42578125" style="136" customWidth="1"/>
    <col min="758" max="758" width="18" style="136" customWidth="1"/>
    <col min="759" max="759" width="23.7109375" style="136" customWidth="1"/>
    <col min="760" max="760" width="26" style="136" customWidth="1"/>
    <col min="761" max="761" width="21.42578125" style="136" customWidth="1"/>
    <col min="762" max="762" width="20.85546875" style="136" customWidth="1"/>
    <col min="763" max="763" width="0" style="136" hidden="1" customWidth="1"/>
    <col min="764" max="1011" width="9.140625" style="136"/>
    <col min="1012" max="1012" width="21.42578125" style="136" customWidth="1"/>
    <col min="1013" max="1013" width="16.42578125" style="136" customWidth="1"/>
    <col min="1014" max="1014" width="18" style="136" customWidth="1"/>
    <col min="1015" max="1015" width="23.7109375" style="136" customWidth="1"/>
    <col min="1016" max="1016" width="26" style="136" customWidth="1"/>
    <col min="1017" max="1017" width="21.42578125" style="136" customWidth="1"/>
    <col min="1018" max="1018" width="20.85546875" style="136" customWidth="1"/>
    <col min="1019" max="1019" width="0" style="136" hidden="1" customWidth="1"/>
    <col min="1020" max="1267" width="9.140625" style="136"/>
    <col min="1268" max="1268" width="21.42578125" style="136" customWidth="1"/>
    <col min="1269" max="1269" width="16.42578125" style="136" customWidth="1"/>
    <col min="1270" max="1270" width="18" style="136" customWidth="1"/>
    <col min="1271" max="1271" width="23.7109375" style="136" customWidth="1"/>
    <col min="1272" max="1272" width="26" style="136" customWidth="1"/>
    <col min="1273" max="1273" width="21.42578125" style="136" customWidth="1"/>
    <col min="1274" max="1274" width="20.85546875" style="136" customWidth="1"/>
    <col min="1275" max="1275" width="0" style="136" hidden="1" customWidth="1"/>
    <col min="1276" max="1523" width="9.140625" style="136"/>
    <col min="1524" max="1524" width="21.42578125" style="136" customWidth="1"/>
    <col min="1525" max="1525" width="16.42578125" style="136" customWidth="1"/>
    <col min="1526" max="1526" width="18" style="136" customWidth="1"/>
    <col min="1527" max="1527" width="23.7109375" style="136" customWidth="1"/>
    <col min="1528" max="1528" width="26" style="136" customWidth="1"/>
    <col min="1529" max="1529" width="21.42578125" style="136" customWidth="1"/>
    <col min="1530" max="1530" width="20.85546875" style="136" customWidth="1"/>
    <col min="1531" max="1531" width="0" style="136" hidden="1" customWidth="1"/>
    <col min="1532" max="1779" width="9.140625" style="136"/>
    <col min="1780" max="1780" width="21.42578125" style="136" customWidth="1"/>
    <col min="1781" max="1781" width="16.42578125" style="136" customWidth="1"/>
    <col min="1782" max="1782" width="18" style="136" customWidth="1"/>
    <col min="1783" max="1783" width="23.7109375" style="136" customWidth="1"/>
    <col min="1784" max="1784" width="26" style="136" customWidth="1"/>
    <col min="1785" max="1785" width="21.42578125" style="136" customWidth="1"/>
    <col min="1786" max="1786" width="20.85546875" style="136" customWidth="1"/>
    <col min="1787" max="1787" width="0" style="136" hidden="1" customWidth="1"/>
    <col min="1788" max="2035" width="9.140625" style="136"/>
    <col min="2036" max="2036" width="21.42578125" style="136" customWidth="1"/>
    <col min="2037" max="2037" width="16.42578125" style="136" customWidth="1"/>
    <col min="2038" max="2038" width="18" style="136" customWidth="1"/>
    <col min="2039" max="2039" width="23.7109375" style="136" customWidth="1"/>
    <col min="2040" max="2040" width="26" style="136" customWidth="1"/>
    <col min="2041" max="2041" width="21.42578125" style="136" customWidth="1"/>
    <col min="2042" max="2042" width="20.85546875" style="136" customWidth="1"/>
    <col min="2043" max="2043" width="0" style="136" hidden="1" customWidth="1"/>
    <col min="2044" max="2291" width="9.140625" style="136"/>
    <col min="2292" max="2292" width="21.42578125" style="136" customWidth="1"/>
    <col min="2293" max="2293" width="16.42578125" style="136" customWidth="1"/>
    <col min="2294" max="2294" width="18" style="136" customWidth="1"/>
    <col min="2295" max="2295" width="23.7109375" style="136" customWidth="1"/>
    <col min="2296" max="2296" width="26" style="136" customWidth="1"/>
    <col min="2297" max="2297" width="21.42578125" style="136" customWidth="1"/>
    <col min="2298" max="2298" width="20.85546875" style="136" customWidth="1"/>
    <col min="2299" max="2299" width="0" style="136" hidden="1" customWidth="1"/>
    <col min="2300" max="2547" width="9.140625" style="136"/>
    <col min="2548" max="2548" width="21.42578125" style="136" customWidth="1"/>
    <col min="2549" max="2549" width="16.42578125" style="136" customWidth="1"/>
    <col min="2550" max="2550" width="18" style="136" customWidth="1"/>
    <col min="2551" max="2551" width="23.7109375" style="136" customWidth="1"/>
    <col min="2552" max="2552" width="26" style="136" customWidth="1"/>
    <col min="2553" max="2553" width="21.42578125" style="136" customWidth="1"/>
    <col min="2554" max="2554" width="20.85546875" style="136" customWidth="1"/>
    <col min="2555" max="2555" width="0" style="136" hidden="1" customWidth="1"/>
    <col min="2556" max="2803" width="9.140625" style="136"/>
    <col min="2804" max="2804" width="21.42578125" style="136" customWidth="1"/>
    <col min="2805" max="2805" width="16.42578125" style="136" customWidth="1"/>
    <col min="2806" max="2806" width="18" style="136" customWidth="1"/>
    <col min="2807" max="2807" width="23.7109375" style="136" customWidth="1"/>
    <col min="2808" max="2808" width="26" style="136" customWidth="1"/>
    <col min="2809" max="2809" width="21.42578125" style="136" customWidth="1"/>
    <col min="2810" max="2810" width="20.85546875" style="136" customWidth="1"/>
    <col min="2811" max="2811" width="0" style="136" hidden="1" customWidth="1"/>
    <col min="2812" max="3059" width="9.140625" style="136"/>
    <col min="3060" max="3060" width="21.42578125" style="136" customWidth="1"/>
    <col min="3061" max="3061" width="16.42578125" style="136" customWidth="1"/>
    <col min="3062" max="3062" width="18" style="136" customWidth="1"/>
    <col min="3063" max="3063" width="23.7109375" style="136" customWidth="1"/>
    <col min="3064" max="3064" width="26" style="136" customWidth="1"/>
    <col min="3065" max="3065" width="21.42578125" style="136" customWidth="1"/>
    <col min="3066" max="3066" width="20.85546875" style="136" customWidth="1"/>
    <col min="3067" max="3067" width="0" style="136" hidden="1" customWidth="1"/>
    <col min="3068" max="3315" width="9.140625" style="136"/>
    <col min="3316" max="3316" width="21.42578125" style="136" customWidth="1"/>
    <col min="3317" max="3317" width="16.42578125" style="136" customWidth="1"/>
    <col min="3318" max="3318" width="18" style="136" customWidth="1"/>
    <col min="3319" max="3319" width="23.7109375" style="136" customWidth="1"/>
    <col min="3320" max="3320" width="26" style="136" customWidth="1"/>
    <col min="3321" max="3321" width="21.42578125" style="136" customWidth="1"/>
    <col min="3322" max="3322" width="20.85546875" style="136" customWidth="1"/>
    <col min="3323" max="3323" width="0" style="136" hidden="1" customWidth="1"/>
    <col min="3324" max="3571" width="9.140625" style="136"/>
    <col min="3572" max="3572" width="21.42578125" style="136" customWidth="1"/>
    <col min="3573" max="3573" width="16.42578125" style="136" customWidth="1"/>
    <col min="3574" max="3574" width="18" style="136" customWidth="1"/>
    <col min="3575" max="3575" width="23.7109375" style="136" customWidth="1"/>
    <col min="3576" max="3576" width="26" style="136" customWidth="1"/>
    <col min="3577" max="3577" width="21.42578125" style="136" customWidth="1"/>
    <col min="3578" max="3578" width="20.85546875" style="136" customWidth="1"/>
    <col min="3579" max="3579" width="0" style="136" hidden="1" customWidth="1"/>
    <col min="3580" max="3827" width="9.140625" style="136"/>
    <col min="3828" max="3828" width="21.42578125" style="136" customWidth="1"/>
    <col min="3829" max="3829" width="16.42578125" style="136" customWidth="1"/>
    <col min="3830" max="3830" width="18" style="136" customWidth="1"/>
    <col min="3831" max="3831" width="23.7109375" style="136" customWidth="1"/>
    <col min="3832" max="3832" width="26" style="136" customWidth="1"/>
    <col min="3833" max="3833" width="21.42578125" style="136" customWidth="1"/>
    <col min="3834" max="3834" width="20.85546875" style="136" customWidth="1"/>
    <col min="3835" max="3835" width="0" style="136" hidden="1" customWidth="1"/>
    <col min="3836" max="4083" width="9.140625" style="136"/>
    <col min="4084" max="4084" width="21.42578125" style="136" customWidth="1"/>
    <col min="4085" max="4085" width="16.42578125" style="136" customWidth="1"/>
    <col min="4086" max="4086" width="18" style="136" customWidth="1"/>
    <col min="4087" max="4087" width="23.7109375" style="136" customWidth="1"/>
    <col min="4088" max="4088" width="26" style="136" customWidth="1"/>
    <col min="4089" max="4089" width="21.42578125" style="136" customWidth="1"/>
    <col min="4090" max="4090" width="20.85546875" style="136" customWidth="1"/>
    <col min="4091" max="4091" width="0" style="136" hidden="1" customWidth="1"/>
    <col min="4092" max="4339" width="9.140625" style="136"/>
    <col min="4340" max="4340" width="21.42578125" style="136" customWidth="1"/>
    <col min="4341" max="4341" width="16.42578125" style="136" customWidth="1"/>
    <col min="4342" max="4342" width="18" style="136" customWidth="1"/>
    <col min="4343" max="4343" width="23.7109375" style="136" customWidth="1"/>
    <col min="4344" max="4344" width="26" style="136" customWidth="1"/>
    <col min="4345" max="4345" width="21.42578125" style="136" customWidth="1"/>
    <col min="4346" max="4346" width="20.85546875" style="136" customWidth="1"/>
    <col min="4347" max="4347" width="0" style="136" hidden="1" customWidth="1"/>
    <col min="4348" max="4595" width="9.140625" style="136"/>
    <col min="4596" max="4596" width="21.42578125" style="136" customWidth="1"/>
    <col min="4597" max="4597" width="16.42578125" style="136" customWidth="1"/>
    <col min="4598" max="4598" width="18" style="136" customWidth="1"/>
    <col min="4599" max="4599" width="23.7109375" style="136" customWidth="1"/>
    <col min="4600" max="4600" width="26" style="136" customWidth="1"/>
    <col min="4601" max="4601" width="21.42578125" style="136" customWidth="1"/>
    <col min="4602" max="4602" width="20.85546875" style="136" customWidth="1"/>
    <col min="4603" max="4603" width="0" style="136" hidden="1" customWidth="1"/>
    <col min="4604" max="4851" width="9.140625" style="136"/>
    <col min="4852" max="4852" width="21.42578125" style="136" customWidth="1"/>
    <col min="4853" max="4853" width="16.42578125" style="136" customWidth="1"/>
    <col min="4854" max="4854" width="18" style="136" customWidth="1"/>
    <col min="4855" max="4855" width="23.7109375" style="136" customWidth="1"/>
    <col min="4856" max="4856" width="26" style="136" customWidth="1"/>
    <col min="4857" max="4857" width="21.42578125" style="136" customWidth="1"/>
    <col min="4858" max="4858" width="20.85546875" style="136" customWidth="1"/>
    <col min="4859" max="4859" width="0" style="136" hidden="1" customWidth="1"/>
    <col min="4860" max="5107" width="9.140625" style="136"/>
    <col min="5108" max="5108" width="21.42578125" style="136" customWidth="1"/>
    <col min="5109" max="5109" width="16.42578125" style="136" customWidth="1"/>
    <col min="5110" max="5110" width="18" style="136" customWidth="1"/>
    <col min="5111" max="5111" width="23.7109375" style="136" customWidth="1"/>
    <col min="5112" max="5112" width="26" style="136" customWidth="1"/>
    <col min="5113" max="5113" width="21.42578125" style="136" customWidth="1"/>
    <col min="5114" max="5114" width="20.85546875" style="136" customWidth="1"/>
    <col min="5115" max="5115" width="0" style="136" hidden="1" customWidth="1"/>
    <col min="5116" max="5363" width="9.140625" style="136"/>
    <col min="5364" max="5364" width="21.42578125" style="136" customWidth="1"/>
    <col min="5365" max="5365" width="16.42578125" style="136" customWidth="1"/>
    <col min="5366" max="5366" width="18" style="136" customWidth="1"/>
    <col min="5367" max="5367" width="23.7109375" style="136" customWidth="1"/>
    <col min="5368" max="5368" width="26" style="136" customWidth="1"/>
    <col min="5369" max="5369" width="21.42578125" style="136" customWidth="1"/>
    <col min="5370" max="5370" width="20.85546875" style="136" customWidth="1"/>
    <col min="5371" max="5371" width="0" style="136" hidden="1" customWidth="1"/>
    <col min="5372" max="5619" width="9.140625" style="136"/>
    <col min="5620" max="5620" width="21.42578125" style="136" customWidth="1"/>
    <col min="5621" max="5621" width="16.42578125" style="136" customWidth="1"/>
    <col min="5622" max="5622" width="18" style="136" customWidth="1"/>
    <col min="5623" max="5623" width="23.7109375" style="136" customWidth="1"/>
    <col min="5624" max="5624" width="26" style="136" customWidth="1"/>
    <col min="5625" max="5625" width="21.42578125" style="136" customWidth="1"/>
    <col min="5626" max="5626" width="20.85546875" style="136" customWidth="1"/>
    <col min="5627" max="5627" width="0" style="136" hidden="1" customWidth="1"/>
    <col min="5628" max="5875" width="9.140625" style="136"/>
    <col min="5876" max="5876" width="21.42578125" style="136" customWidth="1"/>
    <col min="5877" max="5877" width="16.42578125" style="136" customWidth="1"/>
    <col min="5878" max="5878" width="18" style="136" customWidth="1"/>
    <col min="5879" max="5879" width="23.7109375" style="136" customWidth="1"/>
    <col min="5880" max="5880" width="26" style="136" customWidth="1"/>
    <col min="5881" max="5881" width="21.42578125" style="136" customWidth="1"/>
    <col min="5882" max="5882" width="20.85546875" style="136" customWidth="1"/>
    <col min="5883" max="5883" width="0" style="136" hidden="1" customWidth="1"/>
    <col min="5884" max="6131" width="9.140625" style="136"/>
    <col min="6132" max="6132" width="21.42578125" style="136" customWidth="1"/>
    <col min="6133" max="6133" width="16.42578125" style="136" customWidth="1"/>
    <col min="6134" max="6134" width="18" style="136" customWidth="1"/>
    <col min="6135" max="6135" width="23.7109375" style="136" customWidth="1"/>
    <col min="6136" max="6136" width="26" style="136" customWidth="1"/>
    <col min="6137" max="6137" width="21.42578125" style="136" customWidth="1"/>
    <col min="6138" max="6138" width="20.85546875" style="136" customWidth="1"/>
    <col min="6139" max="6139" width="0" style="136" hidden="1" customWidth="1"/>
    <col min="6140" max="6387" width="9.140625" style="136"/>
    <col min="6388" max="6388" width="21.42578125" style="136" customWidth="1"/>
    <col min="6389" max="6389" width="16.42578125" style="136" customWidth="1"/>
    <col min="6390" max="6390" width="18" style="136" customWidth="1"/>
    <col min="6391" max="6391" width="23.7109375" style="136" customWidth="1"/>
    <col min="6392" max="6392" width="26" style="136" customWidth="1"/>
    <col min="6393" max="6393" width="21.42578125" style="136" customWidth="1"/>
    <col min="6394" max="6394" width="20.85546875" style="136" customWidth="1"/>
    <col min="6395" max="6395" width="0" style="136" hidden="1" customWidth="1"/>
    <col min="6396" max="6643" width="9.140625" style="136"/>
    <col min="6644" max="6644" width="21.42578125" style="136" customWidth="1"/>
    <col min="6645" max="6645" width="16.42578125" style="136" customWidth="1"/>
    <col min="6646" max="6646" width="18" style="136" customWidth="1"/>
    <col min="6647" max="6647" width="23.7109375" style="136" customWidth="1"/>
    <col min="6648" max="6648" width="26" style="136" customWidth="1"/>
    <col min="6649" max="6649" width="21.42578125" style="136" customWidth="1"/>
    <col min="6650" max="6650" width="20.85546875" style="136" customWidth="1"/>
    <col min="6651" max="6651" width="0" style="136" hidden="1" customWidth="1"/>
    <col min="6652" max="6899" width="9.140625" style="136"/>
    <col min="6900" max="6900" width="21.42578125" style="136" customWidth="1"/>
    <col min="6901" max="6901" width="16.42578125" style="136" customWidth="1"/>
    <col min="6902" max="6902" width="18" style="136" customWidth="1"/>
    <col min="6903" max="6903" width="23.7109375" style="136" customWidth="1"/>
    <col min="6904" max="6904" width="26" style="136" customWidth="1"/>
    <col min="6905" max="6905" width="21.42578125" style="136" customWidth="1"/>
    <col min="6906" max="6906" width="20.85546875" style="136" customWidth="1"/>
    <col min="6907" max="6907" width="0" style="136" hidden="1" customWidth="1"/>
    <col min="6908" max="7155" width="9.140625" style="136"/>
    <col min="7156" max="7156" width="21.42578125" style="136" customWidth="1"/>
    <col min="7157" max="7157" width="16.42578125" style="136" customWidth="1"/>
    <col min="7158" max="7158" width="18" style="136" customWidth="1"/>
    <col min="7159" max="7159" width="23.7109375" style="136" customWidth="1"/>
    <col min="7160" max="7160" width="26" style="136" customWidth="1"/>
    <col min="7161" max="7161" width="21.42578125" style="136" customWidth="1"/>
    <col min="7162" max="7162" width="20.85546875" style="136" customWidth="1"/>
    <col min="7163" max="7163" width="0" style="136" hidden="1" customWidth="1"/>
    <col min="7164" max="7411" width="9.140625" style="136"/>
    <col min="7412" max="7412" width="21.42578125" style="136" customWidth="1"/>
    <col min="7413" max="7413" width="16.42578125" style="136" customWidth="1"/>
    <col min="7414" max="7414" width="18" style="136" customWidth="1"/>
    <col min="7415" max="7415" width="23.7109375" style="136" customWidth="1"/>
    <col min="7416" max="7416" width="26" style="136" customWidth="1"/>
    <col min="7417" max="7417" width="21.42578125" style="136" customWidth="1"/>
    <col min="7418" max="7418" width="20.85546875" style="136" customWidth="1"/>
    <col min="7419" max="7419" width="0" style="136" hidden="1" customWidth="1"/>
    <col min="7420" max="7667" width="9.140625" style="136"/>
    <col min="7668" max="7668" width="21.42578125" style="136" customWidth="1"/>
    <col min="7669" max="7669" width="16.42578125" style="136" customWidth="1"/>
    <col min="7670" max="7670" width="18" style="136" customWidth="1"/>
    <col min="7671" max="7671" width="23.7109375" style="136" customWidth="1"/>
    <col min="7672" max="7672" width="26" style="136" customWidth="1"/>
    <col min="7673" max="7673" width="21.42578125" style="136" customWidth="1"/>
    <col min="7674" max="7674" width="20.85546875" style="136" customWidth="1"/>
    <col min="7675" max="7675" width="0" style="136" hidden="1" customWidth="1"/>
    <col min="7676" max="7923" width="9.140625" style="136"/>
    <col min="7924" max="7924" width="21.42578125" style="136" customWidth="1"/>
    <col min="7925" max="7925" width="16.42578125" style="136" customWidth="1"/>
    <col min="7926" max="7926" width="18" style="136" customWidth="1"/>
    <col min="7927" max="7927" width="23.7109375" style="136" customWidth="1"/>
    <col min="7928" max="7928" width="26" style="136" customWidth="1"/>
    <col min="7929" max="7929" width="21.42578125" style="136" customWidth="1"/>
    <col min="7930" max="7930" width="20.85546875" style="136" customWidth="1"/>
    <col min="7931" max="7931" width="0" style="136" hidden="1" customWidth="1"/>
    <col min="7932" max="8179" width="9.140625" style="136"/>
    <col min="8180" max="8180" width="21.42578125" style="136" customWidth="1"/>
    <col min="8181" max="8181" width="16.42578125" style="136" customWidth="1"/>
    <col min="8182" max="8182" width="18" style="136" customWidth="1"/>
    <col min="8183" max="8183" width="23.7109375" style="136" customWidth="1"/>
    <col min="8184" max="8184" width="26" style="136" customWidth="1"/>
    <col min="8185" max="8185" width="21.42578125" style="136" customWidth="1"/>
    <col min="8186" max="8186" width="20.85546875" style="136" customWidth="1"/>
    <col min="8187" max="8187" width="0" style="136" hidden="1" customWidth="1"/>
    <col min="8188" max="8435" width="9.140625" style="136"/>
    <col min="8436" max="8436" width="21.42578125" style="136" customWidth="1"/>
    <col min="8437" max="8437" width="16.42578125" style="136" customWidth="1"/>
    <col min="8438" max="8438" width="18" style="136" customWidth="1"/>
    <col min="8439" max="8439" width="23.7109375" style="136" customWidth="1"/>
    <col min="8440" max="8440" width="26" style="136" customWidth="1"/>
    <col min="8441" max="8441" width="21.42578125" style="136" customWidth="1"/>
    <col min="8442" max="8442" width="20.85546875" style="136" customWidth="1"/>
    <col min="8443" max="8443" width="0" style="136" hidden="1" customWidth="1"/>
    <col min="8444" max="8691" width="9.140625" style="136"/>
    <col min="8692" max="8692" width="21.42578125" style="136" customWidth="1"/>
    <col min="8693" max="8693" width="16.42578125" style="136" customWidth="1"/>
    <col min="8694" max="8694" width="18" style="136" customWidth="1"/>
    <col min="8695" max="8695" width="23.7109375" style="136" customWidth="1"/>
    <col min="8696" max="8696" width="26" style="136" customWidth="1"/>
    <col min="8697" max="8697" width="21.42578125" style="136" customWidth="1"/>
    <col min="8698" max="8698" width="20.85546875" style="136" customWidth="1"/>
    <col min="8699" max="8699" width="0" style="136" hidden="1" customWidth="1"/>
    <col min="8700" max="8947" width="9.140625" style="136"/>
    <col min="8948" max="8948" width="21.42578125" style="136" customWidth="1"/>
    <col min="8949" max="8949" width="16.42578125" style="136" customWidth="1"/>
    <col min="8950" max="8950" width="18" style="136" customWidth="1"/>
    <col min="8951" max="8951" width="23.7109375" style="136" customWidth="1"/>
    <col min="8952" max="8952" width="26" style="136" customWidth="1"/>
    <col min="8953" max="8953" width="21.42578125" style="136" customWidth="1"/>
    <col min="8954" max="8954" width="20.85546875" style="136" customWidth="1"/>
    <col min="8955" max="8955" width="0" style="136" hidden="1" customWidth="1"/>
    <col min="8956" max="9203" width="9.140625" style="136"/>
    <col min="9204" max="9204" width="21.42578125" style="136" customWidth="1"/>
    <col min="9205" max="9205" width="16.42578125" style="136" customWidth="1"/>
    <col min="9206" max="9206" width="18" style="136" customWidth="1"/>
    <col min="9207" max="9207" width="23.7109375" style="136" customWidth="1"/>
    <col min="9208" max="9208" width="26" style="136" customWidth="1"/>
    <col min="9209" max="9209" width="21.42578125" style="136" customWidth="1"/>
    <col min="9210" max="9210" width="20.85546875" style="136" customWidth="1"/>
    <col min="9211" max="9211" width="0" style="136" hidden="1" customWidth="1"/>
    <col min="9212" max="9459" width="9.140625" style="136"/>
    <col min="9460" max="9460" width="21.42578125" style="136" customWidth="1"/>
    <col min="9461" max="9461" width="16.42578125" style="136" customWidth="1"/>
    <col min="9462" max="9462" width="18" style="136" customWidth="1"/>
    <col min="9463" max="9463" width="23.7109375" style="136" customWidth="1"/>
    <col min="9464" max="9464" width="26" style="136" customWidth="1"/>
    <col min="9465" max="9465" width="21.42578125" style="136" customWidth="1"/>
    <col min="9466" max="9466" width="20.85546875" style="136" customWidth="1"/>
    <col min="9467" max="9467" width="0" style="136" hidden="1" customWidth="1"/>
    <col min="9468" max="9715" width="9.140625" style="136"/>
    <col min="9716" max="9716" width="21.42578125" style="136" customWidth="1"/>
    <col min="9717" max="9717" width="16.42578125" style="136" customWidth="1"/>
    <col min="9718" max="9718" width="18" style="136" customWidth="1"/>
    <col min="9719" max="9719" width="23.7109375" style="136" customWidth="1"/>
    <col min="9720" max="9720" width="26" style="136" customWidth="1"/>
    <col min="9721" max="9721" width="21.42578125" style="136" customWidth="1"/>
    <col min="9722" max="9722" width="20.85546875" style="136" customWidth="1"/>
    <col min="9723" max="9723" width="0" style="136" hidden="1" customWidth="1"/>
    <col min="9724" max="9971" width="9.140625" style="136"/>
    <col min="9972" max="9972" width="21.42578125" style="136" customWidth="1"/>
    <col min="9973" max="9973" width="16.42578125" style="136" customWidth="1"/>
    <col min="9974" max="9974" width="18" style="136" customWidth="1"/>
    <col min="9975" max="9975" width="23.7109375" style="136" customWidth="1"/>
    <col min="9976" max="9976" width="26" style="136" customWidth="1"/>
    <col min="9977" max="9977" width="21.42578125" style="136" customWidth="1"/>
    <col min="9978" max="9978" width="20.85546875" style="136" customWidth="1"/>
    <col min="9979" max="9979" width="0" style="136" hidden="1" customWidth="1"/>
    <col min="9980" max="10227" width="9.140625" style="136"/>
    <col min="10228" max="10228" width="21.42578125" style="136" customWidth="1"/>
    <col min="10229" max="10229" width="16.42578125" style="136" customWidth="1"/>
    <col min="10230" max="10230" width="18" style="136" customWidth="1"/>
    <col min="10231" max="10231" width="23.7109375" style="136" customWidth="1"/>
    <col min="10232" max="10232" width="26" style="136" customWidth="1"/>
    <col min="10233" max="10233" width="21.42578125" style="136" customWidth="1"/>
    <col min="10234" max="10234" width="20.85546875" style="136" customWidth="1"/>
    <col min="10235" max="10235" width="0" style="136" hidden="1" customWidth="1"/>
    <col min="10236" max="10483" width="9.140625" style="136"/>
    <col min="10484" max="10484" width="21.42578125" style="136" customWidth="1"/>
    <col min="10485" max="10485" width="16.42578125" style="136" customWidth="1"/>
    <col min="10486" max="10486" width="18" style="136" customWidth="1"/>
    <col min="10487" max="10487" width="23.7109375" style="136" customWidth="1"/>
    <col min="10488" max="10488" width="26" style="136" customWidth="1"/>
    <col min="10489" max="10489" width="21.42578125" style="136" customWidth="1"/>
    <col min="10490" max="10490" width="20.85546875" style="136" customWidth="1"/>
    <col min="10491" max="10491" width="0" style="136" hidden="1" customWidth="1"/>
    <col min="10492" max="10739" width="9.140625" style="136"/>
    <col min="10740" max="10740" width="21.42578125" style="136" customWidth="1"/>
    <col min="10741" max="10741" width="16.42578125" style="136" customWidth="1"/>
    <col min="10742" max="10742" width="18" style="136" customWidth="1"/>
    <col min="10743" max="10743" width="23.7109375" style="136" customWidth="1"/>
    <col min="10744" max="10744" width="26" style="136" customWidth="1"/>
    <col min="10745" max="10745" width="21.42578125" style="136" customWidth="1"/>
    <col min="10746" max="10746" width="20.85546875" style="136" customWidth="1"/>
    <col min="10747" max="10747" width="0" style="136" hidden="1" customWidth="1"/>
    <col min="10748" max="10995" width="9.140625" style="136"/>
    <col min="10996" max="10996" width="21.42578125" style="136" customWidth="1"/>
    <col min="10997" max="10997" width="16.42578125" style="136" customWidth="1"/>
    <col min="10998" max="10998" width="18" style="136" customWidth="1"/>
    <col min="10999" max="10999" width="23.7109375" style="136" customWidth="1"/>
    <col min="11000" max="11000" width="26" style="136" customWidth="1"/>
    <col min="11001" max="11001" width="21.42578125" style="136" customWidth="1"/>
    <col min="11002" max="11002" width="20.85546875" style="136" customWidth="1"/>
    <col min="11003" max="11003" width="0" style="136" hidden="1" customWidth="1"/>
    <col min="11004" max="11251" width="9.140625" style="136"/>
    <col min="11252" max="11252" width="21.42578125" style="136" customWidth="1"/>
    <col min="11253" max="11253" width="16.42578125" style="136" customWidth="1"/>
    <col min="11254" max="11254" width="18" style="136" customWidth="1"/>
    <col min="11255" max="11255" width="23.7109375" style="136" customWidth="1"/>
    <col min="11256" max="11256" width="26" style="136" customWidth="1"/>
    <col min="11257" max="11257" width="21.42578125" style="136" customWidth="1"/>
    <col min="11258" max="11258" width="20.85546875" style="136" customWidth="1"/>
    <col min="11259" max="11259" width="0" style="136" hidden="1" customWidth="1"/>
    <col min="11260" max="11507" width="9.140625" style="136"/>
    <col min="11508" max="11508" width="21.42578125" style="136" customWidth="1"/>
    <col min="11509" max="11509" width="16.42578125" style="136" customWidth="1"/>
    <col min="11510" max="11510" width="18" style="136" customWidth="1"/>
    <col min="11511" max="11511" width="23.7109375" style="136" customWidth="1"/>
    <col min="11512" max="11512" width="26" style="136" customWidth="1"/>
    <col min="11513" max="11513" width="21.42578125" style="136" customWidth="1"/>
    <col min="11514" max="11514" width="20.85546875" style="136" customWidth="1"/>
    <col min="11515" max="11515" width="0" style="136" hidden="1" customWidth="1"/>
    <col min="11516" max="11763" width="9.140625" style="136"/>
    <col min="11764" max="11764" width="21.42578125" style="136" customWidth="1"/>
    <col min="11765" max="11765" width="16.42578125" style="136" customWidth="1"/>
    <col min="11766" max="11766" width="18" style="136" customWidth="1"/>
    <col min="11767" max="11767" width="23.7109375" style="136" customWidth="1"/>
    <col min="11768" max="11768" width="26" style="136" customWidth="1"/>
    <col min="11769" max="11769" width="21.42578125" style="136" customWidth="1"/>
    <col min="11770" max="11770" width="20.85546875" style="136" customWidth="1"/>
    <col min="11771" max="11771" width="0" style="136" hidden="1" customWidth="1"/>
    <col min="11772" max="12019" width="9.140625" style="136"/>
    <col min="12020" max="12020" width="21.42578125" style="136" customWidth="1"/>
    <col min="12021" max="12021" width="16.42578125" style="136" customWidth="1"/>
    <col min="12022" max="12022" width="18" style="136" customWidth="1"/>
    <col min="12023" max="12023" width="23.7109375" style="136" customWidth="1"/>
    <col min="12024" max="12024" width="26" style="136" customWidth="1"/>
    <col min="12025" max="12025" width="21.42578125" style="136" customWidth="1"/>
    <col min="12026" max="12026" width="20.85546875" style="136" customWidth="1"/>
    <col min="12027" max="12027" width="0" style="136" hidden="1" customWidth="1"/>
    <col min="12028" max="12275" width="9.140625" style="136"/>
    <col min="12276" max="12276" width="21.42578125" style="136" customWidth="1"/>
    <col min="12277" max="12277" width="16.42578125" style="136" customWidth="1"/>
    <col min="12278" max="12278" width="18" style="136" customWidth="1"/>
    <col min="12279" max="12279" width="23.7109375" style="136" customWidth="1"/>
    <col min="12280" max="12280" width="26" style="136" customWidth="1"/>
    <col min="12281" max="12281" width="21.42578125" style="136" customWidth="1"/>
    <col min="12282" max="12282" width="20.85546875" style="136" customWidth="1"/>
    <col min="12283" max="12283" width="0" style="136" hidden="1" customWidth="1"/>
    <col min="12284" max="12531" width="9.140625" style="136"/>
    <col min="12532" max="12532" width="21.42578125" style="136" customWidth="1"/>
    <col min="12533" max="12533" width="16.42578125" style="136" customWidth="1"/>
    <col min="12534" max="12534" width="18" style="136" customWidth="1"/>
    <col min="12535" max="12535" width="23.7109375" style="136" customWidth="1"/>
    <col min="12536" max="12536" width="26" style="136" customWidth="1"/>
    <col min="12537" max="12537" width="21.42578125" style="136" customWidth="1"/>
    <col min="12538" max="12538" width="20.85546875" style="136" customWidth="1"/>
    <col min="12539" max="12539" width="0" style="136" hidden="1" customWidth="1"/>
    <col min="12540" max="12787" width="9.140625" style="136"/>
    <col min="12788" max="12788" width="21.42578125" style="136" customWidth="1"/>
    <col min="12789" max="12789" width="16.42578125" style="136" customWidth="1"/>
    <col min="12790" max="12790" width="18" style="136" customWidth="1"/>
    <col min="12791" max="12791" width="23.7109375" style="136" customWidth="1"/>
    <col min="12792" max="12792" width="26" style="136" customWidth="1"/>
    <col min="12793" max="12793" width="21.42578125" style="136" customWidth="1"/>
    <col min="12794" max="12794" width="20.85546875" style="136" customWidth="1"/>
    <col min="12795" max="12795" width="0" style="136" hidden="1" customWidth="1"/>
    <col min="12796" max="13043" width="9.140625" style="136"/>
    <col min="13044" max="13044" width="21.42578125" style="136" customWidth="1"/>
    <col min="13045" max="13045" width="16.42578125" style="136" customWidth="1"/>
    <col min="13046" max="13046" width="18" style="136" customWidth="1"/>
    <col min="13047" max="13047" width="23.7109375" style="136" customWidth="1"/>
    <col min="13048" max="13048" width="26" style="136" customWidth="1"/>
    <col min="13049" max="13049" width="21.42578125" style="136" customWidth="1"/>
    <col min="13050" max="13050" width="20.85546875" style="136" customWidth="1"/>
    <col min="13051" max="13051" width="0" style="136" hidden="1" customWidth="1"/>
    <col min="13052" max="13299" width="9.140625" style="136"/>
    <col min="13300" max="13300" width="21.42578125" style="136" customWidth="1"/>
    <col min="13301" max="13301" width="16.42578125" style="136" customWidth="1"/>
    <col min="13302" max="13302" width="18" style="136" customWidth="1"/>
    <col min="13303" max="13303" width="23.7109375" style="136" customWidth="1"/>
    <col min="13304" max="13304" width="26" style="136" customWidth="1"/>
    <col min="13305" max="13305" width="21.42578125" style="136" customWidth="1"/>
    <col min="13306" max="13306" width="20.85546875" style="136" customWidth="1"/>
    <col min="13307" max="13307" width="0" style="136" hidden="1" customWidth="1"/>
    <col min="13308" max="13555" width="9.140625" style="136"/>
    <col min="13556" max="13556" width="21.42578125" style="136" customWidth="1"/>
    <col min="13557" max="13557" width="16.42578125" style="136" customWidth="1"/>
    <col min="13558" max="13558" width="18" style="136" customWidth="1"/>
    <col min="13559" max="13559" width="23.7109375" style="136" customWidth="1"/>
    <col min="13560" max="13560" width="26" style="136" customWidth="1"/>
    <col min="13561" max="13561" width="21.42578125" style="136" customWidth="1"/>
    <col min="13562" max="13562" width="20.85546875" style="136" customWidth="1"/>
    <col min="13563" max="13563" width="0" style="136" hidden="1" customWidth="1"/>
    <col min="13564" max="13811" width="9.140625" style="136"/>
    <col min="13812" max="13812" width="21.42578125" style="136" customWidth="1"/>
    <col min="13813" max="13813" width="16.42578125" style="136" customWidth="1"/>
    <col min="13814" max="13814" width="18" style="136" customWidth="1"/>
    <col min="13815" max="13815" width="23.7109375" style="136" customWidth="1"/>
    <col min="13816" max="13816" width="26" style="136" customWidth="1"/>
    <col min="13817" max="13817" width="21.42578125" style="136" customWidth="1"/>
    <col min="13818" max="13818" width="20.85546875" style="136" customWidth="1"/>
    <col min="13819" max="13819" width="0" style="136" hidden="1" customWidth="1"/>
    <col min="13820" max="14067" width="9.140625" style="136"/>
    <col min="14068" max="14068" width="21.42578125" style="136" customWidth="1"/>
    <col min="14069" max="14069" width="16.42578125" style="136" customWidth="1"/>
    <col min="14070" max="14070" width="18" style="136" customWidth="1"/>
    <col min="14071" max="14071" width="23.7109375" style="136" customWidth="1"/>
    <col min="14072" max="14072" width="26" style="136" customWidth="1"/>
    <col min="14073" max="14073" width="21.42578125" style="136" customWidth="1"/>
    <col min="14074" max="14074" width="20.85546875" style="136" customWidth="1"/>
    <col min="14075" max="14075" width="0" style="136" hidden="1" customWidth="1"/>
    <col min="14076" max="14323" width="9.140625" style="136"/>
    <col min="14324" max="14324" width="21.42578125" style="136" customWidth="1"/>
    <col min="14325" max="14325" width="16.42578125" style="136" customWidth="1"/>
    <col min="14326" max="14326" width="18" style="136" customWidth="1"/>
    <col min="14327" max="14327" width="23.7109375" style="136" customWidth="1"/>
    <col min="14328" max="14328" width="26" style="136" customWidth="1"/>
    <col min="14329" max="14329" width="21.42578125" style="136" customWidth="1"/>
    <col min="14330" max="14330" width="20.85546875" style="136" customWidth="1"/>
    <col min="14331" max="14331" width="0" style="136" hidden="1" customWidth="1"/>
    <col min="14332" max="14579" width="9.140625" style="136"/>
    <col min="14580" max="14580" width="21.42578125" style="136" customWidth="1"/>
    <col min="14581" max="14581" width="16.42578125" style="136" customWidth="1"/>
    <col min="14582" max="14582" width="18" style="136" customWidth="1"/>
    <col min="14583" max="14583" width="23.7109375" style="136" customWidth="1"/>
    <col min="14584" max="14584" width="26" style="136" customWidth="1"/>
    <col min="14585" max="14585" width="21.42578125" style="136" customWidth="1"/>
    <col min="14586" max="14586" width="20.85546875" style="136" customWidth="1"/>
    <col min="14587" max="14587" width="0" style="136" hidden="1" customWidth="1"/>
    <col min="14588" max="14835" width="9.140625" style="136"/>
    <col min="14836" max="14836" width="21.42578125" style="136" customWidth="1"/>
    <col min="14837" max="14837" width="16.42578125" style="136" customWidth="1"/>
    <col min="14838" max="14838" width="18" style="136" customWidth="1"/>
    <col min="14839" max="14839" width="23.7109375" style="136" customWidth="1"/>
    <col min="14840" max="14840" width="26" style="136" customWidth="1"/>
    <col min="14841" max="14841" width="21.42578125" style="136" customWidth="1"/>
    <col min="14842" max="14842" width="20.85546875" style="136" customWidth="1"/>
    <col min="14843" max="14843" width="0" style="136" hidden="1" customWidth="1"/>
    <col min="14844" max="15091" width="9.140625" style="136"/>
    <col min="15092" max="15092" width="21.42578125" style="136" customWidth="1"/>
    <col min="15093" max="15093" width="16.42578125" style="136" customWidth="1"/>
    <col min="15094" max="15094" width="18" style="136" customWidth="1"/>
    <col min="15095" max="15095" width="23.7109375" style="136" customWidth="1"/>
    <col min="15096" max="15096" width="26" style="136" customWidth="1"/>
    <col min="15097" max="15097" width="21.42578125" style="136" customWidth="1"/>
    <col min="15098" max="15098" width="20.85546875" style="136" customWidth="1"/>
    <col min="15099" max="15099" width="0" style="136" hidden="1" customWidth="1"/>
    <col min="15100" max="15347" width="9.140625" style="136"/>
    <col min="15348" max="15348" width="21.42578125" style="136" customWidth="1"/>
    <col min="15349" max="15349" width="16.42578125" style="136" customWidth="1"/>
    <col min="15350" max="15350" width="18" style="136" customWidth="1"/>
    <col min="15351" max="15351" width="23.7109375" style="136" customWidth="1"/>
    <col min="15352" max="15352" width="26" style="136" customWidth="1"/>
    <col min="15353" max="15353" width="21.42578125" style="136" customWidth="1"/>
    <col min="15354" max="15354" width="20.85546875" style="136" customWidth="1"/>
    <col min="15355" max="15355" width="0" style="136" hidden="1" customWidth="1"/>
    <col min="15356" max="15603" width="9.140625" style="136"/>
    <col min="15604" max="15604" width="21.42578125" style="136" customWidth="1"/>
    <col min="15605" max="15605" width="16.42578125" style="136" customWidth="1"/>
    <col min="15606" max="15606" width="18" style="136" customWidth="1"/>
    <col min="15607" max="15607" width="23.7109375" style="136" customWidth="1"/>
    <col min="15608" max="15608" width="26" style="136" customWidth="1"/>
    <col min="15609" max="15609" width="21.42578125" style="136" customWidth="1"/>
    <col min="15610" max="15610" width="20.85546875" style="136" customWidth="1"/>
    <col min="15611" max="15611" width="0" style="136" hidden="1" customWidth="1"/>
    <col min="15612" max="15859" width="9.140625" style="136"/>
    <col min="15860" max="15860" width="21.42578125" style="136" customWidth="1"/>
    <col min="15861" max="15861" width="16.42578125" style="136" customWidth="1"/>
    <col min="15862" max="15862" width="18" style="136" customWidth="1"/>
    <col min="15863" max="15863" width="23.7109375" style="136" customWidth="1"/>
    <col min="15864" max="15864" width="26" style="136" customWidth="1"/>
    <col min="15865" max="15865" width="21.42578125" style="136" customWidth="1"/>
    <col min="15866" max="15866" width="20.85546875" style="136" customWidth="1"/>
    <col min="15867" max="15867" width="0" style="136" hidden="1" customWidth="1"/>
    <col min="15868" max="16115" width="9.140625" style="136"/>
    <col min="16116" max="16116" width="21.42578125" style="136" customWidth="1"/>
    <col min="16117" max="16117" width="16.42578125" style="136" customWidth="1"/>
    <col min="16118" max="16118" width="18" style="136" customWidth="1"/>
    <col min="16119" max="16119" width="23.7109375" style="136" customWidth="1"/>
    <col min="16120" max="16120" width="26" style="136" customWidth="1"/>
    <col min="16121" max="16121" width="21.42578125" style="136" customWidth="1"/>
    <col min="16122" max="16122" width="20.85546875" style="136" customWidth="1"/>
    <col min="16123" max="16123" width="0" style="136" hidden="1" customWidth="1"/>
    <col min="16124" max="16384" width="9.140625" style="136"/>
  </cols>
  <sheetData>
    <row r="1" spans="2:15" ht="9" customHeight="1" x14ac:dyDescent="0.2"/>
    <row r="2" spans="2:15" ht="30" customHeight="1" x14ac:dyDescent="0.2">
      <c r="B2" s="171" t="s">
        <v>252</v>
      </c>
      <c r="C2" s="172"/>
      <c r="D2" s="172"/>
      <c r="E2" s="172"/>
      <c r="F2" s="172"/>
      <c r="G2" s="172"/>
      <c r="H2" s="172"/>
      <c r="I2" s="172"/>
      <c r="J2" s="173"/>
    </row>
    <row r="3" spans="2:15" ht="30" customHeight="1" x14ac:dyDescent="0.2">
      <c r="B3" s="716" t="s">
        <v>232</v>
      </c>
      <c r="C3" s="717"/>
      <c r="D3" s="717"/>
      <c r="E3" s="717"/>
      <c r="F3" s="717"/>
      <c r="G3" s="717"/>
      <c r="H3" s="717"/>
      <c r="I3" s="717"/>
      <c r="J3" s="718"/>
    </row>
    <row r="4" spans="2:15" ht="15" customHeight="1" thickBot="1" x14ac:dyDescent="0.25">
      <c r="B4" s="278"/>
      <c r="C4" s="278"/>
      <c r="D4" s="278"/>
      <c r="E4" s="278"/>
      <c r="F4" s="278"/>
      <c r="G4" s="278"/>
      <c r="H4" s="278"/>
      <c r="I4" s="278"/>
      <c r="J4" s="278"/>
    </row>
    <row r="5" spans="2:15" ht="45" customHeight="1" thickBot="1" x14ac:dyDescent="0.25">
      <c r="B5" s="721" t="s">
        <v>348</v>
      </c>
      <c r="C5" s="722"/>
      <c r="D5" s="723"/>
      <c r="E5" s="278"/>
      <c r="F5" s="716" t="s">
        <v>230</v>
      </c>
      <c r="G5" s="717"/>
      <c r="H5" s="717"/>
      <c r="I5" s="717"/>
      <c r="J5" s="718"/>
    </row>
    <row r="6" spans="2:15" ht="15.75" thickBot="1" x14ac:dyDescent="0.3">
      <c r="B6" s="430" t="s">
        <v>54</v>
      </c>
      <c r="C6" s="431" t="s">
        <v>65</v>
      </c>
      <c r="D6" s="432" t="s">
        <v>64</v>
      </c>
      <c r="F6" s="432" t="s">
        <v>520</v>
      </c>
      <c r="G6" s="432" t="s">
        <v>519</v>
      </c>
      <c r="H6" s="432" t="s">
        <v>231</v>
      </c>
      <c r="I6" s="432" t="s">
        <v>231</v>
      </c>
      <c r="J6" s="432" t="s">
        <v>231</v>
      </c>
      <c r="K6" s="432" t="s">
        <v>231</v>
      </c>
      <c r="L6" s="432" t="s">
        <v>231</v>
      </c>
      <c r="M6" s="432" t="s">
        <v>231</v>
      </c>
      <c r="N6" s="432" t="s">
        <v>231</v>
      </c>
      <c r="O6" s="432" t="s">
        <v>231</v>
      </c>
    </row>
    <row r="7" spans="2:15" s="671" customFormat="1" ht="30" customHeight="1" x14ac:dyDescent="0.25">
      <c r="B7" s="667" t="s">
        <v>495</v>
      </c>
      <c r="C7" s="668" t="s">
        <v>56</v>
      </c>
      <c r="D7" s="669">
        <f>'Cash Flow'!G72</f>
        <v>27.850000000000012</v>
      </c>
      <c r="E7" s="670"/>
      <c r="F7" s="669">
        <v>28.05</v>
      </c>
      <c r="G7" s="669">
        <v>27.850000000000012</v>
      </c>
      <c r="H7" s="669"/>
      <c r="I7" s="669"/>
      <c r="J7" s="669"/>
      <c r="K7" s="669"/>
      <c r="L7" s="669"/>
      <c r="M7" s="669"/>
      <c r="N7" s="669"/>
      <c r="O7" s="669"/>
    </row>
    <row r="8" spans="2:15" ht="15.75" customHeight="1" x14ac:dyDescent="0.25">
      <c r="B8" s="174" t="s">
        <v>225</v>
      </c>
      <c r="C8" s="175" t="s">
        <v>1</v>
      </c>
      <c r="D8" s="279">
        <f>Inputs!$Q$10</f>
        <v>0.02</v>
      </c>
      <c r="E8" s="219"/>
      <c r="F8" s="279">
        <v>0.02</v>
      </c>
      <c r="G8" s="279">
        <v>0.02</v>
      </c>
      <c r="H8" s="279"/>
      <c r="I8" s="279"/>
      <c r="J8" s="279"/>
      <c r="K8" s="279"/>
      <c r="L8" s="279"/>
      <c r="M8" s="279"/>
      <c r="N8" s="279"/>
      <c r="O8" s="279"/>
    </row>
    <row r="9" spans="2:15" ht="15.75" customHeight="1" x14ac:dyDescent="0.25">
      <c r="B9" s="176" t="s">
        <v>109</v>
      </c>
      <c r="C9" s="177" t="s">
        <v>1</v>
      </c>
      <c r="D9" s="279">
        <f>Inputs!$Q$9</f>
        <v>1</v>
      </c>
      <c r="E9" s="219"/>
      <c r="F9" s="279">
        <v>1</v>
      </c>
      <c r="G9" s="279">
        <v>1</v>
      </c>
      <c r="H9" s="279"/>
      <c r="I9" s="279"/>
      <c r="J9" s="279"/>
      <c r="K9" s="279"/>
      <c r="L9" s="279"/>
      <c r="M9" s="279"/>
      <c r="N9" s="279"/>
      <c r="O9" s="279"/>
    </row>
    <row r="10" spans="2:15" ht="30" x14ac:dyDescent="0.25">
      <c r="B10" s="453" t="s">
        <v>325</v>
      </c>
      <c r="C10" s="454"/>
      <c r="D10" s="437" t="str">
        <f>IF(Inputs!$G$57="Pass","Yes","No, see Inputs Worksheet")</f>
        <v>Yes</v>
      </c>
      <c r="F10" s="691" t="s">
        <v>13</v>
      </c>
      <c r="G10" s="691" t="s">
        <v>13</v>
      </c>
      <c r="H10" s="684"/>
      <c r="I10" s="684"/>
      <c r="J10" s="684"/>
      <c r="K10" s="684"/>
      <c r="L10" s="684"/>
      <c r="M10" s="684"/>
      <c r="N10" s="684"/>
      <c r="O10" s="684"/>
    </row>
    <row r="11" spans="2:15" ht="30" x14ac:dyDescent="0.25">
      <c r="B11" s="455" t="s">
        <v>326</v>
      </c>
      <c r="C11" s="456"/>
      <c r="D11" s="437" t="str">
        <f>IF(Inputs!$G$60="Pass","Yes","No, see Inputs Worksheet")</f>
        <v>Yes</v>
      </c>
      <c r="F11" s="691" t="s">
        <v>13</v>
      </c>
      <c r="G11" s="691" t="s">
        <v>13</v>
      </c>
      <c r="H11" s="684"/>
      <c r="I11" s="684"/>
      <c r="J11" s="684"/>
      <c r="K11" s="684"/>
      <c r="L11" s="684"/>
      <c r="M11" s="684"/>
      <c r="N11" s="684"/>
      <c r="O11" s="684"/>
    </row>
    <row r="12" spans="2:15" ht="15.75" customHeight="1" x14ac:dyDescent="0.2">
      <c r="B12" s="416" t="s">
        <v>340</v>
      </c>
      <c r="C12" s="414"/>
      <c r="D12" s="415"/>
      <c r="F12" s="415"/>
      <c r="G12" s="415"/>
      <c r="H12" s="415"/>
      <c r="I12" s="415"/>
      <c r="J12" s="415"/>
      <c r="K12" s="415"/>
      <c r="L12" s="415"/>
      <c r="M12" s="415"/>
      <c r="N12" s="415"/>
      <c r="O12" s="415"/>
    </row>
    <row r="13" spans="2:15" ht="15.75" customHeight="1" x14ac:dyDescent="0.25">
      <c r="B13" s="291"/>
      <c r="C13" s="175"/>
      <c r="D13" s="292"/>
      <c r="F13" s="292"/>
      <c r="G13" s="292"/>
      <c r="H13" s="292"/>
      <c r="I13" s="292"/>
      <c r="J13" s="292"/>
      <c r="K13" s="292"/>
      <c r="L13" s="292"/>
      <c r="M13" s="292"/>
      <c r="N13" s="292"/>
      <c r="O13" s="292"/>
    </row>
    <row r="14" spans="2:15" s="671" customFormat="1" ht="30" customHeight="1" x14ac:dyDescent="0.25">
      <c r="B14" s="672" t="s">
        <v>496</v>
      </c>
      <c r="C14" s="673" t="s">
        <v>56</v>
      </c>
      <c r="D14" s="674">
        <f>-PMT(Inputs!$G$62,Inputs!$Q$8,NPV(Inputs!$G$62,'Cash Flow'!G14:AJ14))</f>
        <v>31.11839863600111</v>
      </c>
      <c r="F14" s="674">
        <v>31.341870080424808</v>
      </c>
      <c r="G14" s="674">
        <v>31.11839863600111</v>
      </c>
      <c r="H14" s="674"/>
      <c r="I14" s="674"/>
      <c r="J14" s="674"/>
      <c r="K14" s="674"/>
      <c r="L14" s="674"/>
      <c r="M14" s="674"/>
      <c r="N14" s="674"/>
      <c r="O14" s="674"/>
    </row>
    <row r="15" spans="2:15" s="154" customFormat="1" x14ac:dyDescent="0.2">
      <c r="C15" s="178"/>
    </row>
    <row r="16" spans="2:15" s="154" customFormat="1" ht="15.75" customHeight="1" x14ac:dyDescent="0.25">
      <c r="B16" s="179" t="s">
        <v>53</v>
      </c>
      <c r="C16" s="294"/>
      <c r="D16" s="293"/>
      <c r="E16" s="136"/>
      <c r="F16" s="293"/>
      <c r="G16" s="293"/>
      <c r="H16" s="293"/>
      <c r="I16" s="293"/>
      <c r="J16" s="293"/>
      <c r="K16" s="293"/>
      <c r="L16" s="293"/>
      <c r="M16" s="293"/>
      <c r="N16" s="293"/>
      <c r="O16" s="293"/>
    </row>
    <row r="17" spans="2:15" ht="15" x14ac:dyDescent="0.25">
      <c r="B17" s="174" t="s">
        <v>16</v>
      </c>
      <c r="C17" s="175"/>
      <c r="D17" s="365" t="str">
        <f>Inputs!$G$5</f>
        <v>Photovoltaic</v>
      </c>
      <c r="E17" s="137"/>
      <c r="F17" s="365" t="s">
        <v>14</v>
      </c>
      <c r="G17" s="365" t="s">
        <v>14</v>
      </c>
      <c r="H17" s="365"/>
      <c r="I17" s="365"/>
      <c r="J17" s="365"/>
      <c r="K17" s="365"/>
      <c r="L17" s="365"/>
      <c r="M17" s="365"/>
      <c r="N17" s="365"/>
      <c r="O17" s="365"/>
    </row>
    <row r="18" spans="2:15" ht="15" x14ac:dyDescent="0.25">
      <c r="B18" s="174" t="s">
        <v>31</v>
      </c>
      <c r="C18" s="175" t="str">
        <f>Inputs!F8</f>
        <v>kW dc</v>
      </c>
      <c r="D18" s="480">
        <f>Inputs!G8</f>
        <v>2200</v>
      </c>
      <c r="E18" s="180"/>
      <c r="F18" s="480">
        <v>2200</v>
      </c>
      <c r="G18" s="480">
        <v>2200</v>
      </c>
      <c r="H18" s="480"/>
      <c r="I18" s="480"/>
      <c r="J18" s="480"/>
      <c r="K18" s="480"/>
      <c r="L18" s="480"/>
      <c r="M18" s="480"/>
      <c r="N18" s="480"/>
      <c r="O18" s="480"/>
    </row>
    <row r="19" spans="2:15" ht="15" x14ac:dyDescent="0.25">
      <c r="B19" s="174" t="s">
        <v>293</v>
      </c>
      <c r="C19" s="175">
        <f>Inputs!$F$12</f>
        <v>0</v>
      </c>
      <c r="D19" s="181">
        <f>Inputs!$G$12</f>
        <v>0.18045645833333335</v>
      </c>
      <c r="E19" s="182"/>
      <c r="F19" s="181">
        <v>0.18045645833333335</v>
      </c>
      <c r="G19" s="181">
        <v>0.18045645833333335</v>
      </c>
      <c r="H19" s="181"/>
      <c r="I19" s="181"/>
      <c r="J19" s="181"/>
      <c r="K19" s="181"/>
      <c r="L19" s="181"/>
      <c r="M19" s="181"/>
      <c r="N19" s="181"/>
      <c r="O19" s="181"/>
    </row>
    <row r="20" spans="2:15" ht="15" x14ac:dyDescent="0.25">
      <c r="B20" s="174" t="s">
        <v>301</v>
      </c>
      <c r="C20" s="175" t="s">
        <v>2</v>
      </c>
      <c r="D20" s="480">
        <f>Inputs!G13</f>
        <v>3477756.8650000002</v>
      </c>
      <c r="E20" s="182"/>
      <c r="F20" s="480">
        <v>3477756.8650000002</v>
      </c>
      <c r="G20" s="480">
        <v>3477756.8650000002</v>
      </c>
      <c r="H20" s="480"/>
      <c r="I20" s="480"/>
      <c r="J20" s="480"/>
      <c r="K20" s="480"/>
      <c r="L20" s="480"/>
      <c r="M20" s="480"/>
      <c r="N20" s="480"/>
      <c r="O20" s="480"/>
    </row>
    <row r="21" spans="2:15" ht="15" x14ac:dyDescent="0.25">
      <c r="B21" s="174" t="s">
        <v>239</v>
      </c>
      <c r="C21" s="175" t="s">
        <v>55</v>
      </c>
      <c r="D21" s="183">
        <f>Inputs!G15</f>
        <v>25</v>
      </c>
      <c r="E21" s="182"/>
      <c r="F21" s="183">
        <v>25</v>
      </c>
      <c r="G21" s="183">
        <v>25</v>
      </c>
      <c r="H21" s="183"/>
      <c r="I21" s="183"/>
      <c r="J21" s="183"/>
      <c r="K21" s="183"/>
      <c r="L21" s="183"/>
      <c r="M21" s="183"/>
      <c r="N21" s="183"/>
      <c r="O21" s="183"/>
    </row>
    <row r="22" spans="2:15" ht="15" x14ac:dyDescent="0.25">
      <c r="B22" s="174" t="str">
        <f>Inputs!$O$8</f>
        <v>Payment Duration for Cost-Based Tariff</v>
      </c>
      <c r="C22" s="175" t="s">
        <v>55</v>
      </c>
      <c r="D22" s="183">
        <f>Inputs!$Q$8</f>
        <v>20</v>
      </c>
      <c r="E22" s="137"/>
      <c r="F22" s="183">
        <v>20</v>
      </c>
      <c r="G22" s="183">
        <v>20</v>
      </c>
      <c r="H22" s="183"/>
      <c r="I22" s="183"/>
      <c r="J22" s="183"/>
      <c r="K22" s="183"/>
      <c r="L22" s="183"/>
      <c r="M22" s="183"/>
      <c r="N22" s="183"/>
      <c r="O22" s="183"/>
    </row>
    <row r="23" spans="2:15" ht="15" x14ac:dyDescent="0.25">
      <c r="B23" s="174" t="s">
        <v>483</v>
      </c>
      <c r="C23" s="175" t="s">
        <v>1</v>
      </c>
      <c r="D23" s="647">
        <f>Inputs!Q9</f>
        <v>1</v>
      </c>
      <c r="E23" s="137"/>
      <c r="F23" s="647">
        <v>1</v>
      </c>
      <c r="G23" s="647">
        <v>1</v>
      </c>
      <c r="H23" s="647"/>
      <c r="I23" s="647"/>
      <c r="J23" s="647"/>
      <c r="K23" s="647"/>
      <c r="L23" s="647"/>
      <c r="M23" s="647"/>
      <c r="N23" s="647"/>
      <c r="O23" s="647"/>
    </row>
    <row r="24" spans="2:15" ht="15" x14ac:dyDescent="0.25">
      <c r="B24" s="174"/>
      <c r="C24" s="175"/>
      <c r="D24" s="183"/>
      <c r="E24" s="137"/>
      <c r="F24" s="183"/>
      <c r="G24" s="183"/>
      <c r="H24" s="183"/>
      <c r="I24" s="183"/>
      <c r="J24" s="183"/>
      <c r="K24" s="183"/>
      <c r="L24" s="183"/>
      <c r="M24" s="183"/>
      <c r="N24" s="183"/>
      <c r="O24" s="183"/>
    </row>
    <row r="25" spans="2:15" ht="15" x14ac:dyDescent="0.25">
      <c r="B25" s="174" t="s">
        <v>475</v>
      </c>
      <c r="C25" s="175" t="s">
        <v>0</v>
      </c>
      <c r="D25" s="184">
        <f>Inputs!$G26-Inputs!G69</f>
        <v>5840109.7702229787</v>
      </c>
      <c r="E25" s="185"/>
      <c r="F25" s="184">
        <v>5846652.866580395</v>
      </c>
      <c r="G25" s="184">
        <v>5840109.7702229787</v>
      </c>
      <c r="H25" s="184"/>
      <c r="I25" s="184"/>
      <c r="J25" s="184"/>
      <c r="K25" s="184"/>
      <c r="L25" s="184"/>
      <c r="M25" s="184"/>
      <c r="N25" s="184"/>
      <c r="O25" s="184"/>
    </row>
    <row r="26" spans="2:15" ht="15" x14ac:dyDescent="0.25">
      <c r="B26" s="174" t="s">
        <v>475</v>
      </c>
      <c r="C26" s="178" t="s">
        <v>32</v>
      </c>
      <c r="D26" s="186">
        <f>D25/D18/1000</f>
        <v>2.6545953501013542</v>
      </c>
      <c r="E26" s="187"/>
      <c r="F26" s="186">
        <v>2.6575694848092701</v>
      </c>
      <c r="G26" s="186">
        <v>2.6545953501013542</v>
      </c>
      <c r="H26" s="186"/>
      <c r="I26" s="186"/>
      <c r="J26" s="186"/>
      <c r="K26" s="186"/>
      <c r="L26" s="186"/>
      <c r="M26" s="186"/>
      <c r="N26" s="186"/>
      <c r="O26" s="186"/>
    </row>
    <row r="27" spans="2:15" ht="15" x14ac:dyDescent="0.25">
      <c r="B27" s="174"/>
      <c r="C27" s="175"/>
      <c r="D27" s="183"/>
      <c r="E27" s="137"/>
      <c r="F27" s="183"/>
      <c r="G27" s="183"/>
      <c r="H27" s="183"/>
      <c r="I27" s="183"/>
      <c r="J27" s="183"/>
      <c r="K27" s="183"/>
      <c r="L27" s="183"/>
      <c r="M27" s="183"/>
      <c r="N27" s="183"/>
      <c r="O27" s="183"/>
    </row>
    <row r="28" spans="2:15" ht="15" x14ac:dyDescent="0.25">
      <c r="B28" s="174" t="s">
        <v>478</v>
      </c>
      <c r="C28" s="644" t="s">
        <v>477</v>
      </c>
      <c r="D28" s="645">
        <f>'Cash Flow'!G37</f>
        <v>-4.97172289511317</v>
      </c>
      <c r="E28" s="137"/>
      <c r="F28" s="645">
        <v>-4.9677228951131687</v>
      </c>
      <c r="G28" s="645">
        <v>-4.97172289511317</v>
      </c>
      <c r="H28" s="645"/>
      <c r="I28" s="645"/>
      <c r="J28" s="645"/>
      <c r="K28" s="645"/>
      <c r="L28" s="645"/>
      <c r="M28" s="645"/>
      <c r="N28" s="645"/>
      <c r="O28" s="645"/>
    </row>
    <row r="29" spans="2:15" ht="15" x14ac:dyDescent="0.25">
      <c r="B29" s="174"/>
      <c r="C29" s="175"/>
      <c r="D29" s="183"/>
      <c r="E29" s="137"/>
      <c r="F29" s="183"/>
      <c r="G29" s="183"/>
      <c r="H29" s="183"/>
      <c r="I29" s="183"/>
      <c r="J29" s="183"/>
      <c r="K29" s="183"/>
      <c r="L29" s="183"/>
      <c r="M29" s="183"/>
      <c r="N29" s="183"/>
      <c r="O29" s="183"/>
    </row>
    <row r="30" spans="2:15" ht="15" x14ac:dyDescent="0.25">
      <c r="B30" s="174" t="str">
        <f>Inputs!$E$61</f>
        <v>% Equity (% hard costs) (soft costs also equity funded)</v>
      </c>
      <c r="C30" s="178" t="s">
        <v>1</v>
      </c>
      <c r="D30" s="188">
        <f>Inputs!$G61</f>
        <v>0.55000000000000004</v>
      </c>
      <c r="E30" s="189"/>
      <c r="F30" s="188">
        <v>0.55000000000000004</v>
      </c>
      <c r="G30" s="188">
        <v>0.55000000000000004</v>
      </c>
      <c r="H30" s="188"/>
      <c r="I30" s="188"/>
      <c r="J30" s="188"/>
      <c r="K30" s="188"/>
      <c r="L30" s="188"/>
      <c r="M30" s="188"/>
      <c r="N30" s="188"/>
      <c r="O30" s="188"/>
    </row>
    <row r="31" spans="2:15" ht="15" x14ac:dyDescent="0.25">
      <c r="B31" s="174" t="str">
        <f>Inputs!$E$62</f>
        <v>Target After-Tax Equity IRR</v>
      </c>
      <c r="C31" s="175" t="s">
        <v>1</v>
      </c>
      <c r="D31" s="280">
        <f>Inputs!$G62</f>
        <v>0.15</v>
      </c>
      <c r="E31" s="189"/>
      <c r="F31" s="280">
        <v>0.15</v>
      </c>
      <c r="G31" s="280">
        <v>0.15</v>
      </c>
      <c r="H31" s="280"/>
      <c r="I31" s="280"/>
      <c r="J31" s="280"/>
      <c r="K31" s="280"/>
      <c r="L31" s="280"/>
      <c r="M31" s="280"/>
      <c r="N31" s="280"/>
      <c r="O31" s="280"/>
    </row>
    <row r="32" spans="2:15" ht="15" x14ac:dyDescent="0.25">
      <c r="B32" s="174" t="str">
        <f>Inputs!$E$51</f>
        <v>% Debt (% of hard costs) (mortgage-style amort.)</v>
      </c>
      <c r="C32" s="178" t="s">
        <v>1</v>
      </c>
      <c r="D32" s="188">
        <f>Inputs!$G51</f>
        <v>0.45</v>
      </c>
      <c r="E32" s="189"/>
      <c r="F32" s="188">
        <v>0.45</v>
      </c>
      <c r="G32" s="188">
        <v>0.45</v>
      </c>
      <c r="H32" s="188"/>
      <c r="I32" s="188"/>
      <c r="J32" s="188"/>
      <c r="K32" s="188"/>
      <c r="L32" s="188"/>
      <c r="M32" s="188"/>
      <c r="N32" s="188"/>
      <c r="O32" s="188"/>
    </row>
    <row r="33" spans="2:15" ht="15" x14ac:dyDescent="0.25">
      <c r="B33" s="174" t="s">
        <v>479</v>
      </c>
      <c r="C33" s="178" t="s">
        <v>55</v>
      </c>
      <c r="D33" s="183">
        <f>IF(D32&gt;0%,Inputs!G52,"NA")</f>
        <v>18</v>
      </c>
      <c r="E33" s="189"/>
      <c r="F33" s="183">
        <v>18</v>
      </c>
      <c r="G33" s="183">
        <v>18</v>
      </c>
      <c r="H33" s="183"/>
      <c r="I33" s="183"/>
      <c r="J33" s="183"/>
      <c r="K33" s="183"/>
      <c r="L33" s="183"/>
      <c r="M33" s="183"/>
      <c r="N33" s="183"/>
      <c r="O33" s="183"/>
    </row>
    <row r="34" spans="2:15" ht="15" x14ac:dyDescent="0.25">
      <c r="B34" s="174" t="str">
        <f>Inputs!$E$53</f>
        <v>Interest Rate on Term Debt</v>
      </c>
      <c r="C34" s="178" t="s">
        <v>1</v>
      </c>
      <c r="D34" s="280">
        <f>IF(D32&gt;0%,Inputs!$G53,"NA")</f>
        <v>7.0000000000000007E-2</v>
      </c>
      <c r="E34" s="189"/>
      <c r="F34" s="280">
        <v>7.0000000000000007E-2</v>
      </c>
      <c r="G34" s="280">
        <v>7.0000000000000007E-2</v>
      </c>
      <c r="H34" s="280"/>
      <c r="I34" s="280"/>
      <c r="J34" s="280"/>
      <c r="K34" s="280"/>
      <c r="L34" s="280"/>
      <c r="M34" s="280"/>
      <c r="N34" s="280"/>
      <c r="O34" s="280"/>
    </row>
    <row r="35" spans="2:15" ht="15" x14ac:dyDescent="0.25">
      <c r="B35" s="174" t="str">
        <f>Inputs!$E$73</f>
        <v>Is owner a taxable entity?</v>
      </c>
      <c r="C35" s="137"/>
      <c r="D35" s="188" t="str">
        <f>Inputs!$G$73</f>
        <v>Yes</v>
      </c>
      <c r="E35" s="189"/>
      <c r="F35" s="188" t="s">
        <v>13</v>
      </c>
      <c r="G35" s="188" t="s">
        <v>13</v>
      </c>
      <c r="H35" s="188"/>
      <c r="I35" s="188"/>
      <c r="J35" s="188"/>
      <c r="K35" s="188"/>
      <c r="L35" s="188"/>
      <c r="M35" s="188"/>
      <c r="N35" s="188"/>
      <c r="O35" s="188"/>
    </row>
    <row r="36" spans="2:15" ht="15" x14ac:dyDescent="0.25">
      <c r="B36" s="174" t="s">
        <v>480</v>
      </c>
      <c r="C36" s="137"/>
      <c r="D36" s="188" t="str">
        <f>IF($D$35="Yes",Inputs!G75,"NA")</f>
        <v>Carried Forward</v>
      </c>
      <c r="E36" s="189"/>
      <c r="F36" s="188" t="s">
        <v>512</v>
      </c>
      <c r="G36" s="188" t="s">
        <v>512</v>
      </c>
      <c r="H36" s="188"/>
      <c r="I36" s="188"/>
      <c r="J36" s="188"/>
      <c r="K36" s="188"/>
      <c r="L36" s="188"/>
      <c r="M36" s="188"/>
      <c r="N36" s="188"/>
      <c r="O36" s="188"/>
    </row>
    <row r="37" spans="2:15" ht="15" x14ac:dyDescent="0.25">
      <c r="B37" s="174" t="s">
        <v>481</v>
      </c>
      <c r="C37" s="137"/>
      <c r="D37" s="188" t="str">
        <f>IF($D$35="Yes",Inputs!G77,"NA")</f>
        <v>Carried Forward</v>
      </c>
      <c r="E37" s="189"/>
      <c r="F37" s="188" t="s">
        <v>512</v>
      </c>
      <c r="G37" s="188" t="s">
        <v>512</v>
      </c>
      <c r="H37" s="188"/>
      <c r="I37" s="188"/>
      <c r="J37" s="188"/>
      <c r="K37" s="188"/>
      <c r="L37" s="188"/>
      <c r="M37" s="188"/>
      <c r="N37" s="188"/>
      <c r="O37" s="188"/>
    </row>
    <row r="38" spans="2:15" ht="15" x14ac:dyDescent="0.25">
      <c r="B38" s="646"/>
      <c r="C38" s="137"/>
      <c r="D38" s="188"/>
      <c r="E38" s="189"/>
      <c r="F38" s="188"/>
      <c r="G38" s="188"/>
      <c r="H38" s="188"/>
      <c r="I38" s="188"/>
      <c r="J38" s="188"/>
      <c r="K38" s="188"/>
      <c r="L38" s="188"/>
      <c r="M38" s="188"/>
      <c r="N38" s="188"/>
      <c r="O38" s="188"/>
    </row>
    <row r="39" spans="2:15" ht="15" x14ac:dyDescent="0.25">
      <c r="B39" s="174" t="s">
        <v>330</v>
      </c>
      <c r="C39" s="175"/>
      <c r="D39" s="184" t="str">
        <f>Inputs!Q19</f>
        <v>Performance-Based</v>
      </c>
      <c r="E39" s="189"/>
      <c r="F39" s="184" t="s">
        <v>514</v>
      </c>
      <c r="G39" s="184" t="s">
        <v>518</v>
      </c>
      <c r="H39" s="184"/>
      <c r="I39" s="184"/>
      <c r="J39" s="184"/>
      <c r="K39" s="184"/>
      <c r="L39" s="184"/>
      <c r="M39" s="184"/>
      <c r="N39" s="184"/>
      <c r="O39" s="184"/>
    </row>
    <row r="40" spans="2:15" ht="15" x14ac:dyDescent="0.25">
      <c r="B40" s="174" t="s">
        <v>484</v>
      </c>
      <c r="C40" s="175"/>
      <c r="D40" s="184" t="str">
        <f>IF($D$39="Cost-Based",Inputs!$Q$20,Inputs!$Q$24)</f>
        <v>Tax Credit</v>
      </c>
      <c r="E40" s="189"/>
      <c r="F40" s="184" t="s">
        <v>515</v>
      </c>
      <c r="G40" s="184" t="s">
        <v>328</v>
      </c>
      <c r="H40" s="184"/>
      <c r="I40" s="184"/>
      <c r="J40" s="184"/>
      <c r="K40" s="184"/>
      <c r="L40" s="184"/>
      <c r="M40" s="184"/>
      <c r="N40" s="184"/>
      <c r="O40" s="184"/>
    </row>
    <row r="41" spans="2:15" ht="15" x14ac:dyDescent="0.25">
      <c r="B41" s="174"/>
      <c r="C41" s="175"/>
      <c r="D41" s="184"/>
      <c r="E41" s="189"/>
      <c r="F41" s="184"/>
      <c r="G41" s="184"/>
      <c r="H41" s="184"/>
      <c r="I41" s="184"/>
      <c r="J41" s="184"/>
      <c r="K41" s="184"/>
      <c r="L41" s="184"/>
      <c r="M41" s="184"/>
      <c r="N41" s="184"/>
      <c r="O41" s="184"/>
    </row>
    <row r="42" spans="2:15" ht="15" x14ac:dyDescent="0.25">
      <c r="B42" s="174" t="s">
        <v>201</v>
      </c>
      <c r="D42" s="183" t="str">
        <f>IF(AND(Inputs!$Q$29=0,Inputs!$Q$45=0),"No","Yes")</f>
        <v>Yes</v>
      </c>
      <c r="E42" s="189"/>
      <c r="F42" s="183" t="s">
        <v>516</v>
      </c>
      <c r="G42" s="183" t="s">
        <v>13</v>
      </c>
      <c r="H42" s="183"/>
      <c r="I42" s="183"/>
      <c r="J42" s="183"/>
      <c r="K42" s="183"/>
      <c r="L42" s="183"/>
      <c r="M42" s="183"/>
      <c r="N42" s="183"/>
      <c r="O42" s="183"/>
    </row>
    <row r="43" spans="2:15" ht="15" x14ac:dyDescent="0.25">
      <c r="B43" s="291" t="s">
        <v>485</v>
      </c>
      <c r="C43" s="175" t="s">
        <v>0</v>
      </c>
      <c r="D43" s="652">
        <f>IF(D42="No","NA",Inputs!G69)</f>
        <v>6500</v>
      </c>
      <c r="E43" s="189"/>
      <c r="F43" s="652" t="s">
        <v>517</v>
      </c>
      <c r="G43" s="652">
        <v>6500</v>
      </c>
      <c r="H43" s="652"/>
      <c r="I43" s="652"/>
      <c r="J43" s="652"/>
      <c r="K43" s="652"/>
      <c r="L43" s="652"/>
      <c r="M43" s="652"/>
      <c r="N43" s="652"/>
      <c r="O43" s="652"/>
    </row>
    <row r="44" spans="2:15" ht="15" x14ac:dyDescent="0.25">
      <c r="B44" s="291"/>
      <c r="D44" s="183"/>
      <c r="E44" s="189"/>
      <c r="F44" s="183"/>
      <c r="G44" s="183"/>
      <c r="H44" s="183"/>
      <c r="I44" s="183"/>
      <c r="J44" s="183"/>
      <c r="K44" s="183"/>
      <c r="L44" s="183"/>
      <c r="M44" s="183"/>
      <c r="N44" s="183"/>
      <c r="O44" s="183"/>
    </row>
    <row r="45" spans="2:15" ht="15" x14ac:dyDescent="0.25">
      <c r="B45" s="651" t="s">
        <v>486</v>
      </c>
      <c r="C45" s="157"/>
      <c r="D45" s="653" t="str">
        <f>IF(Inputs!$G$73="No","NA",Inputs!P70)</f>
        <v>Yes</v>
      </c>
      <c r="F45" s="653" t="s">
        <v>13</v>
      </c>
      <c r="G45" s="653" t="s">
        <v>13</v>
      </c>
      <c r="H45" s="653"/>
      <c r="I45" s="653"/>
      <c r="J45" s="653"/>
      <c r="K45" s="653"/>
      <c r="L45" s="653"/>
      <c r="M45" s="653"/>
      <c r="N45" s="653"/>
      <c r="O45" s="653"/>
    </row>
    <row r="46" spans="2:15" ht="150.75" customHeight="1" x14ac:dyDescent="0.2">
      <c r="B46" s="648" t="s">
        <v>327</v>
      </c>
      <c r="C46" s="649"/>
      <c r="D46" s="650"/>
      <c r="F46" s="650"/>
      <c r="G46" s="650"/>
      <c r="H46" s="650"/>
      <c r="I46" s="650"/>
      <c r="J46" s="650"/>
      <c r="K46" s="650"/>
      <c r="L46" s="650"/>
      <c r="M46" s="650"/>
      <c r="N46" s="650"/>
      <c r="O46" s="650"/>
    </row>
    <row r="47" spans="2:15" ht="30" customHeight="1" x14ac:dyDescent="0.2">
      <c r="B47" s="213"/>
      <c r="C47" s="213"/>
      <c r="D47" s="213"/>
      <c r="E47" s="213"/>
      <c r="F47" s="213"/>
      <c r="G47" s="213"/>
      <c r="H47" s="213"/>
      <c r="I47" s="213"/>
      <c r="J47" s="213"/>
    </row>
    <row r="48" spans="2:15" ht="18" x14ac:dyDescent="0.2">
      <c r="B48" s="213"/>
      <c r="C48" s="213"/>
      <c r="D48" s="214"/>
      <c r="E48" s="213"/>
      <c r="F48" s="213"/>
      <c r="G48" s="213"/>
      <c r="H48" s="213"/>
      <c r="I48" s="213"/>
      <c r="J48" s="213"/>
    </row>
    <row r="49" spans="2:10" x14ac:dyDescent="0.2">
      <c r="D49" s="720"/>
      <c r="E49" s="720"/>
      <c r="F49" s="720"/>
      <c r="G49" s="720"/>
      <c r="H49" s="720"/>
      <c r="I49" s="720"/>
    </row>
    <row r="50" spans="2:10" ht="15" x14ac:dyDescent="0.25">
      <c r="C50" s="210"/>
      <c r="D50" s="211"/>
      <c r="E50" s="211"/>
      <c r="F50" s="211"/>
      <c r="G50" s="211"/>
      <c r="H50" s="211"/>
      <c r="I50" s="211"/>
      <c r="J50" s="211"/>
    </row>
    <row r="51" spans="2:10" ht="15" x14ac:dyDescent="0.25">
      <c r="B51" s="719"/>
      <c r="C51" s="212"/>
    </row>
    <row r="52" spans="2:10" ht="15" x14ac:dyDescent="0.25">
      <c r="B52" s="719"/>
      <c r="C52" s="212"/>
    </row>
    <row r="53" spans="2:10" ht="15" x14ac:dyDescent="0.25">
      <c r="B53" s="719"/>
      <c r="C53" s="212"/>
    </row>
    <row r="54" spans="2:10" ht="15" x14ac:dyDescent="0.25">
      <c r="B54" s="719"/>
      <c r="C54" s="212"/>
    </row>
    <row r="55" spans="2:10" ht="15" x14ac:dyDescent="0.25">
      <c r="B55" s="719"/>
      <c r="C55" s="212"/>
    </row>
    <row r="59" spans="2:10" ht="15.75" customHeight="1" x14ac:dyDescent="0.2"/>
  </sheetData>
  <protectedRanges>
    <protectedRange sqref="F6:O6" name="Scenario Names"/>
    <protectedRange sqref="D46 F7:O46" name="Scenario Comparison"/>
  </protectedRanges>
  <mergeCells count="5">
    <mergeCell ref="B3:J3"/>
    <mergeCell ref="B51:B55"/>
    <mergeCell ref="D49:I49"/>
    <mergeCell ref="F5:J5"/>
    <mergeCell ref="B5:D5"/>
  </mergeCells>
  <conditionalFormatting sqref="D10">
    <cfRule type="expression" dxfId="9" priority="9">
      <formula>$D10="Yes"</formula>
    </cfRule>
  </conditionalFormatting>
  <conditionalFormatting sqref="D11">
    <cfRule type="expression" dxfId="8" priority="7">
      <formula>$D11="Yes"</formula>
    </cfRule>
  </conditionalFormatting>
  <conditionalFormatting sqref="B10:C10">
    <cfRule type="expression" dxfId="7" priority="6">
      <formula>$D$10="Yes"</formula>
    </cfRule>
  </conditionalFormatting>
  <conditionalFormatting sqref="B11:C11">
    <cfRule type="expression" dxfId="6" priority="5">
      <formula>$D$11="Yes"</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S38"/>
  <sheetViews>
    <sheetView showGridLines="0" zoomScale="70" zoomScaleNormal="70" workbookViewId="0">
      <pane xSplit="1" ySplit="5" topLeftCell="B6" activePane="bottomRight" state="frozen"/>
      <selection pane="topRight" activeCell="B1" sqref="B1"/>
      <selection pane="bottomLeft" activeCell="A6" sqref="A6"/>
      <selection pane="bottomRight" activeCell="S43" sqref="S43"/>
    </sheetView>
  </sheetViews>
  <sheetFormatPr defaultColWidth="8.85546875" defaultRowHeight="14.25" x14ac:dyDescent="0.2"/>
  <cols>
    <col min="1" max="1" width="2.42578125" style="136" customWidth="1"/>
    <col min="2" max="2" width="9.7109375" style="136" customWidth="1"/>
    <col min="3" max="3" width="15" style="136" customWidth="1"/>
    <col min="4" max="4" width="12.85546875" style="136" customWidth="1"/>
    <col min="5" max="5" width="13.7109375" style="136" customWidth="1"/>
    <col min="6" max="6" width="12.42578125" style="136" bestFit="1" customWidth="1"/>
    <col min="7" max="7" width="13" style="137" customWidth="1"/>
    <col min="8" max="8" width="12.42578125" style="136" customWidth="1"/>
    <col min="9" max="9" width="13.7109375" style="136" bestFit="1" customWidth="1"/>
    <col min="10" max="10" width="13.7109375" style="136" customWidth="1"/>
    <col min="11" max="11" width="15.85546875" style="136" customWidth="1"/>
    <col min="12" max="12" width="14.42578125" style="136" customWidth="1"/>
    <col min="13" max="13" width="15.7109375" style="136" customWidth="1"/>
    <col min="14" max="14" width="16.42578125" style="136" customWidth="1"/>
    <col min="15" max="15" width="11.42578125" style="136" customWidth="1"/>
    <col min="16" max="16" width="11.140625" style="136" customWidth="1"/>
    <col min="17" max="17" width="9.140625" style="136"/>
    <col min="18" max="18" width="24.85546875" style="136" bestFit="1" customWidth="1"/>
    <col min="19" max="19" width="29.28515625" style="136" bestFit="1" customWidth="1"/>
    <col min="20" max="235" width="9.140625" style="136"/>
    <col min="236" max="236" width="21.42578125" style="136" customWidth="1"/>
    <col min="237" max="237" width="16.42578125" style="136" customWidth="1"/>
    <col min="238" max="238" width="18" style="136" customWidth="1"/>
    <col min="239" max="239" width="23.7109375" style="136" customWidth="1"/>
    <col min="240" max="240" width="26" style="136" customWidth="1"/>
    <col min="241" max="241" width="21.42578125" style="136" customWidth="1"/>
    <col min="242" max="242" width="20.85546875" style="136" customWidth="1"/>
    <col min="243" max="243" width="0" style="136" hidden="1" customWidth="1"/>
    <col min="244" max="491" width="9.140625" style="136"/>
    <col min="492" max="492" width="21.42578125" style="136" customWidth="1"/>
    <col min="493" max="493" width="16.42578125" style="136" customWidth="1"/>
    <col min="494" max="494" width="18" style="136" customWidth="1"/>
    <col min="495" max="495" width="23.7109375" style="136" customWidth="1"/>
    <col min="496" max="496" width="26" style="136" customWidth="1"/>
    <col min="497" max="497" width="21.42578125" style="136" customWidth="1"/>
    <col min="498" max="498" width="20.85546875" style="136" customWidth="1"/>
    <col min="499" max="499" width="0" style="136" hidden="1" customWidth="1"/>
    <col min="500" max="747" width="9.140625" style="136"/>
    <col min="748" max="748" width="21.42578125" style="136" customWidth="1"/>
    <col min="749" max="749" width="16.42578125" style="136" customWidth="1"/>
    <col min="750" max="750" width="18" style="136" customWidth="1"/>
    <col min="751" max="751" width="23.7109375" style="136" customWidth="1"/>
    <col min="752" max="752" width="26" style="136" customWidth="1"/>
    <col min="753" max="753" width="21.42578125" style="136" customWidth="1"/>
    <col min="754" max="754" width="20.85546875" style="136" customWidth="1"/>
    <col min="755" max="755" width="0" style="136" hidden="1" customWidth="1"/>
    <col min="756" max="1003" width="9.140625" style="136"/>
    <col min="1004" max="1004" width="21.42578125" style="136" customWidth="1"/>
    <col min="1005" max="1005" width="16.42578125" style="136" customWidth="1"/>
    <col min="1006" max="1006" width="18" style="136" customWidth="1"/>
    <col min="1007" max="1007" width="23.7109375" style="136" customWidth="1"/>
    <col min="1008" max="1008" width="26" style="136" customWidth="1"/>
    <col min="1009" max="1009" width="21.42578125" style="136" customWidth="1"/>
    <col min="1010" max="1010" width="20.85546875" style="136" customWidth="1"/>
    <col min="1011" max="1011" width="0" style="136" hidden="1" customWidth="1"/>
    <col min="1012" max="1259" width="9.140625" style="136"/>
    <col min="1260" max="1260" width="21.42578125" style="136" customWidth="1"/>
    <col min="1261" max="1261" width="16.42578125" style="136" customWidth="1"/>
    <col min="1262" max="1262" width="18" style="136" customWidth="1"/>
    <col min="1263" max="1263" width="23.7109375" style="136" customWidth="1"/>
    <col min="1264" max="1264" width="26" style="136" customWidth="1"/>
    <col min="1265" max="1265" width="21.42578125" style="136" customWidth="1"/>
    <col min="1266" max="1266" width="20.85546875" style="136" customWidth="1"/>
    <col min="1267" max="1267" width="0" style="136" hidden="1" customWidth="1"/>
    <col min="1268" max="1515" width="9.140625" style="136"/>
    <col min="1516" max="1516" width="21.42578125" style="136" customWidth="1"/>
    <col min="1517" max="1517" width="16.42578125" style="136" customWidth="1"/>
    <col min="1518" max="1518" width="18" style="136" customWidth="1"/>
    <col min="1519" max="1519" width="23.7109375" style="136" customWidth="1"/>
    <col min="1520" max="1520" width="26" style="136" customWidth="1"/>
    <col min="1521" max="1521" width="21.42578125" style="136" customWidth="1"/>
    <col min="1522" max="1522" width="20.85546875" style="136" customWidth="1"/>
    <col min="1523" max="1523" width="0" style="136" hidden="1" customWidth="1"/>
    <col min="1524" max="1771" width="9.140625" style="136"/>
    <col min="1772" max="1772" width="21.42578125" style="136" customWidth="1"/>
    <col min="1773" max="1773" width="16.42578125" style="136" customWidth="1"/>
    <col min="1774" max="1774" width="18" style="136" customWidth="1"/>
    <col min="1775" max="1775" width="23.7109375" style="136" customWidth="1"/>
    <col min="1776" max="1776" width="26" style="136" customWidth="1"/>
    <col min="1777" max="1777" width="21.42578125" style="136" customWidth="1"/>
    <col min="1778" max="1778" width="20.85546875" style="136" customWidth="1"/>
    <col min="1779" max="1779" width="0" style="136" hidden="1" customWidth="1"/>
    <col min="1780" max="2027" width="9.140625" style="136"/>
    <col min="2028" max="2028" width="21.42578125" style="136" customWidth="1"/>
    <col min="2029" max="2029" width="16.42578125" style="136" customWidth="1"/>
    <col min="2030" max="2030" width="18" style="136" customWidth="1"/>
    <col min="2031" max="2031" width="23.7109375" style="136" customWidth="1"/>
    <col min="2032" max="2032" width="26" style="136" customWidth="1"/>
    <col min="2033" max="2033" width="21.42578125" style="136" customWidth="1"/>
    <col min="2034" max="2034" width="20.85546875" style="136" customWidth="1"/>
    <col min="2035" max="2035" width="0" style="136" hidden="1" customWidth="1"/>
    <col min="2036" max="2283" width="9.140625" style="136"/>
    <col min="2284" max="2284" width="21.42578125" style="136" customWidth="1"/>
    <col min="2285" max="2285" width="16.42578125" style="136" customWidth="1"/>
    <col min="2286" max="2286" width="18" style="136" customWidth="1"/>
    <col min="2287" max="2287" width="23.7109375" style="136" customWidth="1"/>
    <col min="2288" max="2288" width="26" style="136" customWidth="1"/>
    <col min="2289" max="2289" width="21.42578125" style="136" customWidth="1"/>
    <col min="2290" max="2290" width="20.85546875" style="136" customWidth="1"/>
    <col min="2291" max="2291" width="0" style="136" hidden="1" customWidth="1"/>
    <col min="2292" max="2539" width="9.140625" style="136"/>
    <col min="2540" max="2540" width="21.42578125" style="136" customWidth="1"/>
    <col min="2541" max="2541" width="16.42578125" style="136" customWidth="1"/>
    <col min="2542" max="2542" width="18" style="136" customWidth="1"/>
    <col min="2543" max="2543" width="23.7109375" style="136" customWidth="1"/>
    <col min="2544" max="2544" width="26" style="136" customWidth="1"/>
    <col min="2545" max="2545" width="21.42578125" style="136" customWidth="1"/>
    <col min="2546" max="2546" width="20.85546875" style="136" customWidth="1"/>
    <col min="2547" max="2547" width="0" style="136" hidden="1" customWidth="1"/>
    <col min="2548" max="2795" width="9.140625" style="136"/>
    <col min="2796" max="2796" width="21.42578125" style="136" customWidth="1"/>
    <col min="2797" max="2797" width="16.42578125" style="136" customWidth="1"/>
    <col min="2798" max="2798" width="18" style="136" customWidth="1"/>
    <col min="2799" max="2799" width="23.7109375" style="136" customWidth="1"/>
    <col min="2800" max="2800" width="26" style="136" customWidth="1"/>
    <col min="2801" max="2801" width="21.42578125" style="136" customWidth="1"/>
    <col min="2802" max="2802" width="20.85546875" style="136" customWidth="1"/>
    <col min="2803" max="2803" width="0" style="136" hidden="1" customWidth="1"/>
    <col min="2804" max="3051" width="9.140625" style="136"/>
    <col min="3052" max="3052" width="21.42578125" style="136" customWidth="1"/>
    <col min="3053" max="3053" width="16.42578125" style="136" customWidth="1"/>
    <col min="3054" max="3054" width="18" style="136" customWidth="1"/>
    <col min="3055" max="3055" width="23.7109375" style="136" customWidth="1"/>
    <col min="3056" max="3056" width="26" style="136" customWidth="1"/>
    <col min="3057" max="3057" width="21.42578125" style="136" customWidth="1"/>
    <col min="3058" max="3058" width="20.85546875" style="136" customWidth="1"/>
    <col min="3059" max="3059" width="0" style="136" hidden="1" customWidth="1"/>
    <col min="3060" max="3307" width="9.140625" style="136"/>
    <col min="3308" max="3308" width="21.42578125" style="136" customWidth="1"/>
    <col min="3309" max="3309" width="16.42578125" style="136" customWidth="1"/>
    <col min="3310" max="3310" width="18" style="136" customWidth="1"/>
    <col min="3311" max="3311" width="23.7109375" style="136" customWidth="1"/>
    <col min="3312" max="3312" width="26" style="136" customWidth="1"/>
    <col min="3313" max="3313" width="21.42578125" style="136" customWidth="1"/>
    <col min="3314" max="3314" width="20.85546875" style="136" customWidth="1"/>
    <col min="3315" max="3315" width="0" style="136" hidden="1" customWidth="1"/>
    <col min="3316" max="3563" width="9.140625" style="136"/>
    <col min="3564" max="3564" width="21.42578125" style="136" customWidth="1"/>
    <col min="3565" max="3565" width="16.42578125" style="136" customWidth="1"/>
    <col min="3566" max="3566" width="18" style="136" customWidth="1"/>
    <col min="3567" max="3567" width="23.7109375" style="136" customWidth="1"/>
    <col min="3568" max="3568" width="26" style="136" customWidth="1"/>
    <col min="3569" max="3569" width="21.42578125" style="136" customWidth="1"/>
    <col min="3570" max="3570" width="20.85546875" style="136" customWidth="1"/>
    <col min="3571" max="3571" width="0" style="136" hidden="1" customWidth="1"/>
    <col min="3572" max="3819" width="9.140625" style="136"/>
    <col min="3820" max="3820" width="21.42578125" style="136" customWidth="1"/>
    <col min="3821" max="3821" width="16.42578125" style="136" customWidth="1"/>
    <col min="3822" max="3822" width="18" style="136" customWidth="1"/>
    <col min="3823" max="3823" width="23.7109375" style="136" customWidth="1"/>
    <col min="3824" max="3824" width="26" style="136" customWidth="1"/>
    <col min="3825" max="3825" width="21.42578125" style="136" customWidth="1"/>
    <col min="3826" max="3826" width="20.85546875" style="136" customWidth="1"/>
    <col min="3827" max="3827" width="0" style="136" hidden="1" customWidth="1"/>
    <col min="3828" max="4075" width="9.140625" style="136"/>
    <col min="4076" max="4076" width="21.42578125" style="136" customWidth="1"/>
    <col min="4077" max="4077" width="16.42578125" style="136" customWidth="1"/>
    <col min="4078" max="4078" width="18" style="136" customWidth="1"/>
    <col min="4079" max="4079" width="23.7109375" style="136" customWidth="1"/>
    <col min="4080" max="4080" width="26" style="136" customWidth="1"/>
    <col min="4081" max="4081" width="21.42578125" style="136" customWidth="1"/>
    <col min="4082" max="4082" width="20.85546875" style="136" customWidth="1"/>
    <col min="4083" max="4083" width="0" style="136" hidden="1" customWidth="1"/>
    <col min="4084" max="4331" width="9.140625" style="136"/>
    <col min="4332" max="4332" width="21.42578125" style="136" customWidth="1"/>
    <col min="4333" max="4333" width="16.42578125" style="136" customWidth="1"/>
    <col min="4334" max="4334" width="18" style="136" customWidth="1"/>
    <col min="4335" max="4335" width="23.7109375" style="136" customWidth="1"/>
    <col min="4336" max="4336" width="26" style="136" customWidth="1"/>
    <col min="4337" max="4337" width="21.42578125" style="136" customWidth="1"/>
    <col min="4338" max="4338" width="20.85546875" style="136" customWidth="1"/>
    <col min="4339" max="4339" width="0" style="136" hidden="1" customWidth="1"/>
    <col min="4340" max="4587" width="9.140625" style="136"/>
    <col min="4588" max="4588" width="21.42578125" style="136" customWidth="1"/>
    <col min="4589" max="4589" width="16.42578125" style="136" customWidth="1"/>
    <col min="4590" max="4590" width="18" style="136" customWidth="1"/>
    <col min="4591" max="4591" width="23.7109375" style="136" customWidth="1"/>
    <col min="4592" max="4592" width="26" style="136" customWidth="1"/>
    <col min="4593" max="4593" width="21.42578125" style="136" customWidth="1"/>
    <col min="4594" max="4594" width="20.85546875" style="136" customWidth="1"/>
    <col min="4595" max="4595" width="0" style="136" hidden="1" customWidth="1"/>
    <col min="4596" max="4843" width="9.140625" style="136"/>
    <col min="4844" max="4844" width="21.42578125" style="136" customWidth="1"/>
    <col min="4845" max="4845" width="16.42578125" style="136" customWidth="1"/>
    <col min="4846" max="4846" width="18" style="136" customWidth="1"/>
    <col min="4847" max="4847" width="23.7109375" style="136" customWidth="1"/>
    <col min="4848" max="4848" width="26" style="136" customWidth="1"/>
    <col min="4849" max="4849" width="21.42578125" style="136" customWidth="1"/>
    <col min="4850" max="4850" width="20.85546875" style="136" customWidth="1"/>
    <col min="4851" max="4851" width="0" style="136" hidden="1" customWidth="1"/>
    <col min="4852" max="5099" width="9.140625" style="136"/>
    <col min="5100" max="5100" width="21.42578125" style="136" customWidth="1"/>
    <col min="5101" max="5101" width="16.42578125" style="136" customWidth="1"/>
    <col min="5102" max="5102" width="18" style="136" customWidth="1"/>
    <col min="5103" max="5103" width="23.7109375" style="136" customWidth="1"/>
    <col min="5104" max="5104" width="26" style="136" customWidth="1"/>
    <col min="5105" max="5105" width="21.42578125" style="136" customWidth="1"/>
    <col min="5106" max="5106" width="20.85546875" style="136" customWidth="1"/>
    <col min="5107" max="5107" width="0" style="136" hidden="1" customWidth="1"/>
    <col min="5108" max="5355" width="9.140625" style="136"/>
    <col min="5356" max="5356" width="21.42578125" style="136" customWidth="1"/>
    <col min="5357" max="5357" width="16.42578125" style="136" customWidth="1"/>
    <col min="5358" max="5358" width="18" style="136" customWidth="1"/>
    <col min="5359" max="5359" width="23.7109375" style="136" customWidth="1"/>
    <col min="5360" max="5360" width="26" style="136" customWidth="1"/>
    <col min="5361" max="5361" width="21.42578125" style="136" customWidth="1"/>
    <col min="5362" max="5362" width="20.85546875" style="136" customWidth="1"/>
    <col min="5363" max="5363" width="0" style="136" hidden="1" customWidth="1"/>
    <col min="5364" max="5611" width="9.140625" style="136"/>
    <col min="5612" max="5612" width="21.42578125" style="136" customWidth="1"/>
    <col min="5613" max="5613" width="16.42578125" style="136" customWidth="1"/>
    <col min="5614" max="5614" width="18" style="136" customWidth="1"/>
    <col min="5615" max="5615" width="23.7109375" style="136" customWidth="1"/>
    <col min="5616" max="5616" width="26" style="136" customWidth="1"/>
    <col min="5617" max="5617" width="21.42578125" style="136" customWidth="1"/>
    <col min="5618" max="5618" width="20.85546875" style="136" customWidth="1"/>
    <col min="5619" max="5619" width="0" style="136" hidden="1" customWidth="1"/>
    <col min="5620" max="5867" width="9.140625" style="136"/>
    <col min="5868" max="5868" width="21.42578125" style="136" customWidth="1"/>
    <col min="5869" max="5869" width="16.42578125" style="136" customWidth="1"/>
    <col min="5870" max="5870" width="18" style="136" customWidth="1"/>
    <col min="5871" max="5871" width="23.7109375" style="136" customWidth="1"/>
    <col min="5872" max="5872" width="26" style="136" customWidth="1"/>
    <col min="5873" max="5873" width="21.42578125" style="136" customWidth="1"/>
    <col min="5874" max="5874" width="20.85546875" style="136" customWidth="1"/>
    <col min="5875" max="5875" width="0" style="136" hidden="1" customWidth="1"/>
    <col min="5876" max="6123" width="9.140625" style="136"/>
    <col min="6124" max="6124" width="21.42578125" style="136" customWidth="1"/>
    <col min="6125" max="6125" width="16.42578125" style="136" customWidth="1"/>
    <col min="6126" max="6126" width="18" style="136" customWidth="1"/>
    <col min="6127" max="6127" width="23.7109375" style="136" customWidth="1"/>
    <col min="6128" max="6128" width="26" style="136" customWidth="1"/>
    <col min="6129" max="6129" width="21.42578125" style="136" customWidth="1"/>
    <col min="6130" max="6130" width="20.85546875" style="136" customWidth="1"/>
    <col min="6131" max="6131" width="0" style="136" hidden="1" customWidth="1"/>
    <col min="6132" max="6379" width="9.140625" style="136"/>
    <col min="6380" max="6380" width="21.42578125" style="136" customWidth="1"/>
    <col min="6381" max="6381" width="16.42578125" style="136" customWidth="1"/>
    <col min="6382" max="6382" width="18" style="136" customWidth="1"/>
    <col min="6383" max="6383" width="23.7109375" style="136" customWidth="1"/>
    <col min="6384" max="6384" width="26" style="136" customWidth="1"/>
    <col min="6385" max="6385" width="21.42578125" style="136" customWidth="1"/>
    <col min="6386" max="6386" width="20.85546875" style="136" customWidth="1"/>
    <col min="6387" max="6387" width="0" style="136" hidden="1" customWidth="1"/>
    <col min="6388" max="6635" width="9.140625" style="136"/>
    <col min="6636" max="6636" width="21.42578125" style="136" customWidth="1"/>
    <col min="6637" max="6637" width="16.42578125" style="136" customWidth="1"/>
    <col min="6638" max="6638" width="18" style="136" customWidth="1"/>
    <col min="6639" max="6639" width="23.7109375" style="136" customWidth="1"/>
    <col min="6640" max="6640" width="26" style="136" customWidth="1"/>
    <col min="6641" max="6641" width="21.42578125" style="136" customWidth="1"/>
    <col min="6642" max="6642" width="20.85546875" style="136" customWidth="1"/>
    <col min="6643" max="6643" width="0" style="136" hidden="1" customWidth="1"/>
    <col min="6644" max="6891" width="9.140625" style="136"/>
    <col min="6892" max="6892" width="21.42578125" style="136" customWidth="1"/>
    <col min="6893" max="6893" width="16.42578125" style="136" customWidth="1"/>
    <col min="6894" max="6894" width="18" style="136" customWidth="1"/>
    <col min="6895" max="6895" width="23.7109375" style="136" customWidth="1"/>
    <col min="6896" max="6896" width="26" style="136" customWidth="1"/>
    <col min="6897" max="6897" width="21.42578125" style="136" customWidth="1"/>
    <col min="6898" max="6898" width="20.85546875" style="136" customWidth="1"/>
    <col min="6899" max="6899" width="0" style="136" hidden="1" customWidth="1"/>
    <col min="6900" max="7147" width="9.140625" style="136"/>
    <col min="7148" max="7148" width="21.42578125" style="136" customWidth="1"/>
    <col min="7149" max="7149" width="16.42578125" style="136" customWidth="1"/>
    <col min="7150" max="7150" width="18" style="136" customWidth="1"/>
    <col min="7151" max="7151" width="23.7109375" style="136" customWidth="1"/>
    <col min="7152" max="7152" width="26" style="136" customWidth="1"/>
    <col min="7153" max="7153" width="21.42578125" style="136" customWidth="1"/>
    <col min="7154" max="7154" width="20.85546875" style="136" customWidth="1"/>
    <col min="7155" max="7155" width="0" style="136" hidden="1" customWidth="1"/>
    <col min="7156" max="7403" width="9.140625" style="136"/>
    <col min="7404" max="7404" width="21.42578125" style="136" customWidth="1"/>
    <col min="7405" max="7405" width="16.42578125" style="136" customWidth="1"/>
    <col min="7406" max="7406" width="18" style="136" customWidth="1"/>
    <col min="7407" max="7407" width="23.7109375" style="136" customWidth="1"/>
    <col min="7408" max="7408" width="26" style="136" customWidth="1"/>
    <col min="7409" max="7409" width="21.42578125" style="136" customWidth="1"/>
    <col min="7410" max="7410" width="20.85546875" style="136" customWidth="1"/>
    <col min="7411" max="7411" width="0" style="136" hidden="1" customWidth="1"/>
    <col min="7412" max="7659" width="9.140625" style="136"/>
    <col min="7660" max="7660" width="21.42578125" style="136" customWidth="1"/>
    <col min="7661" max="7661" width="16.42578125" style="136" customWidth="1"/>
    <col min="7662" max="7662" width="18" style="136" customWidth="1"/>
    <col min="7663" max="7663" width="23.7109375" style="136" customWidth="1"/>
    <col min="7664" max="7664" width="26" style="136" customWidth="1"/>
    <col min="7665" max="7665" width="21.42578125" style="136" customWidth="1"/>
    <col min="7666" max="7666" width="20.85546875" style="136" customWidth="1"/>
    <col min="7667" max="7667" width="0" style="136" hidden="1" customWidth="1"/>
    <col min="7668" max="7915" width="9.140625" style="136"/>
    <col min="7916" max="7916" width="21.42578125" style="136" customWidth="1"/>
    <col min="7917" max="7917" width="16.42578125" style="136" customWidth="1"/>
    <col min="7918" max="7918" width="18" style="136" customWidth="1"/>
    <col min="7919" max="7919" width="23.7109375" style="136" customWidth="1"/>
    <col min="7920" max="7920" width="26" style="136" customWidth="1"/>
    <col min="7921" max="7921" width="21.42578125" style="136" customWidth="1"/>
    <col min="7922" max="7922" width="20.85546875" style="136" customWidth="1"/>
    <col min="7923" max="7923" width="0" style="136" hidden="1" customWidth="1"/>
    <col min="7924" max="8171" width="9.140625" style="136"/>
    <col min="8172" max="8172" width="21.42578125" style="136" customWidth="1"/>
    <col min="8173" max="8173" width="16.42578125" style="136" customWidth="1"/>
    <col min="8174" max="8174" width="18" style="136" customWidth="1"/>
    <col min="8175" max="8175" width="23.7109375" style="136" customWidth="1"/>
    <col min="8176" max="8176" width="26" style="136" customWidth="1"/>
    <col min="8177" max="8177" width="21.42578125" style="136" customWidth="1"/>
    <col min="8178" max="8178" width="20.85546875" style="136" customWidth="1"/>
    <col min="8179" max="8179" width="0" style="136" hidden="1" customWidth="1"/>
    <col min="8180" max="8427" width="9.140625" style="136"/>
    <col min="8428" max="8428" width="21.42578125" style="136" customWidth="1"/>
    <col min="8429" max="8429" width="16.42578125" style="136" customWidth="1"/>
    <col min="8430" max="8430" width="18" style="136" customWidth="1"/>
    <col min="8431" max="8431" width="23.7109375" style="136" customWidth="1"/>
    <col min="8432" max="8432" width="26" style="136" customWidth="1"/>
    <col min="8433" max="8433" width="21.42578125" style="136" customWidth="1"/>
    <col min="8434" max="8434" width="20.85546875" style="136" customWidth="1"/>
    <col min="8435" max="8435" width="0" style="136" hidden="1" customWidth="1"/>
    <col min="8436" max="8683" width="9.140625" style="136"/>
    <col min="8684" max="8684" width="21.42578125" style="136" customWidth="1"/>
    <col min="8685" max="8685" width="16.42578125" style="136" customWidth="1"/>
    <col min="8686" max="8686" width="18" style="136" customWidth="1"/>
    <col min="8687" max="8687" width="23.7109375" style="136" customWidth="1"/>
    <col min="8688" max="8688" width="26" style="136" customWidth="1"/>
    <col min="8689" max="8689" width="21.42578125" style="136" customWidth="1"/>
    <col min="8690" max="8690" width="20.85546875" style="136" customWidth="1"/>
    <col min="8691" max="8691" width="0" style="136" hidden="1" customWidth="1"/>
    <col min="8692" max="8939" width="9.140625" style="136"/>
    <col min="8940" max="8940" width="21.42578125" style="136" customWidth="1"/>
    <col min="8941" max="8941" width="16.42578125" style="136" customWidth="1"/>
    <col min="8942" max="8942" width="18" style="136" customWidth="1"/>
    <col min="8943" max="8943" width="23.7109375" style="136" customWidth="1"/>
    <col min="8944" max="8944" width="26" style="136" customWidth="1"/>
    <col min="8945" max="8945" width="21.42578125" style="136" customWidth="1"/>
    <col min="8946" max="8946" width="20.85546875" style="136" customWidth="1"/>
    <col min="8947" max="8947" width="0" style="136" hidden="1" customWidth="1"/>
    <col min="8948" max="9195" width="9.140625" style="136"/>
    <col min="9196" max="9196" width="21.42578125" style="136" customWidth="1"/>
    <col min="9197" max="9197" width="16.42578125" style="136" customWidth="1"/>
    <col min="9198" max="9198" width="18" style="136" customWidth="1"/>
    <col min="9199" max="9199" width="23.7109375" style="136" customWidth="1"/>
    <col min="9200" max="9200" width="26" style="136" customWidth="1"/>
    <col min="9201" max="9201" width="21.42578125" style="136" customWidth="1"/>
    <col min="9202" max="9202" width="20.85546875" style="136" customWidth="1"/>
    <col min="9203" max="9203" width="0" style="136" hidden="1" customWidth="1"/>
    <col min="9204" max="9451" width="9.140625" style="136"/>
    <col min="9452" max="9452" width="21.42578125" style="136" customWidth="1"/>
    <col min="9453" max="9453" width="16.42578125" style="136" customWidth="1"/>
    <col min="9454" max="9454" width="18" style="136" customWidth="1"/>
    <col min="9455" max="9455" width="23.7109375" style="136" customWidth="1"/>
    <col min="9456" max="9456" width="26" style="136" customWidth="1"/>
    <col min="9457" max="9457" width="21.42578125" style="136" customWidth="1"/>
    <col min="9458" max="9458" width="20.85546875" style="136" customWidth="1"/>
    <col min="9459" max="9459" width="0" style="136" hidden="1" customWidth="1"/>
    <col min="9460" max="9707" width="9.140625" style="136"/>
    <col min="9708" max="9708" width="21.42578125" style="136" customWidth="1"/>
    <col min="9709" max="9709" width="16.42578125" style="136" customWidth="1"/>
    <col min="9710" max="9710" width="18" style="136" customWidth="1"/>
    <col min="9711" max="9711" width="23.7109375" style="136" customWidth="1"/>
    <col min="9712" max="9712" width="26" style="136" customWidth="1"/>
    <col min="9713" max="9713" width="21.42578125" style="136" customWidth="1"/>
    <col min="9714" max="9714" width="20.85546875" style="136" customWidth="1"/>
    <col min="9715" max="9715" width="0" style="136" hidden="1" customWidth="1"/>
    <col min="9716" max="9963" width="9.140625" style="136"/>
    <col min="9964" max="9964" width="21.42578125" style="136" customWidth="1"/>
    <col min="9965" max="9965" width="16.42578125" style="136" customWidth="1"/>
    <col min="9966" max="9966" width="18" style="136" customWidth="1"/>
    <col min="9967" max="9967" width="23.7109375" style="136" customWidth="1"/>
    <col min="9968" max="9968" width="26" style="136" customWidth="1"/>
    <col min="9969" max="9969" width="21.42578125" style="136" customWidth="1"/>
    <col min="9970" max="9970" width="20.85546875" style="136" customWidth="1"/>
    <col min="9971" max="9971" width="0" style="136" hidden="1" customWidth="1"/>
    <col min="9972" max="10219" width="9.140625" style="136"/>
    <col min="10220" max="10220" width="21.42578125" style="136" customWidth="1"/>
    <col min="10221" max="10221" width="16.42578125" style="136" customWidth="1"/>
    <col min="10222" max="10222" width="18" style="136" customWidth="1"/>
    <col min="10223" max="10223" width="23.7109375" style="136" customWidth="1"/>
    <col min="10224" max="10224" width="26" style="136" customWidth="1"/>
    <col min="10225" max="10225" width="21.42578125" style="136" customWidth="1"/>
    <col min="10226" max="10226" width="20.85546875" style="136" customWidth="1"/>
    <col min="10227" max="10227" width="0" style="136" hidden="1" customWidth="1"/>
    <col min="10228" max="10475" width="9.140625" style="136"/>
    <col min="10476" max="10476" width="21.42578125" style="136" customWidth="1"/>
    <col min="10477" max="10477" width="16.42578125" style="136" customWidth="1"/>
    <col min="10478" max="10478" width="18" style="136" customWidth="1"/>
    <col min="10479" max="10479" width="23.7109375" style="136" customWidth="1"/>
    <col min="10480" max="10480" width="26" style="136" customWidth="1"/>
    <col min="10481" max="10481" width="21.42578125" style="136" customWidth="1"/>
    <col min="10482" max="10482" width="20.85546875" style="136" customWidth="1"/>
    <col min="10483" max="10483" width="0" style="136" hidden="1" customWidth="1"/>
    <col min="10484" max="10731" width="9.140625" style="136"/>
    <col min="10732" max="10732" width="21.42578125" style="136" customWidth="1"/>
    <col min="10733" max="10733" width="16.42578125" style="136" customWidth="1"/>
    <col min="10734" max="10734" width="18" style="136" customWidth="1"/>
    <col min="10735" max="10735" width="23.7109375" style="136" customWidth="1"/>
    <col min="10736" max="10736" width="26" style="136" customWidth="1"/>
    <col min="10737" max="10737" width="21.42578125" style="136" customWidth="1"/>
    <col min="10738" max="10738" width="20.85546875" style="136" customWidth="1"/>
    <col min="10739" max="10739" width="0" style="136" hidden="1" customWidth="1"/>
    <col min="10740" max="10987" width="9.140625" style="136"/>
    <col min="10988" max="10988" width="21.42578125" style="136" customWidth="1"/>
    <col min="10989" max="10989" width="16.42578125" style="136" customWidth="1"/>
    <col min="10990" max="10990" width="18" style="136" customWidth="1"/>
    <col min="10991" max="10991" width="23.7109375" style="136" customWidth="1"/>
    <col min="10992" max="10992" width="26" style="136" customWidth="1"/>
    <col min="10993" max="10993" width="21.42578125" style="136" customWidth="1"/>
    <col min="10994" max="10994" width="20.85546875" style="136" customWidth="1"/>
    <col min="10995" max="10995" width="0" style="136" hidden="1" customWidth="1"/>
    <col min="10996" max="11243" width="9.140625" style="136"/>
    <col min="11244" max="11244" width="21.42578125" style="136" customWidth="1"/>
    <col min="11245" max="11245" width="16.42578125" style="136" customWidth="1"/>
    <col min="11246" max="11246" width="18" style="136" customWidth="1"/>
    <col min="11247" max="11247" width="23.7109375" style="136" customWidth="1"/>
    <col min="11248" max="11248" width="26" style="136" customWidth="1"/>
    <col min="11249" max="11249" width="21.42578125" style="136" customWidth="1"/>
    <col min="11250" max="11250" width="20.85546875" style="136" customWidth="1"/>
    <col min="11251" max="11251" width="0" style="136" hidden="1" customWidth="1"/>
    <col min="11252" max="11499" width="9.140625" style="136"/>
    <col min="11500" max="11500" width="21.42578125" style="136" customWidth="1"/>
    <col min="11501" max="11501" width="16.42578125" style="136" customWidth="1"/>
    <col min="11502" max="11502" width="18" style="136" customWidth="1"/>
    <col min="11503" max="11503" width="23.7109375" style="136" customWidth="1"/>
    <col min="11504" max="11504" width="26" style="136" customWidth="1"/>
    <col min="11505" max="11505" width="21.42578125" style="136" customWidth="1"/>
    <col min="11506" max="11506" width="20.85546875" style="136" customWidth="1"/>
    <col min="11507" max="11507" width="0" style="136" hidden="1" customWidth="1"/>
    <col min="11508" max="11755" width="9.140625" style="136"/>
    <col min="11756" max="11756" width="21.42578125" style="136" customWidth="1"/>
    <col min="11757" max="11757" width="16.42578125" style="136" customWidth="1"/>
    <col min="11758" max="11758" width="18" style="136" customWidth="1"/>
    <col min="11759" max="11759" width="23.7109375" style="136" customWidth="1"/>
    <col min="11760" max="11760" width="26" style="136" customWidth="1"/>
    <col min="11761" max="11761" width="21.42578125" style="136" customWidth="1"/>
    <col min="11762" max="11762" width="20.85546875" style="136" customWidth="1"/>
    <col min="11763" max="11763" width="0" style="136" hidden="1" customWidth="1"/>
    <col min="11764" max="12011" width="9.140625" style="136"/>
    <col min="12012" max="12012" width="21.42578125" style="136" customWidth="1"/>
    <col min="12013" max="12013" width="16.42578125" style="136" customWidth="1"/>
    <col min="12014" max="12014" width="18" style="136" customWidth="1"/>
    <col min="12015" max="12015" width="23.7109375" style="136" customWidth="1"/>
    <col min="12016" max="12016" width="26" style="136" customWidth="1"/>
    <col min="12017" max="12017" width="21.42578125" style="136" customWidth="1"/>
    <col min="12018" max="12018" width="20.85546875" style="136" customWidth="1"/>
    <col min="12019" max="12019" width="0" style="136" hidden="1" customWidth="1"/>
    <col min="12020" max="12267" width="9.140625" style="136"/>
    <col min="12268" max="12268" width="21.42578125" style="136" customWidth="1"/>
    <col min="12269" max="12269" width="16.42578125" style="136" customWidth="1"/>
    <col min="12270" max="12270" width="18" style="136" customWidth="1"/>
    <col min="12271" max="12271" width="23.7109375" style="136" customWidth="1"/>
    <col min="12272" max="12272" width="26" style="136" customWidth="1"/>
    <col min="12273" max="12273" width="21.42578125" style="136" customWidth="1"/>
    <col min="12274" max="12274" width="20.85546875" style="136" customWidth="1"/>
    <col min="12275" max="12275" width="0" style="136" hidden="1" customWidth="1"/>
    <col min="12276" max="12523" width="9.140625" style="136"/>
    <col min="12524" max="12524" width="21.42578125" style="136" customWidth="1"/>
    <col min="12525" max="12525" width="16.42578125" style="136" customWidth="1"/>
    <col min="12526" max="12526" width="18" style="136" customWidth="1"/>
    <col min="12527" max="12527" width="23.7109375" style="136" customWidth="1"/>
    <col min="12528" max="12528" width="26" style="136" customWidth="1"/>
    <col min="12529" max="12529" width="21.42578125" style="136" customWidth="1"/>
    <col min="12530" max="12530" width="20.85546875" style="136" customWidth="1"/>
    <col min="12531" max="12531" width="0" style="136" hidden="1" customWidth="1"/>
    <col min="12532" max="12779" width="9.140625" style="136"/>
    <col min="12780" max="12780" width="21.42578125" style="136" customWidth="1"/>
    <col min="12781" max="12781" width="16.42578125" style="136" customWidth="1"/>
    <col min="12782" max="12782" width="18" style="136" customWidth="1"/>
    <col min="12783" max="12783" width="23.7109375" style="136" customWidth="1"/>
    <col min="12784" max="12784" width="26" style="136" customWidth="1"/>
    <col min="12785" max="12785" width="21.42578125" style="136" customWidth="1"/>
    <col min="12786" max="12786" width="20.85546875" style="136" customWidth="1"/>
    <col min="12787" max="12787" width="0" style="136" hidden="1" customWidth="1"/>
    <col min="12788" max="13035" width="9.140625" style="136"/>
    <col min="13036" max="13036" width="21.42578125" style="136" customWidth="1"/>
    <col min="13037" max="13037" width="16.42578125" style="136" customWidth="1"/>
    <col min="13038" max="13038" width="18" style="136" customWidth="1"/>
    <col min="13039" max="13039" width="23.7109375" style="136" customWidth="1"/>
    <col min="13040" max="13040" width="26" style="136" customWidth="1"/>
    <col min="13041" max="13041" width="21.42578125" style="136" customWidth="1"/>
    <col min="13042" max="13042" width="20.85546875" style="136" customWidth="1"/>
    <col min="13043" max="13043" width="0" style="136" hidden="1" customWidth="1"/>
    <col min="13044" max="13291" width="9.140625" style="136"/>
    <col min="13292" max="13292" width="21.42578125" style="136" customWidth="1"/>
    <col min="13293" max="13293" width="16.42578125" style="136" customWidth="1"/>
    <col min="13294" max="13294" width="18" style="136" customWidth="1"/>
    <col min="13295" max="13295" width="23.7109375" style="136" customWidth="1"/>
    <col min="13296" max="13296" width="26" style="136" customWidth="1"/>
    <col min="13297" max="13297" width="21.42578125" style="136" customWidth="1"/>
    <col min="13298" max="13298" width="20.85546875" style="136" customWidth="1"/>
    <col min="13299" max="13299" width="0" style="136" hidden="1" customWidth="1"/>
    <col min="13300" max="13547" width="9.140625" style="136"/>
    <col min="13548" max="13548" width="21.42578125" style="136" customWidth="1"/>
    <col min="13549" max="13549" width="16.42578125" style="136" customWidth="1"/>
    <col min="13550" max="13550" width="18" style="136" customWidth="1"/>
    <col min="13551" max="13551" width="23.7109375" style="136" customWidth="1"/>
    <col min="13552" max="13552" width="26" style="136" customWidth="1"/>
    <col min="13553" max="13553" width="21.42578125" style="136" customWidth="1"/>
    <col min="13554" max="13554" width="20.85546875" style="136" customWidth="1"/>
    <col min="13555" max="13555" width="0" style="136" hidden="1" customWidth="1"/>
    <col min="13556" max="13803" width="9.140625" style="136"/>
    <col min="13804" max="13804" width="21.42578125" style="136" customWidth="1"/>
    <col min="13805" max="13805" width="16.42578125" style="136" customWidth="1"/>
    <col min="13806" max="13806" width="18" style="136" customWidth="1"/>
    <col min="13807" max="13807" width="23.7109375" style="136" customWidth="1"/>
    <col min="13808" max="13808" width="26" style="136" customWidth="1"/>
    <col min="13809" max="13809" width="21.42578125" style="136" customWidth="1"/>
    <col min="13810" max="13810" width="20.85546875" style="136" customWidth="1"/>
    <col min="13811" max="13811" width="0" style="136" hidden="1" customWidth="1"/>
    <col min="13812" max="14059" width="9.140625" style="136"/>
    <col min="14060" max="14060" width="21.42578125" style="136" customWidth="1"/>
    <col min="14061" max="14061" width="16.42578125" style="136" customWidth="1"/>
    <col min="14062" max="14062" width="18" style="136" customWidth="1"/>
    <col min="14063" max="14063" width="23.7109375" style="136" customWidth="1"/>
    <col min="14064" max="14064" width="26" style="136" customWidth="1"/>
    <col min="14065" max="14065" width="21.42578125" style="136" customWidth="1"/>
    <col min="14066" max="14066" width="20.85546875" style="136" customWidth="1"/>
    <col min="14067" max="14067" width="0" style="136" hidden="1" customWidth="1"/>
    <col min="14068" max="14315" width="9.140625" style="136"/>
    <col min="14316" max="14316" width="21.42578125" style="136" customWidth="1"/>
    <col min="14317" max="14317" width="16.42578125" style="136" customWidth="1"/>
    <col min="14318" max="14318" width="18" style="136" customWidth="1"/>
    <col min="14319" max="14319" width="23.7109375" style="136" customWidth="1"/>
    <col min="14320" max="14320" width="26" style="136" customWidth="1"/>
    <col min="14321" max="14321" width="21.42578125" style="136" customWidth="1"/>
    <col min="14322" max="14322" width="20.85546875" style="136" customWidth="1"/>
    <col min="14323" max="14323" width="0" style="136" hidden="1" customWidth="1"/>
    <col min="14324" max="14571" width="9.140625" style="136"/>
    <col min="14572" max="14572" width="21.42578125" style="136" customWidth="1"/>
    <col min="14573" max="14573" width="16.42578125" style="136" customWidth="1"/>
    <col min="14574" max="14574" width="18" style="136" customWidth="1"/>
    <col min="14575" max="14575" width="23.7109375" style="136" customWidth="1"/>
    <col min="14576" max="14576" width="26" style="136" customWidth="1"/>
    <col min="14577" max="14577" width="21.42578125" style="136" customWidth="1"/>
    <col min="14578" max="14578" width="20.85546875" style="136" customWidth="1"/>
    <col min="14579" max="14579" width="0" style="136" hidden="1" customWidth="1"/>
    <col min="14580" max="14827" width="9.140625" style="136"/>
    <col min="14828" max="14828" width="21.42578125" style="136" customWidth="1"/>
    <col min="14829" max="14829" width="16.42578125" style="136" customWidth="1"/>
    <col min="14830" max="14830" width="18" style="136" customWidth="1"/>
    <col min="14831" max="14831" width="23.7109375" style="136" customWidth="1"/>
    <col min="14832" max="14832" width="26" style="136" customWidth="1"/>
    <col min="14833" max="14833" width="21.42578125" style="136" customWidth="1"/>
    <col min="14834" max="14834" width="20.85546875" style="136" customWidth="1"/>
    <col min="14835" max="14835" width="0" style="136" hidden="1" customWidth="1"/>
    <col min="14836" max="15083" width="9.140625" style="136"/>
    <col min="15084" max="15084" width="21.42578125" style="136" customWidth="1"/>
    <col min="15085" max="15085" width="16.42578125" style="136" customWidth="1"/>
    <col min="15086" max="15086" width="18" style="136" customWidth="1"/>
    <col min="15087" max="15087" width="23.7109375" style="136" customWidth="1"/>
    <col min="15088" max="15088" width="26" style="136" customWidth="1"/>
    <col min="15089" max="15089" width="21.42578125" style="136" customWidth="1"/>
    <col min="15090" max="15090" width="20.85546875" style="136" customWidth="1"/>
    <col min="15091" max="15091" width="0" style="136" hidden="1" customWidth="1"/>
    <col min="15092" max="15339" width="9.140625" style="136"/>
    <col min="15340" max="15340" width="21.42578125" style="136" customWidth="1"/>
    <col min="15341" max="15341" width="16.42578125" style="136" customWidth="1"/>
    <col min="15342" max="15342" width="18" style="136" customWidth="1"/>
    <col min="15343" max="15343" width="23.7109375" style="136" customWidth="1"/>
    <col min="15344" max="15344" width="26" style="136" customWidth="1"/>
    <col min="15345" max="15345" width="21.42578125" style="136" customWidth="1"/>
    <col min="15346" max="15346" width="20.85546875" style="136" customWidth="1"/>
    <col min="15347" max="15347" width="0" style="136" hidden="1" customWidth="1"/>
    <col min="15348" max="15595" width="9.140625" style="136"/>
    <col min="15596" max="15596" width="21.42578125" style="136" customWidth="1"/>
    <col min="15597" max="15597" width="16.42578125" style="136" customWidth="1"/>
    <col min="15598" max="15598" width="18" style="136" customWidth="1"/>
    <col min="15599" max="15599" width="23.7109375" style="136" customWidth="1"/>
    <col min="15600" max="15600" width="26" style="136" customWidth="1"/>
    <col min="15601" max="15601" width="21.42578125" style="136" customWidth="1"/>
    <col min="15602" max="15602" width="20.85546875" style="136" customWidth="1"/>
    <col min="15603" max="15603" width="0" style="136" hidden="1" customWidth="1"/>
    <col min="15604" max="15851" width="9.140625" style="136"/>
    <col min="15852" max="15852" width="21.42578125" style="136" customWidth="1"/>
    <col min="15853" max="15853" width="16.42578125" style="136" customWidth="1"/>
    <col min="15854" max="15854" width="18" style="136" customWidth="1"/>
    <col min="15855" max="15855" width="23.7109375" style="136" customWidth="1"/>
    <col min="15856" max="15856" width="26" style="136" customWidth="1"/>
    <col min="15857" max="15857" width="21.42578125" style="136" customWidth="1"/>
    <col min="15858" max="15858" width="20.85546875" style="136" customWidth="1"/>
    <col min="15859" max="15859" width="0" style="136" hidden="1" customWidth="1"/>
    <col min="15860" max="16107" width="9.140625" style="136"/>
    <col min="16108" max="16108" width="21.42578125" style="136" customWidth="1"/>
    <col min="16109" max="16109" width="16.42578125" style="136" customWidth="1"/>
    <col min="16110" max="16110" width="18" style="136" customWidth="1"/>
    <col min="16111" max="16111" width="23.7109375" style="136" customWidth="1"/>
    <col min="16112" max="16112" width="26" style="136" customWidth="1"/>
    <col min="16113" max="16113" width="21.42578125" style="136" customWidth="1"/>
    <col min="16114" max="16114" width="20.85546875" style="136" customWidth="1"/>
    <col min="16115" max="16115" width="0" style="136" hidden="1" customWidth="1"/>
    <col min="16116" max="16384" width="9.140625" style="136"/>
  </cols>
  <sheetData>
    <row r="1" spans="2:19" ht="9" customHeight="1" thickBot="1" x14ac:dyDescent="0.25"/>
    <row r="2" spans="2:19" s="138" customFormat="1" ht="30" customHeight="1" thickBot="1" x14ac:dyDescent="0.3">
      <c r="B2" s="158" t="s">
        <v>57</v>
      </c>
      <c r="C2" s="159"/>
      <c r="D2" s="159"/>
      <c r="E2" s="159"/>
      <c r="F2" s="159"/>
      <c r="G2" s="160"/>
      <c r="H2" s="159"/>
      <c r="I2" s="159"/>
      <c r="J2" s="159"/>
      <c r="K2" s="159"/>
      <c r="L2" s="159"/>
      <c r="M2" s="161"/>
      <c r="N2" s="160"/>
      <c r="O2" s="160"/>
      <c r="P2" s="162"/>
    </row>
    <row r="3" spans="2:19" ht="15" x14ac:dyDescent="0.25">
      <c r="G3" s="163"/>
      <c r="M3" s="164"/>
      <c r="N3" s="165"/>
      <c r="O3" s="165"/>
      <c r="P3" s="165"/>
      <c r="R3" s="728" t="s">
        <v>289</v>
      </c>
      <c r="S3" s="729"/>
    </row>
    <row r="4" spans="2:19" ht="45" customHeight="1" x14ac:dyDescent="0.25">
      <c r="B4" s="139" t="s">
        <v>251</v>
      </c>
      <c r="C4" s="140" t="s">
        <v>250</v>
      </c>
      <c r="D4" s="140" t="s">
        <v>58</v>
      </c>
      <c r="E4" s="140" t="s">
        <v>12</v>
      </c>
      <c r="F4" s="140" t="s">
        <v>62</v>
      </c>
      <c r="G4" s="140" t="s">
        <v>165</v>
      </c>
      <c r="H4" s="140" t="s">
        <v>287</v>
      </c>
      <c r="I4" s="140" t="s">
        <v>378</v>
      </c>
      <c r="J4" s="140" t="s">
        <v>379</v>
      </c>
      <c r="K4" s="140" t="s">
        <v>380</v>
      </c>
      <c r="L4" s="140" t="s">
        <v>381</v>
      </c>
      <c r="M4" s="140" t="s">
        <v>164</v>
      </c>
      <c r="N4" s="140" t="s">
        <v>60</v>
      </c>
      <c r="O4" s="140" t="s">
        <v>61</v>
      </c>
      <c r="P4" s="141" t="s">
        <v>62</v>
      </c>
      <c r="R4" s="724" t="s">
        <v>382</v>
      </c>
      <c r="S4" s="726" t="s">
        <v>288</v>
      </c>
    </row>
    <row r="5" spans="2:19" ht="15.75" customHeight="1" x14ac:dyDescent="0.25">
      <c r="B5" s="142" t="s">
        <v>59</v>
      </c>
      <c r="C5" s="143" t="s">
        <v>56</v>
      </c>
      <c r="D5" s="143" t="s">
        <v>0</v>
      </c>
      <c r="E5" s="143" t="s">
        <v>0</v>
      </c>
      <c r="F5" s="143" t="s">
        <v>0</v>
      </c>
      <c r="G5" s="144" t="s">
        <v>0</v>
      </c>
      <c r="H5" s="144" t="s">
        <v>0</v>
      </c>
      <c r="I5" s="144" t="s">
        <v>0</v>
      </c>
      <c r="J5" s="144" t="s">
        <v>0</v>
      </c>
      <c r="K5" s="143" t="s">
        <v>0</v>
      </c>
      <c r="L5" s="143" t="s">
        <v>0</v>
      </c>
      <c r="M5" s="144" t="s">
        <v>0</v>
      </c>
      <c r="N5" s="144" t="s">
        <v>0</v>
      </c>
      <c r="O5" s="143" t="s">
        <v>1</v>
      </c>
      <c r="P5" s="145" t="s">
        <v>63</v>
      </c>
      <c r="R5" s="725"/>
      <c r="S5" s="727"/>
    </row>
    <row r="6" spans="2:19" ht="15.75" customHeight="1" x14ac:dyDescent="0.2">
      <c r="B6" s="146">
        <v>0</v>
      </c>
      <c r="C6" s="147"/>
      <c r="D6" s="148"/>
      <c r="E6" s="148"/>
      <c r="F6" s="148"/>
      <c r="G6" s="149"/>
      <c r="H6" s="148"/>
      <c r="I6" s="148"/>
      <c r="J6" s="148"/>
      <c r="K6" s="148"/>
      <c r="M6" s="149">
        <f>'Cash Flow'!F67</f>
        <v>-3368034.7702229787</v>
      </c>
      <c r="N6" s="149">
        <f>M6</f>
        <v>-3368034.7702229787</v>
      </c>
      <c r="O6" s="166"/>
      <c r="P6" s="167"/>
      <c r="R6" s="341"/>
      <c r="S6" s="342"/>
    </row>
    <row r="7" spans="2:19" s="154" customFormat="1" x14ac:dyDescent="0.2">
      <c r="B7" s="150">
        <v>1</v>
      </c>
      <c r="C7" s="151">
        <f>IF($B7&gt;Inputs!$G$15,"",IF($B7&lt;=Inputs!$Q$8,LOOKUP($B7,'Cash Flow'!$F$2:$AJ$2,'Cash Flow'!$F$14:$AJ$14),LOOKUP($B7,'Cash Flow'!$F$2:$AJ$2,'Cash Flow'!$F$16:$AJ$16)))</f>
        <v>27.850000000000012</v>
      </c>
      <c r="D7" s="149">
        <f>IF($B7&gt;Inputs!$G$15,"",LOOKUP($B7,'Cash Flow'!$F$2:$AJ$2,'Cash Flow'!$F$23:$AJ$23))</f>
        <v>973201.92675140454</v>
      </c>
      <c r="E7" s="149">
        <f>IF($B7&gt;Inputs!$G$15,"",LOOKUP($B7,'Cash Flow'!$F$2:$AJ$2,'Cash Flow'!$F$35:$AJ$35))</f>
        <v>-172904.43429357503</v>
      </c>
      <c r="F7" s="149">
        <f>IF($B7&gt;Inputs!$G$15,"",LOOKUP($B7,'Cash Flow'!$F$2:$AJ$2,'Cash Flow'!$F$85:$AJ$85))</f>
        <v>-245755.40724459523</v>
      </c>
      <c r="G7" s="149">
        <f>IF($B7&gt;Inputs!$G$15,"",LOOKUP($B7,'Cash Flow'!$F$2:$AJ$2,'Cash Flow'!$F$47:$AJ$47)+LOOKUP($B7,'Cash Flow'!$F$2:$AJ$2,'Cash Flow'!$F$48:$AJ$48))</f>
        <v>-57444.444444444445</v>
      </c>
      <c r="H7" s="149">
        <f>IF($B7&gt;Inputs!$G$15,"",SUM(D7:G7))</f>
        <v>497097.64076878986</v>
      </c>
      <c r="I7" s="149">
        <f>IF($B7&gt;Inputs!$G$15,"",LOOKUP($B7,'Cash Flow'!$F$2:$AJ$2,'Cash Flow'!$F$60:$AJ$60))</f>
        <v>0</v>
      </c>
      <c r="J7" s="149">
        <f>IF($B7&gt;Inputs!$G$15,"",LOOKUP($B7,'Cash Flow'!$F$2:$AJ$2,'Cash Flow'!$F$61:$AJ$61))</f>
        <v>0</v>
      </c>
      <c r="K7" s="149">
        <f>IF($B7&gt;Inputs!$G$15,"",LOOKUP($B7,'Cash Flow'!$F$2:$AJ$2,'Cash Flow'!$F$63:$AJ$63)+LOOKUP($B7,'Cash Flow'!$F$2:$AJ$2,'Cash Flow'!$F$65:$AJ$65))</f>
        <v>0</v>
      </c>
      <c r="L7" s="149">
        <f>IF($B7&gt;Inputs!$G$15,"",LOOKUP($B7,'Cash Flow'!$F$2:$AJ$2,'Cash Flow'!$F$64:$AJ$64)+LOOKUP($B7,'Cash Flow'!$F$2:$AJ$2,'Cash Flow'!$F$66:$AJ$66))</f>
        <v>0</v>
      </c>
      <c r="M7" s="149">
        <f>IF($B7&gt;Inputs!$G$15,"",H7+K7+L7)</f>
        <v>497097.64076878986</v>
      </c>
      <c r="N7" s="149">
        <f>IF($B7&gt;Inputs!$G$15,N6,N6+M7)</f>
        <v>-2870937.129454189</v>
      </c>
      <c r="O7" s="152">
        <f>IF($B7&gt;Inputs!$G$15,"",LOOKUP($B7,'Cash Flow'!$F$2:$AJ$2,'Cash Flow'!$F$68:$AJ$68))</f>
        <v>-0.85240721231156413</v>
      </c>
      <c r="P7" s="153">
        <f>IF($B7&gt;Inputs!$G$15,"",LOOKUP($B7,'Cash Flow'!$F$2:$AJ$2,'Cash Flow'!$F$41:$AJ$41))</f>
        <v>3.0227332791666264</v>
      </c>
      <c r="R7" s="343">
        <f>IF($B7&gt;Inputs!$G$15,"",D7+K7+L7)</f>
        <v>973201.92675140454</v>
      </c>
      <c r="S7" s="344">
        <f>IF($B7&gt;Inputs!$G$15,"",-(E7+F7+G7))</f>
        <v>476104.28598261467</v>
      </c>
    </row>
    <row r="8" spans="2:19" s="154" customFormat="1" ht="15.75" customHeight="1" x14ac:dyDescent="0.2">
      <c r="B8" s="155">
        <v>2</v>
      </c>
      <c r="C8" s="151">
        <f>IF($B8&gt;Inputs!$G$15,"",IF($B8&lt;=Inputs!$Q$8,LOOKUP($B8,'Cash Flow'!$F$2:$AJ$2,'Cash Flow'!$F$14:$AJ$14),LOOKUP($B8,'Cash Flow'!$F$2:$AJ$2,'Cash Flow'!$F$16:$AJ$16)))</f>
        <v>28.407000000000014</v>
      </c>
      <c r="D8" s="149">
        <f>IF($B8&gt;Inputs!$G$15,"",LOOKUP($B8,'Cash Flow'!$F$2:$AJ$2,'Cash Flow'!$F$23:$AJ$23))</f>
        <v>988782.28941514064</v>
      </c>
      <c r="E8" s="149">
        <f>IF($B8&gt;Inputs!$G$15,"",LOOKUP($B8,'Cash Flow'!$F$2:$AJ$2,'Cash Flow'!$F$35:$AJ$35))</f>
        <v>-169837.17621731703</v>
      </c>
      <c r="F8" s="149">
        <f>IF($B8&gt;Inputs!$G$15,"",LOOKUP($B8,'Cash Flow'!$F$2:$AJ$2,'Cash Flow'!$F$85:$AJ$85))</f>
        <v>-245755.40724459523</v>
      </c>
      <c r="G8" s="149">
        <f>IF($B8&gt;Inputs!$G$15,"",LOOKUP($B8,'Cash Flow'!$F$2:$AJ$2,'Cash Flow'!$F$47:$AJ$47)+LOOKUP($B8,'Cash Flow'!$F$2:$AJ$2,'Cash Flow'!$F$48:$AJ$48))</f>
        <v>-57444.444444444445</v>
      </c>
      <c r="H8" s="149">
        <f>IF($B8&gt;Inputs!$G$15,"",SUM(D8:G8))</f>
        <v>515745.26150878397</v>
      </c>
      <c r="I8" s="149">
        <f>IF($B8&gt;Inputs!$G$15,"",LOOKUP($B8,'Cash Flow'!$F$2:$AJ$2,'Cash Flow'!$F$60:$AJ$60))</f>
        <v>0</v>
      </c>
      <c r="J8" s="149">
        <f>IF($B8&gt;Inputs!$G$15,"",LOOKUP($B8,'Cash Flow'!$F$2:$AJ$2,'Cash Flow'!$F$61:$AJ$61))</f>
        <v>0</v>
      </c>
      <c r="K8" s="149">
        <f>IF($B8&gt;Inputs!$G$15,"",LOOKUP($B8,'Cash Flow'!$F$2:$AJ$2,'Cash Flow'!$F$63:$AJ$63)+LOOKUP($B8,'Cash Flow'!$F$2:$AJ$2,'Cash Flow'!$F$65:$AJ$65))</f>
        <v>0</v>
      </c>
      <c r="L8" s="149">
        <f>IF($B8&gt;Inputs!$G$15,"",LOOKUP($B8,'Cash Flow'!$F$2:$AJ$2,'Cash Flow'!$F$64:$AJ$64)+LOOKUP($B8,'Cash Flow'!$F$2:$AJ$2,'Cash Flow'!$F$66:$AJ$66))</f>
        <v>0</v>
      </c>
      <c r="M8" s="149">
        <f>IF($B8&gt;Inputs!$G$15,"",H8+K8+L8)</f>
        <v>515745.26150878397</v>
      </c>
      <c r="N8" s="149">
        <f>IF($B8&gt;Inputs!$G$15,N7,N7+M8)</f>
        <v>-2355191.8679454052</v>
      </c>
      <c r="O8" s="152">
        <f>IF($B8&gt;Inputs!$G$15,"",LOOKUP($B8,'Cash Flow'!$F$2:$AJ$2,'Cash Flow'!$F$68:$AJ$68))</f>
        <v>-0.5279884095981846</v>
      </c>
      <c r="P8" s="153">
        <f>IF($B8&gt;Inputs!$G$15,"",LOOKUP($B8,'Cash Flow'!$F$2:$AJ$2,'Cash Flow'!$F$41:$AJ$41))</f>
        <v>3.0986120602240641</v>
      </c>
      <c r="R8" s="343">
        <f>IF($B8&gt;Inputs!$G$15,"",D8+K8+L8)</f>
        <v>988782.28941514064</v>
      </c>
      <c r="S8" s="344">
        <f>IF($B8&gt;Inputs!$G$15,"",-(E8+F8+G8))</f>
        <v>473037.02790635667</v>
      </c>
    </row>
    <row r="9" spans="2:19" x14ac:dyDescent="0.2">
      <c r="B9" s="150">
        <v>3</v>
      </c>
      <c r="C9" s="151">
        <f>IF($B9&gt;Inputs!$G$15,"",IF($B9&lt;=Inputs!$Q$8,LOOKUP($B9,'Cash Flow'!$F$2:$AJ$2,'Cash Flow'!$F$14:$AJ$14),LOOKUP($B9,'Cash Flow'!$F$2:$AJ$2,'Cash Flow'!$F$16:$AJ$16)))</f>
        <v>28.975140000000014</v>
      </c>
      <c r="D9" s="149">
        <f>IF($B9&gt;Inputs!$G$15,"",LOOKUP($B9,'Cash Flow'!$F$2:$AJ$2,'Cash Flow'!$F$23:$AJ$23))</f>
        <v>1004577.6810381223</v>
      </c>
      <c r="E9" s="149">
        <f>IF($B9&gt;Inputs!$G$15,"",LOOKUP($B9,'Cash Flow'!$F$2:$AJ$2,'Cash Flow'!$F$35:$AJ$35))</f>
        <v>-167300.346480835</v>
      </c>
      <c r="F9" s="149">
        <f>IF($B9&gt;Inputs!$G$15,"",LOOKUP($B9,'Cash Flow'!$F$2:$AJ$2,'Cash Flow'!$F$85:$AJ$85))</f>
        <v>-245755.40724459523</v>
      </c>
      <c r="G9" s="149">
        <f>IF($B9&gt;Inputs!$G$15,"",LOOKUP($B9,'Cash Flow'!$F$2:$AJ$2,'Cash Flow'!$F$47:$AJ$47)+LOOKUP($B9,'Cash Flow'!$F$2:$AJ$2,'Cash Flow'!$F$48:$AJ$48))</f>
        <v>-57444.444444444445</v>
      </c>
      <c r="H9" s="149">
        <f>IF($B9&gt;Inputs!$G$15,"",SUM(D9:G9))</f>
        <v>534077.48286824755</v>
      </c>
      <c r="I9" s="149">
        <f>IF($B9&gt;Inputs!$G$15,"",LOOKUP($B9,'Cash Flow'!$F$2:$AJ$2,'Cash Flow'!$F$60:$AJ$60))</f>
        <v>0</v>
      </c>
      <c r="J9" s="149">
        <f>IF($B9&gt;Inputs!$G$15,"",LOOKUP($B9,'Cash Flow'!$F$2:$AJ$2,'Cash Flow'!$F$61:$AJ$61))</f>
        <v>0</v>
      </c>
      <c r="K9" s="149">
        <f>IF($B9&gt;Inputs!$G$15,"",LOOKUP($B9,'Cash Flow'!$F$2:$AJ$2,'Cash Flow'!$F$63:$AJ$63)+LOOKUP($B9,'Cash Flow'!$F$2:$AJ$2,'Cash Flow'!$F$65:$AJ$65))</f>
        <v>0</v>
      </c>
      <c r="L9" s="149">
        <f>IF($B9&gt;Inputs!$G$15,"",LOOKUP($B9,'Cash Flow'!$F$2:$AJ$2,'Cash Flow'!$F$64:$AJ$64)+LOOKUP($B9,'Cash Flow'!$F$2:$AJ$2,'Cash Flow'!$F$66:$AJ$66))</f>
        <v>0</v>
      </c>
      <c r="M9" s="149">
        <f>IF($B9&gt;Inputs!$G$15,"",H9+K9+L9)</f>
        <v>534077.48286824755</v>
      </c>
      <c r="N9" s="149">
        <f>IF($B9&gt;Inputs!$G$15,N8,N8+M9)</f>
        <v>-1821114.3850771575</v>
      </c>
      <c r="O9" s="152">
        <f>IF($B9&gt;Inputs!$G$15,"",LOOKUP($B9,'Cash Flow'!$F$2:$AJ$2,'Cash Flow'!$F$68:$AJ$68))</f>
        <v>-0.30446326341571517</v>
      </c>
      <c r="P9" s="153">
        <f>IF($B9&gt;Inputs!$G$15,"",LOOKUP($B9,'Cash Flow'!$F$2:$AJ$2,'Cash Flow'!$F$41:$AJ$41))</f>
        <v>3.1732074539328097</v>
      </c>
      <c r="R9" s="343">
        <f>IF($B9&gt;Inputs!$G$15,"",D9+K9+L9)</f>
        <v>1004577.6810381223</v>
      </c>
      <c r="S9" s="344">
        <f>IF($B9&gt;Inputs!$G$15,"",-(E9+F9+G9))</f>
        <v>470500.19816987467</v>
      </c>
    </row>
    <row r="10" spans="2:19" x14ac:dyDescent="0.2">
      <c r="B10" s="150">
        <v>4</v>
      </c>
      <c r="C10" s="151">
        <f>IF($B10&gt;Inputs!$G$15,"",IF($B10&lt;=Inputs!$Q$8,LOOKUP($B10,'Cash Flow'!$F$2:$AJ$2,'Cash Flow'!$F$14:$AJ$14),LOOKUP($B10,'Cash Flow'!$F$2:$AJ$2,'Cash Flow'!$F$16:$AJ$16)))</f>
        <v>29.554642800000014</v>
      </c>
      <c r="D10" s="149">
        <f>IF($B10&gt;Inputs!$G$15,"",LOOKUP($B10,'Cash Flow'!$F$2:$AJ$2,'Cash Flow'!$F$23:$AJ$23))</f>
        <v>1020591.3055518415</v>
      </c>
      <c r="E10" s="149">
        <f>IF($B10&gt;Inputs!$G$15,"",LOOKUP($B10,'Cash Flow'!$F$2:$AJ$2,'Cash Flow'!$F$35:$AJ$35))</f>
        <v>-165244.42463093702</v>
      </c>
      <c r="F10" s="149">
        <f>IF($B10&gt;Inputs!$G$15,"",LOOKUP($B10,'Cash Flow'!$F$2:$AJ$2,'Cash Flow'!$F$85:$AJ$85))</f>
        <v>-245755.4072445952</v>
      </c>
      <c r="G10" s="149">
        <f>IF($B10&gt;Inputs!$G$15,"",LOOKUP($B10,'Cash Flow'!$F$2:$AJ$2,'Cash Flow'!$F$47:$AJ$47)+LOOKUP($B10,'Cash Flow'!$F$2:$AJ$2,'Cash Flow'!$F$48:$AJ$48))</f>
        <v>-57444.444444444445</v>
      </c>
      <c r="H10" s="149">
        <f>IF($B10&gt;Inputs!$G$15,"",SUM(D10:G10))</f>
        <v>552147.02923186473</v>
      </c>
      <c r="I10" s="149">
        <f>IF($B10&gt;Inputs!$G$15,"",LOOKUP($B10,'Cash Flow'!$F$2:$AJ$2,'Cash Flow'!$F$60:$AJ$60))</f>
        <v>0</v>
      </c>
      <c r="J10" s="149">
        <f>IF($B10&gt;Inputs!$G$15,"",LOOKUP($B10,'Cash Flow'!$F$2:$AJ$2,'Cash Flow'!$F$61:$AJ$61))</f>
        <v>0</v>
      </c>
      <c r="K10" s="149">
        <f>IF($B10&gt;Inputs!$G$15,"",LOOKUP($B10,'Cash Flow'!$F$2:$AJ$2,'Cash Flow'!$F$63:$AJ$63)+LOOKUP($B10,'Cash Flow'!$F$2:$AJ$2,'Cash Flow'!$F$65:$AJ$65))</f>
        <v>0</v>
      </c>
      <c r="L10" s="149">
        <f>IF($B10&gt;Inputs!$G$15,"",LOOKUP($B10,'Cash Flow'!$F$2:$AJ$2,'Cash Flow'!$F$64:$AJ$64)+LOOKUP($B10,'Cash Flow'!$F$2:$AJ$2,'Cash Flow'!$F$66:$AJ$66))</f>
        <v>0</v>
      </c>
      <c r="M10" s="149">
        <f>IF($B10&gt;Inputs!$G$15,"",H10+K10+L10)</f>
        <v>552147.02923186473</v>
      </c>
      <c r="N10" s="149">
        <f>IF($B10&gt;Inputs!$G$15,N9,N9+M10)</f>
        <v>-1268967.3558452928</v>
      </c>
      <c r="O10" s="152">
        <f>IF($B10&gt;Inputs!$G$15,"",LOOKUP($B10,'Cash Flow'!$F$2:$AJ$2,'Cash Flow'!$F$68:$AJ$68))</f>
        <v>-0.16319244643850062</v>
      </c>
      <c r="P10" s="153">
        <f>IF($B10&gt;Inputs!$G$15,"",LOOKUP($B10,'Cash Flow'!$F$2:$AJ$2,'Cash Flow'!$F$41:$AJ$41))</f>
        <v>3.246734000372673</v>
      </c>
      <c r="R10" s="343">
        <f>IF($B10&gt;Inputs!$G$15,"",D10+K10+L10)</f>
        <v>1020591.3055518415</v>
      </c>
      <c r="S10" s="344">
        <f>IF($B10&gt;Inputs!$G$15,"",-(E10+F10+G10))</f>
        <v>468444.27631997666</v>
      </c>
    </row>
    <row r="11" spans="2:19" x14ac:dyDescent="0.2">
      <c r="B11" s="155">
        <v>5</v>
      </c>
      <c r="C11" s="151">
        <f>IF($B11&gt;Inputs!$G$15,"",IF($B11&lt;=Inputs!$Q$8,LOOKUP($B11,'Cash Flow'!$F$2:$AJ$2,'Cash Flow'!$F$14:$AJ$14),LOOKUP($B11,'Cash Flow'!$F$2:$AJ$2,'Cash Flow'!$F$16:$AJ$16)))</f>
        <v>30.145735656000014</v>
      </c>
      <c r="D11" s="149">
        <f>IF($B11&gt;Inputs!$G$15,"",LOOKUP($B11,'Cash Flow'!$F$2:$AJ$2,'Cash Flow'!$F$23:$AJ$23))</f>
        <v>1036826.4146263708</v>
      </c>
      <c r="E11" s="149">
        <f>IF($B11&gt;Inputs!$G$15,"",LOOKUP($B11,'Cash Flow'!$F$2:$AJ$2,'Cash Flow'!$F$35:$AJ$35))</f>
        <v>-163624.89777914988</v>
      </c>
      <c r="F11" s="149">
        <f>IF($B11&gt;Inputs!$G$15,"",LOOKUP($B11,'Cash Flow'!$F$2:$AJ$2,'Cash Flow'!$F$85:$AJ$85))</f>
        <v>-245755.40724459523</v>
      </c>
      <c r="G11" s="149">
        <f>IF($B11&gt;Inputs!$G$15,"",LOOKUP($B11,'Cash Flow'!$F$2:$AJ$2,'Cash Flow'!$F$47:$AJ$47)+LOOKUP($B11,'Cash Flow'!$F$2:$AJ$2,'Cash Flow'!$F$48:$AJ$48))</f>
        <v>-57444.444444444445</v>
      </c>
      <c r="H11" s="149">
        <f>IF($B11&gt;Inputs!$G$15,"",SUM(D11:G11))</f>
        <v>570001.66515818122</v>
      </c>
      <c r="I11" s="149">
        <f>IF($B11&gt;Inputs!$G$15,"",LOOKUP($B11,'Cash Flow'!$F$2:$AJ$2,'Cash Flow'!$F$60:$AJ$60))</f>
        <v>0</v>
      </c>
      <c r="J11" s="149">
        <f>IF($B11&gt;Inputs!$G$15,"",LOOKUP($B11,'Cash Flow'!$F$2:$AJ$2,'Cash Flow'!$F$61:$AJ$61))</f>
        <v>0</v>
      </c>
      <c r="K11" s="149">
        <f>IF($B11&gt;Inputs!$G$15,"",LOOKUP($B11,'Cash Flow'!$F$2:$AJ$2,'Cash Flow'!$F$63:$AJ$63)+LOOKUP($B11,'Cash Flow'!$F$2:$AJ$2,'Cash Flow'!$F$65:$AJ$65))</f>
        <v>0</v>
      </c>
      <c r="L11" s="149">
        <f>IF($B11&gt;Inputs!$G$15,"",LOOKUP($B11,'Cash Flow'!$F$2:$AJ$2,'Cash Flow'!$F$64:$AJ$64)+LOOKUP($B11,'Cash Flow'!$F$2:$AJ$2,'Cash Flow'!$F$66:$AJ$66))</f>
        <v>0</v>
      </c>
      <c r="M11" s="149">
        <f>IF($B11&gt;Inputs!$G$15,"",H11+K11+L11)</f>
        <v>570001.66515818122</v>
      </c>
      <c r="N11" s="149">
        <f>IF($B11&gt;Inputs!$G$15,N10,N10+M11)</f>
        <v>-698965.69068711158</v>
      </c>
      <c r="O11" s="152">
        <f>IF($B11&gt;Inputs!$G$15,"",LOOKUP($B11,'Cash Flow'!$F$2:$AJ$2,'Cash Flow'!$F$68:$AJ$68))</f>
        <v>-7.1358595184337292E-2</v>
      </c>
      <c r="P11" s="153">
        <f>IF($B11&gt;Inputs!$G$15,"",LOOKUP($B11,'Cash Flow'!$F$2:$AJ$2,'Cash Flow'!$F$41:$AJ$41))</f>
        <v>3.3193860576620819</v>
      </c>
      <c r="R11" s="343">
        <f>IF($B11&gt;Inputs!$G$15,"",D11+K11+L11)</f>
        <v>1036826.4146263708</v>
      </c>
      <c r="S11" s="344">
        <f>IF($B11&gt;Inputs!$G$15,"",-(E11+F11+G11))</f>
        <v>466824.74946818955</v>
      </c>
    </row>
    <row r="12" spans="2:19" x14ac:dyDescent="0.2">
      <c r="B12" s="150">
        <v>6</v>
      </c>
      <c r="C12" s="151">
        <f>IF($B12&gt;Inputs!$G$15,"",IF($B12&lt;=Inputs!$Q$8,LOOKUP($B12,'Cash Flow'!$F$2:$AJ$2,'Cash Flow'!$F$14:$AJ$14),LOOKUP($B12,'Cash Flow'!$F$2:$AJ$2,'Cash Flow'!$F$16:$AJ$16)))</f>
        <v>30.748650369120014</v>
      </c>
      <c r="D12" s="149">
        <f>IF($B12&gt;Inputs!$G$15,"",LOOKUP($B12,'Cash Flow'!$F$2:$AJ$2,'Cash Flow'!$F$23:$AJ$23))</f>
        <v>1053286.3083816662</v>
      </c>
      <c r="E12" s="149">
        <f>IF($B12&gt;Inputs!$G$15,"",LOOKUP($B12,'Cash Flow'!$F$2:$AJ$2,'Cash Flow'!$F$35:$AJ$35))</f>
        <v>-162401.76072115393</v>
      </c>
      <c r="F12" s="149">
        <f>IF($B12&gt;Inputs!$G$15,"",LOOKUP($B12,'Cash Flow'!$F$2:$AJ$2,'Cash Flow'!$F$85:$AJ$85))</f>
        <v>-245755.40724459523</v>
      </c>
      <c r="G12" s="149">
        <f>IF($B12&gt;Inputs!$G$15,"",LOOKUP($B12,'Cash Flow'!$F$2:$AJ$2,'Cash Flow'!$F$47:$AJ$47)+LOOKUP($B12,'Cash Flow'!$F$2:$AJ$2,'Cash Flow'!$F$48:$AJ$48))</f>
        <v>-57444.444444444445</v>
      </c>
      <c r="H12" s="149">
        <f>IF($B12&gt;Inputs!$G$15,"",SUM(D12:G12))</f>
        <v>587684.69597147254</v>
      </c>
      <c r="I12" s="149">
        <f>IF($B12&gt;Inputs!$G$15,"",LOOKUP($B12,'Cash Flow'!$F$2:$AJ$2,'Cash Flow'!$F$60:$AJ$60))</f>
        <v>0</v>
      </c>
      <c r="J12" s="149">
        <f>IF($B12&gt;Inputs!$G$15,"",LOOKUP($B12,'Cash Flow'!$F$2:$AJ$2,'Cash Flow'!$F$61:$AJ$61))</f>
        <v>0</v>
      </c>
      <c r="K12" s="149">
        <f>IF($B12&gt;Inputs!$G$15,"",LOOKUP($B12,'Cash Flow'!$F$2:$AJ$2,'Cash Flow'!$F$63:$AJ$63)+LOOKUP($B12,'Cash Flow'!$F$2:$AJ$2,'Cash Flow'!$F$65:$AJ$65))</f>
        <v>0</v>
      </c>
      <c r="L12" s="149">
        <f>IF($B12&gt;Inputs!$G$15,"",LOOKUP($B12,'Cash Flow'!$F$2:$AJ$2,'Cash Flow'!$F$64:$AJ$64)+LOOKUP($B12,'Cash Flow'!$F$2:$AJ$2,'Cash Flow'!$F$66:$AJ$66))</f>
        <v>0</v>
      </c>
      <c r="M12" s="149">
        <f>IF($B12&gt;Inputs!$G$15,"",H12+K12+L12)</f>
        <v>587684.69597147254</v>
      </c>
      <c r="N12" s="149">
        <f>IF($B12&gt;Inputs!$G$15,N11,N11+M12)</f>
        <v>-111280.99471563904</v>
      </c>
      <c r="O12" s="152">
        <f>IF($B12&gt;Inputs!$G$15,"",LOOKUP($B12,'Cash Flow'!$F$2:$AJ$2,'Cash Flow'!$F$68:$AJ$68))</f>
        <v>-9.2618038208092113E-3</v>
      </c>
      <c r="P12" s="153">
        <f>IF($B12&gt;Inputs!$G$15,"",LOOKUP($B12,'Cash Flow'!$F$2:$AJ$2,'Cash Flow'!$F$41:$AJ$41))</f>
        <v>3.3913398389096776</v>
      </c>
      <c r="R12" s="343">
        <f>IF($B12&gt;Inputs!$G$15,"",D12+K12+L12)</f>
        <v>1053286.3083816662</v>
      </c>
      <c r="S12" s="344">
        <f>IF($B12&gt;Inputs!$G$15,"",-(E12+F12+G12))</f>
        <v>465601.6124101936</v>
      </c>
    </row>
    <row r="13" spans="2:19" x14ac:dyDescent="0.2">
      <c r="B13" s="150">
        <v>7</v>
      </c>
      <c r="C13" s="151">
        <f>IF($B13&gt;Inputs!$G$15,"",IF($B13&lt;=Inputs!$Q$8,LOOKUP($B13,'Cash Flow'!$F$2:$AJ$2,'Cash Flow'!$F$14:$AJ$14),LOOKUP($B13,'Cash Flow'!$F$2:$AJ$2,'Cash Flow'!$F$16:$AJ$16)))</f>
        <v>31.363623376502414</v>
      </c>
      <c r="D13" s="149">
        <f>IF($B13&gt;Inputs!$G$15,"",LOOKUP($B13,'Cash Flow'!$F$2:$AJ$2,'Cash Flow'!$F$23:$AJ$23))</f>
        <v>1069974.336109471</v>
      </c>
      <c r="E13" s="149">
        <f>IF($B13&gt;Inputs!$G$15,"",LOOKUP($B13,'Cash Flow'!$F$2:$AJ$2,'Cash Flow'!$F$35:$AJ$35))</f>
        <v>-161539.06605810535</v>
      </c>
      <c r="F13" s="149">
        <f>IF($B13&gt;Inputs!$G$15,"",LOOKUP($B13,'Cash Flow'!$F$2:$AJ$2,'Cash Flow'!$F$85:$AJ$85))</f>
        <v>-245755.40724459526</v>
      </c>
      <c r="G13" s="149">
        <f>IF($B13&gt;Inputs!$G$15,"",LOOKUP($B13,'Cash Flow'!$F$2:$AJ$2,'Cash Flow'!$F$47:$AJ$47)+LOOKUP($B13,'Cash Flow'!$F$2:$AJ$2,'Cash Flow'!$F$48:$AJ$48))</f>
        <v>-57444.444444444445</v>
      </c>
      <c r="H13" s="149">
        <f>IF($B13&gt;Inputs!$G$15,"",SUM(D13:G13))</f>
        <v>605235.41836232599</v>
      </c>
      <c r="I13" s="149">
        <f>IF($B13&gt;Inputs!$G$15,"",LOOKUP($B13,'Cash Flow'!$F$2:$AJ$2,'Cash Flow'!$F$60:$AJ$60))</f>
        <v>0</v>
      </c>
      <c r="J13" s="149">
        <f>IF($B13&gt;Inputs!$G$15,"",LOOKUP($B13,'Cash Flow'!$F$2:$AJ$2,'Cash Flow'!$F$61:$AJ$61))</f>
        <v>0</v>
      </c>
      <c r="K13" s="149">
        <f>IF($B13&gt;Inputs!$G$15,"",LOOKUP($B13,'Cash Flow'!$F$2:$AJ$2,'Cash Flow'!$F$63:$AJ$63)+LOOKUP($B13,'Cash Flow'!$F$2:$AJ$2,'Cash Flow'!$F$65:$AJ$65))</f>
        <v>0</v>
      </c>
      <c r="L13" s="149">
        <f>IF($B13&gt;Inputs!$G$15,"",LOOKUP($B13,'Cash Flow'!$F$2:$AJ$2,'Cash Flow'!$F$64:$AJ$64)+LOOKUP($B13,'Cash Flow'!$F$2:$AJ$2,'Cash Flow'!$F$66:$AJ$66))</f>
        <v>0</v>
      </c>
      <c r="M13" s="149">
        <f>IF($B13&gt;Inputs!$G$15,"",H13+K13+L13)</f>
        <v>605235.41836232599</v>
      </c>
      <c r="N13" s="149">
        <f>IF($B13&gt;Inputs!$G$15,N12,N12+M13)</f>
        <v>493954.42364668695</v>
      </c>
      <c r="O13" s="152">
        <f>IF($B13&gt;Inputs!$G$15,"",LOOKUP($B13,'Cash Flow'!$F$2:$AJ$2,'Cash Flow'!$F$68:$AJ$68))</f>
        <v>3.4252682320411676E-2</v>
      </c>
      <c r="P13" s="153">
        <f>IF($B13&gt;Inputs!$G$15,"",LOOKUP($B13,'Cash Flow'!$F$2:$AJ$2,'Cash Flow'!$F$41:$AJ$41))</f>
        <v>3.4627552457470352</v>
      </c>
      <c r="R13" s="343">
        <f>IF($B13&gt;Inputs!$G$15,"",D13+K13+L13)</f>
        <v>1069974.336109471</v>
      </c>
      <c r="S13" s="344">
        <f>IF($B13&gt;Inputs!$G$15,"",-(E13+F13+G13))</f>
        <v>464738.91774714505</v>
      </c>
    </row>
    <row r="14" spans="2:19" x14ac:dyDescent="0.2">
      <c r="B14" s="155">
        <v>8</v>
      </c>
      <c r="C14" s="151">
        <f>IF($B14&gt;Inputs!$G$15,"",IF($B14&lt;=Inputs!$Q$8,LOOKUP($B14,'Cash Flow'!$F$2:$AJ$2,'Cash Flow'!$F$14:$AJ$14),LOOKUP($B14,'Cash Flow'!$F$2:$AJ$2,'Cash Flow'!$F$16:$AJ$16)))</f>
        <v>31.990895844032462</v>
      </c>
      <c r="D14" s="149">
        <f>IF($B14&gt;Inputs!$G$15,"",LOOKUP($B14,'Cash Flow'!$F$2:$AJ$2,'Cash Flow'!$F$23:$AJ$23))</f>
        <v>1086893.8970059757</v>
      </c>
      <c r="E14" s="149">
        <f>IF($B14&gt;Inputs!$G$15,"",LOOKUP($B14,'Cash Flow'!$F$2:$AJ$2,'Cash Flow'!$F$35:$AJ$35))</f>
        <v>-161004.5193198756</v>
      </c>
      <c r="F14" s="149">
        <f>IF($B14&gt;Inputs!$G$15,"",LOOKUP($B14,'Cash Flow'!$F$2:$AJ$2,'Cash Flow'!$F$85:$AJ$85))</f>
        <v>-245755.4072445952</v>
      </c>
      <c r="G14" s="149">
        <f>IF($B14&gt;Inputs!$G$15,"",LOOKUP($B14,'Cash Flow'!$F$2:$AJ$2,'Cash Flow'!$F$47:$AJ$47)+LOOKUP($B14,'Cash Flow'!$F$2:$AJ$2,'Cash Flow'!$F$48:$AJ$48))</f>
        <v>-57444.444444444445</v>
      </c>
      <c r="H14" s="149">
        <f>IF($B14&gt;Inputs!$G$15,"",SUM(D14:G14))</f>
        <v>622689.52599706035</v>
      </c>
      <c r="I14" s="149">
        <f>IF($B14&gt;Inputs!$G$15,"",LOOKUP($B14,'Cash Flow'!$F$2:$AJ$2,'Cash Flow'!$F$60:$AJ$60))</f>
        <v>444529.58244487504</v>
      </c>
      <c r="J14" s="149">
        <f>IF($B14&gt;Inputs!$G$15,"",LOOKUP($B14,'Cash Flow'!$F$2:$AJ$2,'Cash Flow'!$F$61:$AJ$61))</f>
        <v>444529.58244487504</v>
      </c>
      <c r="K14" s="149">
        <f>IF($B14&gt;Inputs!$G$15,"",LOOKUP($B14,'Cash Flow'!$F$2:$AJ$2,'Cash Flow'!$F$63:$AJ$63)+LOOKUP($B14,'Cash Flow'!$F$2:$AJ$2,'Cash Flow'!$F$65:$AJ$65))</f>
        <v>0</v>
      </c>
      <c r="L14" s="149">
        <f>IF($B14&gt;Inputs!$G$15,"",LOOKUP($B14,'Cash Flow'!$F$2:$AJ$2,'Cash Flow'!$F$64:$AJ$64)+LOOKUP($B14,'Cash Flow'!$F$2:$AJ$2,'Cash Flow'!$F$66:$AJ$66))</f>
        <v>-37785.014507814383</v>
      </c>
      <c r="M14" s="149">
        <f>IF($B14&gt;Inputs!$G$15,"",H14+K14+L14)</f>
        <v>584904.51148924592</v>
      </c>
      <c r="N14" s="149">
        <f>IF($B14&gt;Inputs!$G$15,N13,N13+M14)</f>
        <v>1078858.9351359329</v>
      </c>
      <c r="O14" s="152">
        <f>IF($B14&gt;Inputs!$G$15,"",LOOKUP($B14,'Cash Flow'!$F$2:$AJ$2,'Cash Flow'!$F$68:$AJ$68))</f>
        <v>6.4005822545135427E-2</v>
      </c>
      <c r="P14" s="153">
        <f>IF($B14&gt;Inputs!$G$15,"",LOOKUP($B14,'Cash Flow'!$F$2:$AJ$2,'Cash Flow'!$F$41:$AJ$41))</f>
        <v>3.5337775187884697</v>
      </c>
      <c r="R14" s="343">
        <f>IF($B14&gt;Inputs!$G$15,"",D14+K14+L14)</f>
        <v>1049108.8824981614</v>
      </c>
      <c r="S14" s="344">
        <f>IF($B14&gt;Inputs!$G$15,"",-(E14+F14+G14))</f>
        <v>464204.37100891524</v>
      </c>
    </row>
    <row r="15" spans="2:19" x14ac:dyDescent="0.2">
      <c r="B15" s="150">
        <v>9</v>
      </c>
      <c r="C15" s="151">
        <f>IF($B15&gt;Inputs!$G$15,"",IF($B15&lt;=Inputs!$Q$8,LOOKUP($B15,'Cash Flow'!$F$2:$AJ$2,'Cash Flow'!$F$14:$AJ$14),LOOKUP($B15,'Cash Flow'!$F$2:$AJ$2,'Cash Flow'!$F$16:$AJ$16)))</f>
        <v>32.63071376091311</v>
      </c>
      <c r="D15" s="149">
        <f>IF($B15&gt;Inputs!$G$15,"",LOOKUP($B15,'Cash Flow'!$F$2:$AJ$2,'Cash Flow'!$F$23:$AJ$23))</f>
        <v>1104048.4409153939</v>
      </c>
      <c r="E15" s="149">
        <f>IF($B15&gt;Inputs!$G$15,"",LOOKUP($B15,'Cash Flow'!$F$2:$AJ$2,'Cash Flow'!$F$35:$AJ$35))</f>
        <v>-160769.11459023782</v>
      </c>
      <c r="F15" s="149">
        <f>IF($B15&gt;Inputs!$G$15,"",LOOKUP($B15,'Cash Flow'!$F$2:$AJ$2,'Cash Flow'!$F$85:$AJ$85))</f>
        <v>-245755.4072445952</v>
      </c>
      <c r="G15" s="149">
        <f>IF($B15&gt;Inputs!$G$15,"",LOOKUP($B15,'Cash Flow'!$F$2:$AJ$2,'Cash Flow'!$F$47:$AJ$47)+LOOKUP($B15,'Cash Flow'!$F$2:$AJ$2,'Cash Flow'!$F$48:$AJ$48))</f>
        <v>-57444.444444444445</v>
      </c>
      <c r="H15" s="149">
        <f>IF($B15&gt;Inputs!$G$15,"",SUM(D15:G15))</f>
        <v>640079.4746361163</v>
      </c>
      <c r="I15" s="149">
        <f>IF($B15&gt;Inputs!$G$15,"",LOOKUP($B15,'Cash Flow'!$F$2:$AJ$2,'Cash Flow'!$F$60:$AJ$60))</f>
        <v>764896.38426384283</v>
      </c>
      <c r="J15" s="149">
        <f>IF($B15&gt;Inputs!$G$15,"",LOOKUP($B15,'Cash Flow'!$F$2:$AJ$2,'Cash Flow'!$F$61:$AJ$61))</f>
        <v>764896.38426384283</v>
      </c>
      <c r="K15" s="149">
        <f>IF($B15&gt;Inputs!$G$15,"",LOOKUP($B15,'Cash Flow'!$F$2:$AJ$2,'Cash Flow'!$F$63:$AJ$63)+LOOKUP($B15,'Cash Flow'!$F$2:$AJ$2,'Cash Flow'!$F$65:$AJ$65))</f>
        <v>0</v>
      </c>
      <c r="L15" s="149">
        <f>IF($B15&gt;Inputs!$G$15,"",LOOKUP($B15,'Cash Flow'!$F$2:$AJ$2,'Cash Flow'!$F$64:$AJ$64)+LOOKUP($B15,'Cash Flow'!$F$2:$AJ$2,'Cash Flow'!$F$66:$AJ$66))</f>
        <v>-65016.192662426649</v>
      </c>
      <c r="M15" s="149">
        <f>IF($B15&gt;Inputs!$G$15,"",H15+K15+L15)</f>
        <v>575063.28197368968</v>
      </c>
      <c r="N15" s="149">
        <f>IF($B15&gt;Inputs!$G$15,N14,N14+M15)</f>
        <v>1653922.2171096224</v>
      </c>
      <c r="O15" s="152">
        <f>IF($B15&gt;Inputs!$G$15,"",LOOKUP($B15,'Cash Flow'!$F$2:$AJ$2,'Cash Flow'!$F$68:$AJ$68))</f>
        <v>8.5452935057940271E-2</v>
      </c>
      <c r="P15" s="153">
        <f>IF($B15&gt;Inputs!$G$15,"",LOOKUP($B15,'Cash Flow'!$F$2:$AJ$2,'Cash Flow'!$F$41:$AJ$41))</f>
        <v>3.6045387233293251</v>
      </c>
      <c r="R15" s="343">
        <f>IF($B15&gt;Inputs!$G$15,"",D15+K15+L15)</f>
        <v>1039032.2482529673</v>
      </c>
      <c r="S15" s="344">
        <f>IF($B15&gt;Inputs!$G$15,"",-(E15+F15+G15))</f>
        <v>463968.96627927746</v>
      </c>
    </row>
    <row r="16" spans="2:19" x14ac:dyDescent="0.2">
      <c r="B16" s="150">
        <v>10</v>
      </c>
      <c r="C16" s="151">
        <f>IF($B16&gt;Inputs!$G$15,"",IF($B16&lt;=Inputs!$Q$8,LOOKUP($B16,'Cash Flow'!$F$2:$AJ$2,'Cash Flow'!$F$14:$AJ$14),LOOKUP($B16,'Cash Flow'!$F$2:$AJ$2,'Cash Flow'!$F$16:$AJ$16)))</f>
        <v>33.283328036131373</v>
      </c>
      <c r="D16" s="149">
        <f>IF($B16&gt;Inputs!$G$15,"",LOOKUP($B16,'Cash Flow'!$F$2:$AJ$2,'Cash Flow'!$F$23:$AJ$23))</f>
        <v>1115697.0246401732</v>
      </c>
      <c r="E16" s="149">
        <f>IF($B16&gt;Inputs!$G$15,"",LOOKUP($B16,'Cash Flow'!$F$2:$AJ$2,'Cash Flow'!$F$35:$AJ$35))</f>
        <v>-160806.8065840317</v>
      </c>
      <c r="F16" s="149">
        <f>IF($B16&gt;Inputs!$G$15,"",LOOKUP($B16,'Cash Flow'!$F$2:$AJ$2,'Cash Flow'!$F$85:$AJ$85))</f>
        <v>-245755.40724459523</v>
      </c>
      <c r="G16" s="149">
        <f>IF($B16&gt;Inputs!$G$15,"",LOOKUP($B16,'Cash Flow'!$F$2:$AJ$2,'Cash Flow'!$F$47:$AJ$47)+LOOKUP($B16,'Cash Flow'!$F$2:$AJ$2,'Cash Flow'!$F$48:$AJ$48))</f>
        <v>0</v>
      </c>
      <c r="H16" s="149">
        <f>IF($B16&gt;Inputs!$G$15,"",SUM(D16:G16))</f>
        <v>709134.81081154628</v>
      </c>
      <c r="I16" s="149">
        <f>IF($B16&gt;Inputs!$G$15,"",LOOKUP($B16,'Cash Flow'!$F$2:$AJ$2,'Cash Flow'!$F$60:$AJ$60))</f>
        <v>681879.34710660321</v>
      </c>
      <c r="J16" s="149">
        <f>IF($B16&gt;Inputs!$G$15,"",LOOKUP($B16,'Cash Flow'!$F$2:$AJ$2,'Cash Flow'!$F$61:$AJ$61))</f>
        <v>681879.34710660321</v>
      </c>
      <c r="K16" s="149">
        <f>IF($B16&gt;Inputs!$G$15,"",LOOKUP($B16,'Cash Flow'!$F$2:$AJ$2,'Cash Flow'!$F$63:$AJ$63)+LOOKUP($B16,'Cash Flow'!$F$2:$AJ$2,'Cash Flow'!$F$65:$AJ$65))</f>
        <v>0</v>
      </c>
      <c r="L16" s="149">
        <f>IF($B16&gt;Inputs!$G$15,"",LOOKUP($B16,'Cash Flow'!$F$2:$AJ$2,'Cash Flow'!$F$64:$AJ$64)+LOOKUP($B16,'Cash Flow'!$F$2:$AJ$2,'Cash Flow'!$F$66:$AJ$66))</f>
        <v>-57959.74450406128</v>
      </c>
      <c r="M16" s="149">
        <f>IF($B16&gt;Inputs!$G$15,"",H16+K16+L16)</f>
        <v>651175.06630748499</v>
      </c>
      <c r="N16" s="149">
        <f>IF($B16&gt;Inputs!$G$15,N15,N15+M16)</f>
        <v>2305097.2834171075</v>
      </c>
      <c r="O16" s="152">
        <f>IF($B16&gt;Inputs!$G$15,"",LOOKUP($B16,'Cash Flow'!$F$2:$AJ$2,'Cash Flow'!$F$68:$AJ$68))</f>
        <v>0.10347264512867027</v>
      </c>
      <c r="P16" s="153">
        <f>IF($B16&gt;Inputs!$G$15,"",LOOKUP($B16,'Cash Flow'!$F$2:$AJ$2,'Cash Flow'!$F$41:$AJ$41))</f>
        <v>3.8855308567260098</v>
      </c>
      <c r="R16" s="343">
        <f>IF($B16&gt;Inputs!$G$15,"",D16+K16+L16)</f>
        <v>1057737.2801361119</v>
      </c>
      <c r="S16" s="344">
        <f>IF($B16&gt;Inputs!$G$15,"",-(E16+F16+G16))</f>
        <v>406562.2138286269</v>
      </c>
    </row>
    <row r="17" spans="2:19" x14ac:dyDescent="0.2">
      <c r="B17" s="155">
        <v>11</v>
      </c>
      <c r="C17" s="151">
        <f>IF($B17&gt;Inputs!$G$15,"",IF($B17&lt;=Inputs!$Q$8,LOOKUP($B17,'Cash Flow'!$F$2:$AJ$2,'Cash Flow'!$F$14:$AJ$14),LOOKUP($B17,'Cash Flow'!$F$2:$AJ$2,'Cash Flow'!$F$16:$AJ$16)))</f>
        <v>33.948994596854</v>
      </c>
      <c r="D17" s="149">
        <f>IF($B17&gt;Inputs!$G$15,"",LOOKUP($B17,'Cash Flow'!$F$2:$AJ$2,'Cash Flow'!$F$23:$AJ$23))</f>
        <v>1127612.0904846741</v>
      </c>
      <c r="E17" s="149">
        <f>IF($B17&gt;Inputs!$G$15,"",LOOKUP($B17,'Cash Flow'!$F$2:$AJ$2,'Cash Flow'!$F$35:$AJ$35))</f>
        <v>-161094.21553133789</v>
      </c>
      <c r="F17" s="149">
        <f>IF($B17&gt;Inputs!$G$15,"",LOOKUP($B17,'Cash Flow'!$F$2:$AJ$2,'Cash Flow'!$F$85:$AJ$85))</f>
        <v>-245755.40724459523</v>
      </c>
      <c r="G17" s="149">
        <f>IF($B17&gt;Inputs!$G$15,"",LOOKUP($B17,'Cash Flow'!$F$2:$AJ$2,'Cash Flow'!$F$47:$AJ$47)+LOOKUP($B17,'Cash Flow'!$F$2:$AJ$2,'Cash Flow'!$F$48:$AJ$48))</f>
        <v>-59888.888888888891</v>
      </c>
      <c r="H17" s="149">
        <f>IF($B17&gt;Inputs!$G$15,"",SUM(D17:G17))</f>
        <v>660873.57881985209</v>
      </c>
      <c r="I17" s="149">
        <f>IF($B17&gt;Inputs!$G$15,"",LOOKUP($B17,'Cash Flow'!$F$2:$AJ$2,'Cash Flow'!$F$60:$AJ$60))</f>
        <v>640797.23009339697</v>
      </c>
      <c r="J17" s="149">
        <f>IF($B17&gt;Inputs!$G$15,"",LOOKUP($B17,'Cash Flow'!$F$2:$AJ$2,'Cash Flow'!$F$61:$AJ$61))</f>
        <v>640797.23009339697</v>
      </c>
      <c r="K17" s="149">
        <f>IF($B17&gt;Inputs!$G$15,"",LOOKUP($B17,'Cash Flow'!$F$2:$AJ$2,'Cash Flow'!$F$63:$AJ$63)+LOOKUP($B17,'Cash Flow'!$F$2:$AJ$2,'Cash Flow'!$F$65:$AJ$65))</f>
        <v>0</v>
      </c>
      <c r="L17" s="149">
        <f>IF($B17&gt;Inputs!$G$15,"",LOOKUP($B17,'Cash Flow'!$F$2:$AJ$2,'Cash Flow'!$F$64:$AJ$64)+LOOKUP($B17,'Cash Flow'!$F$2:$AJ$2,'Cash Flow'!$F$66:$AJ$66))</f>
        <v>-54467.764557938746</v>
      </c>
      <c r="M17" s="149">
        <f>IF($B17&gt;Inputs!$G$15,"",H17+K17+L17)</f>
        <v>606405.8142619133</v>
      </c>
      <c r="N17" s="149">
        <f>IF($B17&gt;Inputs!$G$15,N16,N16+M17)</f>
        <v>2911503.0976790208</v>
      </c>
      <c r="O17" s="152">
        <f>IF($B17&gt;Inputs!$G$15,"",LOOKUP($B17,'Cash Flow'!$F$2:$AJ$2,'Cash Flow'!$F$68:$AJ$68))</f>
        <v>0.1161139570877221</v>
      </c>
      <c r="P17" s="153">
        <f>IF($B17&gt;Inputs!$G$15,"",LOOKUP($B17,'Cash Flow'!$F$2:$AJ$2,'Cash Flow'!$F$41:$AJ$41))</f>
        <v>3.6891517311035131</v>
      </c>
      <c r="R17" s="343">
        <f>IF($B17&gt;Inputs!$G$15,"",D17+K17+L17)</f>
        <v>1073144.3259267353</v>
      </c>
      <c r="S17" s="344">
        <f>IF($B17&gt;Inputs!$G$15,"",-(E17+F17+G17))</f>
        <v>466738.511664822</v>
      </c>
    </row>
    <row r="18" spans="2:19" x14ac:dyDescent="0.2">
      <c r="B18" s="150">
        <v>12</v>
      </c>
      <c r="C18" s="151">
        <f>IF($B18&gt;Inputs!$G$15,"",IF($B18&lt;=Inputs!$Q$8,LOOKUP($B18,'Cash Flow'!$F$2:$AJ$2,'Cash Flow'!$F$14:$AJ$14),LOOKUP($B18,'Cash Flow'!$F$2:$AJ$2,'Cash Flow'!$F$16:$AJ$16)))</f>
        <v>34.627974488791082</v>
      </c>
      <c r="D18" s="149">
        <f>IF($B18&gt;Inputs!$G$15,"",LOOKUP($B18,'Cash Flow'!$F$2:$AJ$2,'Cash Flow'!$F$23:$AJ$23))</f>
        <v>1145541.6892547028</v>
      </c>
      <c r="E18" s="149">
        <f>IF($B18&gt;Inputs!$G$15,"",LOOKUP($B18,'Cash Flow'!$F$2:$AJ$2,'Cash Flow'!$F$35:$AJ$35))</f>
        <v>-161610.36158819322</v>
      </c>
      <c r="F18" s="149">
        <f>IF($B18&gt;Inputs!$G$15,"",LOOKUP($B18,'Cash Flow'!$F$2:$AJ$2,'Cash Flow'!$F$85:$AJ$85))</f>
        <v>-245755.40724459523</v>
      </c>
      <c r="G18" s="149">
        <f>IF($B18&gt;Inputs!$G$15,"",LOOKUP($B18,'Cash Flow'!$F$2:$AJ$2,'Cash Flow'!$F$47:$AJ$47)+LOOKUP($B18,'Cash Flow'!$F$2:$AJ$2,'Cash Flow'!$F$48:$AJ$48))</f>
        <v>-59888.888888888891</v>
      </c>
      <c r="H18" s="149">
        <f>IF($B18&gt;Inputs!$G$15,"",SUM(D18:G18))</f>
        <v>678287.03153302544</v>
      </c>
      <c r="I18" s="149">
        <f>IF($B18&gt;Inputs!$G$15,"",LOOKUP($B18,'Cash Flow'!$F$2:$AJ$2,'Cash Flow'!$F$60:$AJ$60))</f>
        <v>734478.41472244135</v>
      </c>
      <c r="J18" s="149">
        <f>IF($B18&gt;Inputs!$G$15,"",LOOKUP($B18,'Cash Flow'!$F$2:$AJ$2,'Cash Flow'!$F$61:$AJ$61))</f>
        <v>734478.41472244135</v>
      </c>
      <c r="K18" s="149">
        <f>IF($B18&gt;Inputs!$G$15,"",LOOKUP($B18,'Cash Flow'!$F$2:$AJ$2,'Cash Flow'!$F$63:$AJ$63)+LOOKUP($B18,'Cash Flow'!$F$2:$AJ$2,'Cash Flow'!$F$65:$AJ$65))</f>
        <v>-191882.27678111976</v>
      </c>
      <c r="L18" s="149">
        <f>IF($B18&gt;Inputs!$G$15,"",LOOKUP($B18,'Cash Flow'!$F$2:$AJ$2,'Cash Flow'!$F$64:$AJ$64)+LOOKUP($B18,'Cash Flow'!$F$2:$AJ$2,'Cash Flow'!$F$66:$AJ$66))</f>
        <v>-62430.665251407518</v>
      </c>
      <c r="M18" s="149">
        <f>IF($B18&gt;Inputs!$G$15,"",H18+K18+L18)</f>
        <v>423974.08950049814</v>
      </c>
      <c r="N18" s="149">
        <f>IF($B18&gt;Inputs!$G$15,N17,N17+M18)</f>
        <v>3335477.1871795189</v>
      </c>
      <c r="O18" s="152">
        <f>IF($B18&gt;Inputs!$G$15,"",LOOKUP($B18,'Cash Flow'!$F$2:$AJ$2,'Cash Flow'!$F$68:$AJ$68))</f>
        <v>0.1230714861780553</v>
      </c>
      <c r="P18" s="153">
        <f>IF($B18&gt;Inputs!$G$15,"",LOOKUP($B18,'Cash Flow'!$F$2:$AJ$2,'Cash Flow'!$F$41:$AJ$41))</f>
        <v>3.7600085757541053</v>
      </c>
      <c r="R18" s="343">
        <f>IF($B18&gt;Inputs!$G$15,"",D18+K18+L18)</f>
        <v>891228.74722217547</v>
      </c>
      <c r="S18" s="344">
        <f>IF($B18&gt;Inputs!$G$15,"",-(E18+F18+G18))</f>
        <v>467254.65772167733</v>
      </c>
    </row>
    <row r="19" spans="2:19" x14ac:dyDescent="0.2">
      <c r="B19" s="150">
        <v>13</v>
      </c>
      <c r="C19" s="151">
        <f>IF($B19&gt;Inputs!$G$15,"",IF($B19&lt;=Inputs!$Q$8,LOOKUP($B19,'Cash Flow'!$F$2:$AJ$2,'Cash Flow'!$F$14:$AJ$14),LOOKUP($B19,'Cash Flow'!$F$2:$AJ$2,'Cash Flow'!$F$16:$AJ$16)))</f>
        <v>35.320533978566907</v>
      </c>
      <c r="D19" s="149">
        <f>IF($B19&gt;Inputs!$G$15,"",LOOKUP($B19,'Cash Flow'!$F$2:$AJ$2,'Cash Flow'!$F$23:$AJ$23))</f>
        <v>1163720.5921575159</v>
      </c>
      <c r="E19" s="149">
        <f>IF($B19&gt;Inputs!$G$15,"",LOOKUP($B19,'Cash Flow'!$F$2:$AJ$2,'Cash Flow'!$F$35:$AJ$35))</f>
        <v>-162336.42582142985</v>
      </c>
      <c r="F19" s="149">
        <f>IF($B19&gt;Inputs!$G$15,"",LOOKUP($B19,'Cash Flow'!$F$2:$AJ$2,'Cash Flow'!$F$85:$AJ$85))</f>
        <v>-245755.40724459523</v>
      </c>
      <c r="G19" s="149">
        <f>IF($B19&gt;Inputs!$G$15,"",LOOKUP($B19,'Cash Flow'!$F$2:$AJ$2,'Cash Flow'!$F$47:$AJ$47)+LOOKUP($B19,'Cash Flow'!$F$2:$AJ$2,'Cash Flow'!$F$48:$AJ$48))</f>
        <v>-59888.888888888891</v>
      </c>
      <c r="H19" s="149">
        <f>IF($B19&gt;Inputs!$G$15,"",SUM(D19:G19))</f>
        <v>695739.870202602</v>
      </c>
      <c r="I19" s="149">
        <f>IF($B19&gt;Inputs!$G$15,"",LOOKUP($B19,'Cash Flow'!$F$2:$AJ$2,'Cash Flow'!$F$60:$AJ$60))</f>
        <v>802322.94154199993</v>
      </c>
      <c r="J19" s="149">
        <f>IF($B19&gt;Inputs!$G$15,"",LOOKUP($B19,'Cash Flow'!$F$2:$AJ$2,'Cash Flow'!$F$61:$AJ$61))</f>
        <v>802322.94154199993</v>
      </c>
      <c r="K19" s="149">
        <f>IF($B19&gt;Inputs!$G$15,"",LOOKUP($B19,'Cash Flow'!$F$2:$AJ$2,'Cash Flow'!$F$63:$AJ$63)+LOOKUP($B19,'Cash Flow'!$F$2:$AJ$2,'Cash Flow'!$F$65:$AJ$65))</f>
        <v>-256943.92202882544</v>
      </c>
      <c r="L19" s="149">
        <f>IF($B19&gt;Inputs!$G$15,"",LOOKUP($B19,'Cash Flow'!$F$2:$AJ$2,'Cash Flow'!$F$64:$AJ$64)+LOOKUP($B19,'Cash Flow'!$F$2:$AJ$2,'Cash Flow'!$F$66:$AJ$66))</f>
        <v>-68197.450031069995</v>
      </c>
      <c r="M19" s="149">
        <f>IF($B19&gt;Inputs!$G$15,"",H19+K19+L19)</f>
        <v>370598.49814270658</v>
      </c>
      <c r="N19" s="149">
        <f>IF($B19&gt;Inputs!$G$15,N18,N18+M19)</f>
        <v>3706075.6853222256</v>
      </c>
      <c r="O19" s="152">
        <f>IF($B19&gt;Inputs!$G$15,"",LOOKUP($B19,'Cash Flow'!$F$2:$AJ$2,'Cash Flow'!$F$68:$AJ$68))</f>
        <v>0.1280313866564402</v>
      </c>
      <c r="P19" s="153">
        <f>IF($B19&gt;Inputs!$G$15,"",LOOKUP($B19,'Cash Flow'!$F$2:$AJ$2,'Cash Flow'!$F$41:$AJ$41))</f>
        <v>3.8310256852665976</v>
      </c>
      <c r="R19" s="343">
        <f>IF($B19&gt;Inputs!$G$15,"",D19+K19+L19)</f>
        <v>838579.22009762051</v>
      </c>
      <c r="S19" s="344">
        <f>IF($B19&gt;Inputs!$G$15,"",-(E19+F19+G19))</f>
        <v>467980.72195491393</v>
      </c>
    </row>
    <row r="20" spans="2:19" x14ac:dyDescent="0.2">
      <c r="B20" s="155">
        <v>14</v>
      </c>
      <c r="C20" s="151">
        <f>IF($B20&gt;Inputs!$G$15,"",IF($B20&lt;=Inputs!$Q$8,LOOKUP($B20,'Cash Flow'!$F$2:$AJ$2,'Cash Flow'!$F$14:$AJ$14),LOOKUP($B20,'Cash Flow'!$F$2:$AJ$2,'Cash Flow'!$F$16:$AJ$16)))</f>
        <v>36.026944658138248</v>
      </c>
      <c r="D20" s="149">
        <f>IF($B20&gt;Inputs!$G$15,"",LOOKUP($B20,'Cash Flow'!$F$2:$AJ$2,'Cash Flow'!$F$23:$AJ$23))</f>
        <v>1182152.5138246922</v>
      </c>
      <c r="E20" s="149">
        <f>IF($B20&gt;Inputs!$G$15,"",LOOKUP($B20,'Cash Flow'!$F$2:$AJ$2,'Cash Flow'!$F$35:$AJ$35))</f>
        <v>-163255.5351104656</v>
      </c>
      <c r="F20" s="149">
        <f>IF($B20&gt;Inputs!$G$15,"",LOOKUP($B20,'Cash Flow'!$F$2:$AJ$2,'Cash Flow'!$F$85:$AJ$85))</f>
        <v>-245755.40724459523</v>
      </c>
      <c r="G20" s="149">
        <f>IF($B20&gt;Inputs!$G$15,"",LOOKUP($B20,'Cash Flow'!$F$2:$AJ$2,'Cash Flow'!$F$47:$AJ$47)+LOOKUP($B20,'Cash Flow'!$F$2:$AJ$2,'Cash Flow'!$F$48:$AJ$48))</f>
        <v>-59888.888888888891</v>
      </c>
      <c r="H20" s="149">
        <f>IF($B20&gt;Inputs!$G$15,"",SUM(D20:G20))</f>
        <v>713252.68258074252</v>
      </c>
      <c r="I20" s="149">
        <f>IF($B20&gt;Inputs!$G$15,"",LOOKUP($B20,'Cash Flow'!$F$2:$AJ$2,'Cash Flow'!$F$60:$AJ$60))</f>
        <v>831325.75824062119</v>
      </c>
      <c r="J20" s="149">
        <f>IF($B20&gt;Inputs!$G$15,"",LOOKUP($B20,'Cash Flow'!$F$2:$AJ$2,'Cash Flow'!$F$61:$AJ$61))</f>
        <v>831325.75824062119</v>
      </c>
      <c r="K20" s="149">
        <f>IF($B20&gt;Inputs!$G$15,"",LOOKUP($B20,'Cash Flow'!$F$2:$AJ$2,'Cash Flow'!$F$63:$AJ$63)+LOOKUP($B20,'Cash Flow'!$F$2:$AJ$2,'Cash Flow'!$F$65:$AJ$65))</f>
        <v>-266232.07407655893</v>
      </c>
      <c r="L20" s="149">
        <f>IF($B20&gt;Inputs!$G$15,"",LOOKUP($B20,'Cash Flow'!$F$2:$AJ$2,'Cash Flow'!$F$64:$AJ$64)+LOOKUP($B20,'Cash Flow'!$F$2:$AJ$2,'Cash Flow'!$F$66:$AJ$66))</f>
        <v>-70662.689450452803</v>
      </c>
      <c r="M20" s="149">
        <f>IF($B20&gt;Inputs!$G$15,"",H20+K20+L20)</f>
        <v>376357.91905373079</v>
      </c>
      <c r="N20" s="149">
        <f>IF($B20&gt;Inputs!$G$15,N19,N19+M20)</f>
        <v>4082433.6043759566</v>
      </c>
      <c r="O20" s="152">
        <f>IF($B20&gt;Inputs!$G$15,"",LOOKUP($B20,'Cash Flow'!$F$2:$AJ$2,'Cash Flow'!$F$68:$AJ$68))</f>
        <v>0.1321778391413162</v>
      </c>
      <c r="P20" s="153">
        <f>IF($B20&gt;Inputs!$G$15,"",LOOKUP($B20,'Cash Flow'!$F$2:$AJ$2,'Cash Flow'!$F$41:$AJ$41))</f>
        <v>3.9022868329845415</v>
      </c>
      <c r="R20" s="343">
        <f>IF($B20&gt;Inputs!$G$15,"",D20+K20+L20)</f>
        <v>845257.7502976805</v>
      </c>
      <c r="S20" s="344">
        <f>IF($B20&gt;Inputs!$G$15,"",-(E20+F20+G20))</f>
        <v>468899.83124394971</v>
      </c>
    </row>
    <row r="21" spans="2:19" x14ac:dyDescent="0.2">
      <c r="B21" s="150">
        <v>15</v>
      </c>
      <c r="C21" s="151">
        <f>IF($B21&gt;Inputs!$G$15,"",IF($B21&lt;=Inputs!$Q$8,LOOKUP($B21,'Cash Flow'!$F$2:$AJ$2,'Cash Flow'!$F$14:$AJ$14),LOOKUP($B21,'Cash Flow'!$F$2:$AJ$2,'Cash Flow'!$F$16:$AJ$16)))</f>
        <v>36.747483551301016</v>
      </c>
      <c r="D21" s="149">
        <f>IF($B21&gt;Inputs!$G$15,"",LOOKUP($B21,'Cash Flow'!$F$2:$AJ$2,'Cash Flow'!$F$23:$AJ$23))</f>
        <v>1200841.2242358204</v>
      </c>
      <c r="E21" s="149">
        <f>IF($B21&gt;Inputs!$G$15,"",LOOKUP($B21,'Cash Flow'!$F$2:$AJ$2,'Cash Flow'!$F$35:$AJ$35))</f>
        <v>-164352.56857459407</v>
      </c>
      <c r="F21" s="149">
        <f>IF($B21&gt;Inputs!$G$15,"",LOOKUP($B21,'Cash Flow'!$F$2:$AJ$2,'Cash Flow'!$F$85:$AJ$85))</f>
        <v>-245755.40724459523</v>
      </c>
      <c r="G21" s="149">
        <f>IF($B21&gt;Inputs!$G$15,"",LOOKUP($B21,'Cash Flow'!$F$2:$AJ$2,'Cash Flow'!$F$47:$AJ$47)+LOOKUP($B21,'Cash Flow'!$F$2:$AJ$2,'Cash Flow'!$F$48:$AJ$48))</f>
        <v>-59888.888888888891</v>
      </c>
      <c r="H21" s="149">
        <f>IF($B21&gt;Inputs!$G$15,"",SUM(D21:G21))</f>
        <v>730844.35952774214</v>
      </c>
      <c r="I21" s="149">
        <f>IF($B21&gt;Inputs!$G$15,"",LOOKUP($B21,'Cash Flow'!$F$2:$AJ$2,'Cash Flow'!$F$60:$AJ$60))</f>
        <v>890935.04981053516</v>
      </c>
      <c r="J21" s="149">
        <f>IF($B21&gt;Inputs!$G$15,"",LOOKUP($B21,'Cash Flow'!$F$2:$AJ$2,'Cash Flow'!$F$61:$AJ$61))</f>
        <v>890935.04981053516</v>
      </c>
      <c r="K21" s="149">
        <f>IF($B21&gt;Inputs!$G$15,"",LOOKUP($B21,'Cash Flow'!$F$2:$AJ$2,'Cash Flow'!$F$63:$AJ$63)+LOOKUP($B21,'Cash Flow'!$F$2:$AJ$2,'Cash Flow'!$F$65:$AJ$65))</f>
        <v>-285321.94970182382</v>
      </c>
      <c r="L21" s="149">
        <f>IF($B21&gt;Inputs!$G$15,"",LOOKUP($B21,'Cash Flow'!$F$2:$AJ$2,'Cash Flow'!$F$64:$AJ$64)+LOOKUP($B21,'Cash Flow'!$F$2:$AJ$2,'Cash Flow'!$F$66:$AJ$66))</f>
        <v>-75729.479233895487</v>
      </c>
      <c r="M21" s="149">
        <f>IF($B21&gt;Inputs!$G$15,"",H21+K21+L21)</f>
        <v>369792.93059202284</v>
      </c>
      <c r="N21" s="149">
        <f>IF($B21&gt;Inputs!$G$15,N20,N20+M21)</f>
        <v>4452226.5349679794</v>
      </c>
      <c r="O21" s="152">
        <f>IF($B21&gt;Inputs!$G$15,"",LOOKUP($B21,'Cash Flow'!$F$2:$AJ$2,'Cash Flow'!$F$68:$AJ$68))</f>
        <v>0.13554464847208259</v>
      </c>
      <c r="P21" s="153">
        <f>IF($B21&gt;Inputs!$G$15,"",LOOKUP($B21,'Cash Flow'!$F$2:$AJ$2,'Cash Flow'!$F$41:$AJ$41))</f>
        <v>3.9738688874517742</v>
      </c>
      <c r="R21" s="343">
        <f>IF($B21&gt;Inputs!$G$15,"",D21+K21+L21)</f>
        <v>839789.79530010116</v>
      </c>
      <c r="S21" s="344">
        <f>IF($B21&gt;Inputs!$G$15,"",-(E21+F21+G21))</f>
        <v>469996.86470807821</v>
      </c>
    </row>
    <row r="22" spans="2:19" x14ac:dyDescent="0.2">
      <c r="B22" s="150">
        <v>16</v>
      </c>
      <c r="C22" s="151">
        <f>IF($B22&gt;Inputs!$G$15,"",IF($B22&lt;=Inputs!$Q$8,LOOKUP($B22,'Cash Flow'!$F$2:$AJ$2,'Cash Flow'!$F$14:$AJ$14),LOOKUP($B22,'Cash Flow'!$F$2:$AJ$2,'Cash Flow'!$F$16:$AJ$16)))</f>
        <v>37.482433222327039</v>
      </c>
      <c r="D22" s="149">
        <f>IF($B22&gt;Inputs!$G$15,"",LOOKUP($B22,'Cash Flow'!$F$2:$AJ$2,'Cash Flow'!$F$23:$AJ$23))</f>
        <v>1219790.5495431856</v>
      </c>
      <c r="E22" s="149">
        <f>IF($B22&gt;Inputs!$G$15,"",LOOKUP($B22,'Cash Flow'!$F$2:$AJ$2,'Cash Flow'!$F$35:$AJ$35))</f>
        <v>-165613.98337347322</v>
      </c>
      <c r="F22" s="149">
        <f>IF($B22&gt;Inputs!$G$15,"",LOOKUP($B22,'Cash Flow'!$F$2:$AJ$2,'Cash Flow'!$F$85:$AJ$85))</f>
        <v>-245755.40724459523</v>
      </c>
      <c r="G22" s="149">
        <f>IF($B22&gt;Inputs!$G$15,"",LOOKUP($B22,'Cash Flow'!$F$2:$AJ$2,'Cash Flow'!$F$47:$AJ$47)+LOOKUP($B22,'Cash Flow'!$F$2:$AJ$2,'Cash Flow'!$F$48:$AJ$48))</f>
        <v>-59888.888888888891</v>
      </c>
      <c r="H22" s="149">
        <f>IF($B22&gt;Inputs!$G$15,"",SUM(D22:G22))</f>
        <v>748532.27003622835</v>
      </c>
      <c r="I22" s="149">
        <f>IF($B22&gt;Inputs!$G$15,"",LOOKUP($B22,'Cash Flow'!$F$2:$AJ$2,'Cash Flow'!$F$60:$AJ$60))</f>
        <v>977000.65396553976</v>
      </c>
      <c r="J22" s="149">
        <f>IF($B22&gt;Inputs!$G$15,"",LOOKUP($B22,'Cash Flow'!$F$2:$AJ$2,'Cash Flow'!$F$61:$AJ$61))</f>
        <v>977000.65396553976</v>
      </c>
      <c r="K22" s="149">
        <f>IF($B22&gt;Inputs!$G$15,"",LOOKUP($B22,'Cash Flow'!$F$2:$AJ$2,'Cash Flow'!$F$63:$AJ$63)+LOOKUP($B22,'Cash Flow'!$F$2:$AJ$2,'Cash Flow'!$F$65:$AJ$65))</f>
        <v>-312884.45943246409</v>
      </c>
      <c r="L22" s="149">
        <f>IF($B22&gt;Inputs!$G$15,"",LOOKUP($B22,'Cash Flow'!$F$2:$AJ$2,'Cash Flow'!$F$64:$AJ$64)+LOOKUP($B22,'Cash Flow'!$F$2:$AJ$2,'Cash Flow'!$F$66:$AJ$66))</f>
        <v>-83045.055587070892</v>
      </c>
      <c r="M22" s="149">
        <f>IF($B22&gt;Inputs!$G$15,"",H22+K22+L22)</f>
        <v>352602.75501669338</v>
      </c>
      <c r="N22" s="149">
        <f>IF($B22&gt;Inputs!$G$15,N21,N21+M22)</f>
        <v>4804829.2899846733</v>
      </c>
      <c r="O22" s="152">
        <f>IF($B22&gt;Inputs!$G$15,"",LOOKUP($B22,'Cash Flow'!$F$2:$AJ$2,'Cash Flow'!$F$68:$AJ$68))</f>
        <v>0.13821284893648955</v>
      </c>
      <c r="P22" s="153">
        <f>IF($B22&gt;Inputs!$G$15,"",LOOKUP($B22,'Cash Flow'!$F$2:$AJ$2,'Cash Flow'!$F$41:$AJ$41))</f>
        <v>4.0458425246010146</v>
      </c>
      <c r="R22" s="343">
        <f>IF($B22&gt;Inputs!$G$15,"",D22+K22+L22)</f>
        <v>823861.03452365065</v>
      </c>
      <c r="S22" s="344">
        <f>IF($B22&gt;Inputs!$G$15,"",-(E22+F22+G22))</f>
        <v>471258.27950695733</v>
      </c>
    </row>
    <row r="23" spans="2:19" x14ac:dyDescent="0.2">
      <c r="B23" s="155">
        <v>17</v>
      </c>
      <c r="C23" s="151">
        <f>IF($B23&gt;Inputs!$G$15,"",IF($B23&lt;=Inputs!$Q$8,LOOKUP($B23,'Cash Flow'!$F$2:$AJ$2,'Cash Flow'!$F$14:$AJ$14),LOOKUP($B23,'Cash Flow'!$F$2:$AJ$2,'Cash Flow'!$F$16:$AJ$16)))</f>
        <v>38.232081886773578</v>
      </c>
      <c r="D23" s="149">
        <f>IF($B23&gt;Inputs!$G$15,"",LOOKUP($B23,'Cash Flow'!$F$2:$AJ$2,'Cash Flow'!$F$23:$AJ$23))</f>
        <v>1239004.3729087415</v>
      </c>
      <c r="E23" s="149">
        <f>IF($B23&gt;Inputs!$G$15,"",LOOKUP($B23,'Cash Flow'!$F$2:$AJ$2,'Cash Flow'!$F$35:$AJ$35))</f>
        <v>-167027.65794374325</v>
      </c>
      <c r="F23" s="149">
        <f>IF($B23&gt;Inputs!$G$15,"",LOOKUP($B23,'Cash Flow'!$F$2:$AJ$2,'Cash Flow'!$F$85:$AJ$85))</f>
        <v>-245755.40724459523</v>
      </c>
      <c r="G23" s="149">
        <f>IF($B23&gt;Inputs!$G$15,"",LOOKUP($B23,'Cash Flow'!$F$2:$AJ$2,'Cash Flow'!$F$47:$AJ$47)+LOOKUP($B23,'Cash Flow'!$F$2:$AJ$2,'Cash Flow'!$F$48:$AJ$48))</f>
        <v>-59888.888888888891</v>
      </c>
      <c r="H23" s="149">
        <f>IF($B23&gt;Inputs!$G$15,"",SUM(D23:G23))</f>
        <v>766332.41883151408</v>
      </c>
      <c r="I23" s="149">
        <f>IF($B23&gt;Inputs!$G$15,"",LOOKUP($B23,'Cash Flow'!$F$2:$AJ$2,'Cash Flow'!$F$60:$AJ$60))</f>
        <v>1034290.9759626002</v>
      </c>
      <c r="J23" s="149">
        <f>IF($B23&gt;Inputs!$G$15,"",LOOKUP($B23,'Cash Flow'!$F$2:$AJ$2,'Cash Flow'!$F$61:$AJ$61))</f>
        <v>1034290.9759626002</v>
      </c>
      <c r="K23" s="149">
        <f>IF($B23&gt;Inputs!$G$15,"",LOOKUP($B23,'Cash Flow'!$F$2:$AJ$2,'Cash Flow'!$F$63:$AJ$63)+LOOKUP($B23,'Cash Flow'!$F$2:$AJ$2,'Cash Flow'!$F$65:$AJ$65))</f>
        <v>-331231.68505202269</v>
      </c>
      <c r="L23" s="149">
        <f>IF($B23&gt;Inputs!$G$15,"",LOOKUP($B23,'Cash Flow'!$F$2:$AJ$2,'Cash Flow'!$F$64:$AJ$64)+LOOKUP($B23,'Cash Flow'!$F$2:$AJ$2,'Cash Flow'!$F$66:$AJ$66))</f>
        <v>-87914.732956821026</v>
      </c>
      <c r="M23" s="149">
        <f>IF($B23&gt;Inputs!$G$15,"",H23+K23+L23)</f>
        <v>347186.00082267035</v>
      </c>
      <c r="N23" s="149">
        <f>IF($B23&gt;Inputs!$G$15,N22,N22+M23)</f>
        <v>5152015.290807344</v>
      </c>
      <c r="O23" s="152">
        <f>IF($B23&gt;Inputs!$G$15,"",LOOKUP($B23,'Cash Flow'!$F$2:$AJ$2,'Cash Flow'!$F$68:$AJ$68))</f>
        <v>0.14040787733882976</v>
      </c>
      <c r="P23" s="153">
        <f>IF($B23&gt;Inputs!$G$15,"",LOOKUP($B23,'Cash Flow'!$F$2:$AJ$2,'Cash Flow'!$F$41:$AJ$41))</f>
        <v>4.1182728690433228</v>
      </c>
      <c r="R23" s="343">
        <f>IF($B23&gt;Inputs!$G$15,"",D23+K23+L23)</f>
        <v>819857.9548998978</v>
      </c>
      <c r="S23" s="344">
        <f>IF($B23&gt;Inputs!$G$15,"",-(E23+F23+G23))</f>
        <v>472671.95407722739</v>
      </c>
    </row>
    <row r="24" spans="2:19" x14ac:dyDescent="0.2">
      <c r="B24" s="150">
        <v>18</v>
      </c>
      <c r="C24" s="151">
        <f>IF($B24&gt;Inputs!$G$15,"",IF($B24&lt;=Inputs!$Q$8,LOOKUP($B24,'Cash Flow'!$F$2:$AJ$2,'Cash Flow'!$F$14:$AJ$14),LOOKUP($B24,'Cash Flow'!$F$2:$AJ$2,'Cash Flow'!$F$16:$AJ$16)))</f>
        <v>38.996723524509051</v>
      </c>
      <c r="D24" s="149">
        <f>IF($B24&gt;Inputs!$G$15,"",LOOKUP($B24,'Cash Flow'!$F$2:$AJ$2,'Cash Flow'!$F$23:$AJ$23))</f>
        <v>1258486.6353535552</v>
      </c>
      <c r="E24" s="149">
        <f>IF($B24&gt;Inputs!$G$15,"",LOOKUP($B24,'Cash Flow'!$F$2:$AJ$2,'Cash Flow'!$F$35:$AJ$35))</f>
        <v>-168582.75092841728</v>
      </c>
      <c r="F24" s="149">
        <f>IF($B24&gt;Inputs!$G$15,"",LOOKUP($B24,'Cash Flow'!$F$2:$AJ$2,'Cash Flow'!$F$85:$AJ$85))</f>
        <v>-245755.40724459523</v>
      </c>
      <c r="G24" s="149">
        <f>IF($B24&gt;Inputs!$G$15,"",LOOKUP($B24,'Cash Flow'!$F$2:$AJ$2,'Cash Flow'!$F$47:$AJ$47)+LOOKUP($B24,'Cash Flow'!$F$2:$AJ$2,'Cash Flow'!$F$48:$AJ$48))</f>
        <v>-59888.888888888891</v>
      </c>
      <c r="H24" s="149">
        <f>IF($B24&gt;Inputs!$G$15,"",SUM(D24:G24))</f>
        <v>784259.58829165378</v>
      </c>
      <c r="I24" s="149">
        <f>IF($B24&gt;Inputs!$G$15,"",LOOKUP($B24,'Cash Flow'!$F$2:$AJ$2,'Cash Flow'!$F$60:$AJ$60))</f>
        <v>1067243.8057486389</v>
      </c>
      <c r="J24" s="149">
        <f>IF($B24&gt;Inputs!$G$15,"",LOOKUP($B24,'Cash Flow'!$F$2:$AJ$2,'Cash Flow'!$F$61:$AJ$61))</f>
        <v>1067243.8057486389</v>
      </c>
      <c r="K24" s="149">
        <f>IF($B24&gt;Inputs!$G$15,"",LOOKUP($B24,'Cash Flow'!$F$2:$AJ$2,'Cash Flow'!$F$63:$AJ$63)+LOOKUP($B24,'Cash Flow'!$F$2:$AJ$2,'Cash Flow'!$F$65:$AJ$65))</f>
        <v>-341784.82879100158</v>
      </c>
      <c r="L24" s="149">
        <f>IF($B24&gt;Inputs!$G$15,"",LOOKUP($B24,'Cash Flow'!$F$2:$AJ$2,'Cash Flow'!$F$64:$AJ$64)+LOOKUP($B24,'Cash Flow'!$F$2:$AJ$2,'Cash Flow'!$F$66:$AJ$66))</f>
        <v>-90715.723488634321</v>
      </c>
      <c r="M24" s="149">
        <f>IF($B24&gt;Inputs!$G$15,"",H24+K24+L24)</f>
        <v>351759.03601201787</v>
      </c>
      <c r="N24" s="149">
        <f>IF($B24&gt;Inputs!$G$15,N23,N23+M24)</f>
        <v>5503774.3268193621</v>
      </c>
      <c r="O24" s="152">
        <f>IF($B24&gt;Inputs!$G$15,"",LOOKUP($B24,'Cash Flow'!$F$2:$AJ$2,'Cash Flow'!$F$68:$AJ$68))</f>
        <v>0.14227214719425318</v>
      </c>
      <c r="P24" s="153">
        <f>IF($B24&gt;Inputs!$G$15,"",LOOKUP($B24,'Cash Flow'!$F$2:$AJ$2,'Cash Flow'!$F$41:$AJ$41))</f>
        <v>4.1912200715530812</v>
      </c>
      <c r="R24" s="343">
        <f>IF($B24&gt;Inputs!$G$15,"",D24+K24+L24)</f>
        <v>825986.08307391929</v>
      </c>
      <c r="S24" s="344">
        <f>IF($B24&gt;Inputs!$G$15,"",-(E24+F24+G24))</f>
        <v>474227.04706190142</v>
      </c>
    </row>
    <row r="25" spans="2:19" x14ac:dyDescent="0.2">
      <c r="B25" s="150">
        <v>19</v>
      </c>
      <c r="C25" s="151">
        <f>IF($B25&gt;Inputs!$G$15,"",IF($B25&lt;=Inputs!$Q$8,LOOKUP($B25,'Cash Flow'!$F$2:$AJ$2,'Cash Flow'!$F$14:$AJ$14),LOOKUP($B25,'Cash Flow'!$F$2:$AJ$2,'Cash Flow'!$F$16:$AJ$16)))</f>
        <v>39.776657994999233</v>
      </c>
      <c r="D25" s="149">
        <f>IF($B25&gt;Inputs!$G$15,"",LOOKUP($B25,'Cash Flow'!$F$2:$AJ$2,'Cash Flow'!$F$23:$AJ$23))</f>
        <v>1277012.5595836849</v>
      </c>
      <c r="E25" s="149">
        <f>IF($B25&gt;Inputs!$G$15,"",LOOKUP($B25,'Cash Flow'!$F$2:$AJ$2,'Cash Flow'!$F$35:$AJ$35))</f>
        <v>-170269.57423002701</v>
      </c>
      <c r="F25" s="149">
        <f>IF($B25&gt;Inputs!$G$15,"",LOOKUP($B25,'Cash Flow'!$F$2:$AJ$2,'Cash Flow'!$F$85:$AJ$85))</f>
        <v>0</v>
      </c>
      <c r="G25" s="149">
        <f>IF($B25&gt;Inputs!$G$15,"",LOOKUP($B25,'Cash Flow'!$F$2:$AJ$2,'Cash Flow'!$F$47:$AJ$47)+LOOKUP($B25,'Cash Flow'!$F$2:$AJ$2,'Cash Flow'!$F$48:$AJ$48))</f>
        <v>62988.814733408726</v>
      </c>
      <c r="H25" s="149">
        <f>IF($B25&gt;Inputs!$G$15,"",SUM(D25:G25))</f>
        <v>1169731.8000870666</v>
      </c>
      <c r="I25" s="149">
        <f>IF($B25&gt;Inputs!$G$15,"",LOOKUP($B25,'Cash Flow'!$F$2:$AJ$2,'Cash Flow'!$F$60:$AJ$60))</f>
        <v>1100160.3632258708</v>
      </c>
      <c r="J25" s="149">
        <f>IF($B25&gt;Inputs!$G$15,"",LOOKUP($B25,'Cash Flow'!$F$2:$AJ$2,'Cash Flow'!$F$61:$AJ$61))</f>
        <v>1100160.3632258708</v>
      </c>
      <c r="K25" s="149">
        <f>IF($B25&gt;Inputs!$G$15,"",LOOKUP($B25,'Cash Flow'!$F$2:$AJ$2,'Cash Flow'!$F$63:$AJ$63)+LOOKUP($B25,'Cash Flow'!$F$2:$AJ$2,'Cash Flow'!$F$65:$AJ$65))</f>
        <v>-352326.35632308509</v>
      </c>
      <c r="L25" s="149">
        <f>IF($B25&gt;Inputs!$G$15,"",LOOKUP($B25,'Cash Flow'!$F$2:$AJ$2,'Cash Flow'!$F$64:$AJ$64)+LOOKUP($B25,'Cash Flow'!$F$2:$AJ$2,'Cash Flow'!$F$66:$AJ$66))</f>
        <v>-93513.630874199021</v>
      </c>
      <c r="M25" s="149">
        <f>IF($B25&gt;Inputs!$G$15,"",H25+K25+L25)</f>
        <v>723891.8128897826</v>
      </c>
      <c r="N25" s="149">
        <f>IF($B25&gt;Inputs!$G$15,N24,N24+M25)</f>
        <v>6227666.1397091448</v>
      </c>
      <c r="O25" s="152">
        <f>IF($B25&gt;Inputs!$G$15,"",LOOKUP($B25,'Cash Flow'!$F$2:$AJ$2,'Cash Flow'!$F$68:$AJ$68))</f>
        <v>0.14543436351811012</v>
      </c>
      <c r="P25" s="153" t="str">
        <f>IF($B25&gt;Inputs!$G$15,"",LOOKUP($B25,'Cash Flow'!$F$2:$AJ$2,'Cash Flow'!$F$41:$AJ$41))</f>
        <v>N/A</v>
      </c>
      <c r="R25" s="343">
        <f>IF($B25&gt;Inputs!$G$15,"",D25+K25+L25)</f>
        <v>831172.57238640089</v>
      </c>
      <c r="S25" s="344">
        <f>IF($B25&gt;Inputs!$G$15,"",-(E25+F25+G25))</f>
        <v>107280.75949661828</v>
      </c>
    </row>
    <row r="26" spans="2:19" x14ac:dyDescent="0.2">
      <c r="B26" s="155">
        <v>20</v>
      </c>
      <c r="C26" s="151">
        <f>IF($B26&gt;Inputs!$G$15,"",IF($B26&lt;=Inputs!$Q$8,LOOKUP($B26,'Cash Flow'!$F$2:$AJ$2,'Cash Flow'!$F$14:$AJ$14),LOOKUP($B26,'Cash Flow'!$F$2:$AJ$2,'Cash Flow'!$F$16:$AJ$16)))</f>
        <v>40.572191154899215</v>
      </c>
      <c r="D26" s="149">
        <f>IF($B26&gt;Inputs!$G$15,"",LOOKUP($B26,'Cash Flow'!$F$2:$AJ$2,'Cash Flow'!$F$23:$AJ$23))</f>
        <v>1289826.0930849053</v>
      </c>
      <c r="E26" s="149">
        <f>IF($B26&gt;Inputs!$G$15,"",LOOKUP($B26,'Cash Flow'!$F$2:$AJ$2,'Cash Flow'!$F$35:$AJ$35))</f>
        <v>-172079.47877541164</v>
      </c>
      <c r="F26" s="149">
        <f>IF($B26&gt;Inputs!$G$15,"",LOOKUP($B26,'Cash Flow'!$F$2:$AJ$2,'Cash Flow'!$F$85:$AJ$85))</f>
        <v>0</v>
      </c>
      <c r="G26" s="149">
        <f>IF($B26&gt;Inputs!$G$15,"",LOOKUP($B26,'Cash Flow'!$F$2:$AJ$2,'Cash Flow'!$F$47:$AJ$47)+LOOKUP($B26,'Cash Flow'!$F$2:$AJ$2,'Cash Flow'!$F$48:$AJ$48))</f>
        <v>0</v>
      </c>
      <c r="H26" s="149">
        <f>IF($B26&gt;Inputs!$G$15,"",SUM(D26:G26))</f>
        <v>1117746.6143094937</v>
      </c>
      <c r="I26" s="149">
        <f>IF($B26&gt;Inputs!$G$15,"",LOOKUP($B26,'Cash Flow'!$F$2:$AJ$2,'Cash Flow'!$F$60:$AJ$60))</f>
        <v>1003363.9921817065</v>
      </c>
      <c r="J26" s="149">
        <f>IF($B26&gt;Inputs!$G$15,"",LOOKUP($B26,'Cash Flow'!$F$2:$AJ$2,'Cash Flow'!$F$61:$AJ$61))</f>
        <v>1003363.9921817065</v>
      </c>
      <c r="K26" s="149">
        <f>IF($B26&gt;Inputs!$G$15,"",LOOKUP($B26,'Cash Flow'!$F$2:$AJ$2,'Cash Flow'!$F$63:$AJ$63)+LOOKUP($B26,'Cash Flow'!$F$2:$AJ$2,'Cash Flow'!$F$65:$AJ$65))</f>
        <v>-321327.31849619147</v>
      </c>
      <c r="L26" s="149">
        <f>IF($B26&gt;Inputs!$G$15,"",LOOKUP($B26,'Cash Flow'!$F$2:$AJ$2,'Cash Flow'!$F$64:$AJ$64)+LOOKUP($B26,'Cash Flow'!$F$2:$AJ$2,'Cash Flow'!$F$66:$AJ$66))</f>
        <v>-85285.939335445059</v>
      </c>
      <c r="M26" s="149">
        <f>IF($B26&gt;Inputs!$G$15,"",H26+K26+L26)</f>
        <v>711133.35647785722</v>
      </c>
      <c r="N26" s="149">
        <f>IF($B26&gt;Inputs!$G$15,N25,N25+M26)</f>
        <v>6938799.4961870024</v>
      </c>
      <c r="O26" s="152">
        <f>IF($B26&gt;Inputs!$G$15,"",LOOKUP($B26,'Cash Flow'!$F$2:$AJ$2,'Cash Flow'!$F$68:$AJ$68))</f>
        <v>0.14796073140620036</v>
      </c>
      <c r="P26" s="153" t="str">
        <f>IF($B26&gt;Inputs!$G$15,"",LOOKUP($B26,'Cash Flow'!$F$2:$AJ$2,'Cash Flow'!$F$41:$AJ$41))</f>
        <v>N/A</v>
      </c>
      <c r="R26" s="343">
        <f>IF($B26&gt;Inputs!$G$15,"",D26+K26+L26)</f>
        <v>883212.83525326883</v>
      </c>
      <c r="S26" s="344">
        <f>IF($B26&gt;Inputs!$G$15,"",-(E26+F26+G26))</f>
        <v>172079.47877541164</v>
      </c>
    </row>
    <row r="27" spans="2:19" x14ac:dyDescent="0.2">
      <c r="B27" s="150">
        <v>21</v>
      </c>
      <c r="C27" s="151">
        <f>IF($B27&gt;Inputs!$G$15,"",IF($B27&lt;=Inputs!$Q$8,LOOKUP($B27,'Cash Flow'!$F$2:$AJ$2,'Cash Flow'!$F$14:$AJ$14),LOOKUP($B27,'Cash Flow'!$F$2:$AJ$2,'Cash Flow'!$F$16:$AJ$16)))</f>
        <v>9.0305561733470743</v>
      </c>
      <c r="D27" s="149">
        <f>IF($B27&gt;Inputs!$G$15,"",LOOKUP($B27,'Cash Flow'!$F$2:$AJ$2,'Cash Flow'!$F$23:$AJ$23))</f>
        <v>285717.32093636884</v>
      </c>
      <c r="E27" s="149">
        <f>IF($B27&gt;Inputs!$G$15,"",LOOKUP($B27,'Cash Flow'!$F$2:$AJ$2,'Cash Flow'!$F$35:$AJ$35))</f>
        <v>-143469.76736786455</v>
      </c>
      <c r="F27" s="149">
        <f>IF($B27&gt;Inputs!$G$15,"",LOOKUP($B27,'Cash Flow'!$F$2:$AJ$2,'Cash Flow'!$F$85:$AJ$85))</f>
        <v>0</v>
      </c>
      <c r="G27" s="149">
        <f>IF($B27&gt;Inputs!$G$15,"",LOOKUP($B27,'Cash Flow'!$F$2:$AJ$2,'Cash Flow'!$F$47:$AJ$47)+LOOKUP($B27,'Cash Flow'!$F$2:$AJ$2,'Cash Flow'!$F$48:$AJ$48))</f>
        <v>0</v>
      </c>
      <c r="H27" s="149">
        <f>IF($B27&gt;Inputs!$G$15,"",SUM(D27:G27))</f>
        <v>142247.55356850429</v>
      </c>
      <c r="I27" s="149">
        <f>IF($B27&gt;Inputs!$G$15,"",LOOKUP($B27,'Cash Flow'!$F$2:$AJ$2,'Cash Flow'!$F$60:$AJ$60))</f>
        <v>0</v>
      </c>
      <c r="J27" s="149">
        <f>IF($B27&gt;Inputs!$G$15,"",LOOKUP($B27,'Cash Flow'!$F$2:$AJ$2,'Cash Flow'!$F$61:$AJ$61))</f>
        <v>0</v>
      </c>
      <c r="K27" s="149">
        <f>IF($B27&gt;Inputs!$G$15,"",LOOKUP($B27,'Cash Flow'!$F$2:$AJ$2,'Cash Flow'!$F$63:$AJ$63)+LOOKUP($B27,'Cash Flow'!$F$2:$AJ$2,'Cash Flow'!$F$65:$AJ$65))</f>
        <v>0</v>
      </c>
      <c r="L27" s="149">
        <f>IF($B27&gt;Inputs!$G$15,"",LOOKUP($B27,'Cash Flow'!$F$2:$AJ$2,'Cash Flow'!$F$64:$AJ$64)+LOOKUP($B27,'Cash Flow'!$F$2:$AJ$2,'Cash Flow'!$F$66:$AJ$66))</f>
        <v>0</v>
      </c>
      <c r="M27" s="149">
        <f>IF($B27&gt;Inputs!$G$15,"",H27+K27+L27)</f>
        <v>142247.55356850429</v>
      </c>
      <c r="N27" s="149">
        <f>IF($B27&gt;Inputs!$G$15,N26,N26+M27)</f>
        <v>7081047.0497555062</v>
      </c>
      <c r="O27" s="152">
        <f>IF($B27&gt;Inputs!$G$15,"",LOOKUP($B27,'Cash Flow'!$F$2:$AJ$2,'Cash Flow'!$F$68:$AJ$68))</f>
        <v>0.14838454170021298</v>
      </c>
      <c r="P27" s="153" t="str">
        <f>IF($B27&gt;Inputs!$G$15,"",LOOKUP($B27,'Cash Flow'!$F$2:$AJ$2,'Cash Flow'!$F$41:$AJ$41))</f>
        <v>N/A</v>
      </c>
      <c r="R27" s="343">
        <f>IF($B27&gt;Inputs!$G$15,"",D27+K27+L27)</f>
        <v>285717.32093636884</v>
      </c>
      <c r="S27" s="344">
        <f>IF($B27&gt;Inputs!$G$15,"",-(E27+F27+G27))</f>
        <v>143469.76736786455</v>
      </c>
    </row>
    <row r="28" spans="2:19" x14ac:dyDescent="0.2">
      <c r="B28" s="150">
        <v>22</v>
      </c>
      <c r="C28" s="151">
        <f>IF($B28&gt;Inputs!$G$15,"",IF($B28&lt;=Inputs!$Q$8,LOOKUP($B28,'Cash Flow'!$F$2:$AJ$2,'Cash Flow'!$F$14:$AJ$14),LOOKUP($B28,'Cash Flow'!$F$2:$AJ$2,'Cash Flow'!$F$16:$AJ$16)))</f>
        <v>9.301472858547486</v>
      </c>
      <c r="D28" s="149">
        <f>IF($B28&gt;Inputs!$G$15,"",LOOKUP($B28,'Cash Flow'!$F$2:$AJ$2,'Cash Flow'!$F$23:$AJ$23))</f>
        <v>292777.27252453711</v>
      </c>
      <c r="E28" s="149">
        <f>IF($B28&gt;Inputs!$G$15,"",LOOKUP($B28,'Cash Flow'!$F$2:$AJ$2,'Cash Flow'!$F$35:$AJ$35))</f>
        <v>-145133.37298616848</v>
      </c>
      <c r="F28" s="149">
        <f>IF($B28&gt;Inputs!$G$15,"",LOOKUP($B28,'Cash Flow'!$F$2:$AJ$2,'Cash Flow'!$F$85:$AJ$85))</f>
        <v>0</v>
      </c>
      <c r="G28" s="149">
        <f>IF($B28&gt;Inputs!$G$15,"",LOOKUP($B28,'Cash Flow'!$F$2:$AJ$2,'Cash Flow'!$F$47:$AJ$47)+LOOKUP($B28,'Cash Flow'!$F$2:$AJ$2,'Cash Flow'!$F$48:$AJ$48))</f>
        <v>0</v>
      </c>
      <c r="H28" s="149">
        <f>IF($B28&gt;Inputs!$G$15,"",SUM(D28:G28))</f>
        <v>147643.89953836863</v>
      </c>
      <c r="I28" s="149">
        <f>IF($B28&gt;Inputs!$G$15,"",LOOKUP($B28,'Cash Flow'!$F$2:$AJ$2,'Cash Flow'!$F$60:$AJ$60))</f>
        <v>10632.142042979307</v>
      </c>
      <c r="J28" s="149">
        <f>IF($B28&gt;Inputs!$G$15,"",LOOKUP($B28,'Cash Flow'!$F$2:$AJ$2,'Cash Flow'!$F$61:$AJ$61))</f>
        <v>10632.142042979307</v>
      </c>
      <c r="K28" s="149">
        <f>IF($B28&gt;Inputs!$G$15,"",LOOKUP($B28,'Cash Flow'!$F$2:$AJ$2,'Cash Flow'!$F$63:$AJ$63)+LOOKUP($B28,'Cash Flow'!$F$2:$AJ$2,'Cash Flow'!$F$65:$AJ$65))</f>
        <v>-3404.9434892641225</v>
      </c>
      <c r="L28" s="149">
        <f>IF($B28&gt;Inputs!$G$15,"",LOOKUP($B28,'Cash Flow'!$F$2:$AJ$2,'Cash Flow'!$F$64:$AJ$64)+LOOKUP($B28,'Cash Flow'!$F$2:$AJ$2,'Cash Flow'!$F$66:$AJ$66))</f>
        <v>-903.73207365324117</v>
      </c>
      <c r="M28" s="149">
        <f>IF($B28&gt;Inputs!$G$15,"",H28+K28+L28)</f>
        <v>143335.22397545128</v>
      </c>
      <c r="N28" s="149">
        <f>IF($B28&gt;Inputs!$G$15,N27,N27+M28)</f>
        <v>7224382.2737309579</v>
      </c>
      <c r="O28" s="152">
        <f>IF($B28&gt;Inputs!$G$15,"",LOOKUP($B28,'Cash Flow'!$F$2:$AJ$2,'Cash Flow'!$F$68:$AJ$68))</f>
        <v>0.14875231856974191</v>
      </c>
      <c r="P28" s="153" t="str">
        <f>IF($B28&gt;Inputs!$G$15,"",LOOKUP($B28,'Cash Flow'!$F$2:$AJ$2,'Cash Flow'!$F$41:$AJ$41))</f>
        <v>N/A</v>
      </c>
      <c r="R28" s="343">
        <f>IF($B28&gt;Inputs!$G$15,"",D28+K28+L28)</f>
        <v>288468.59696161974</v>
      </c>
      <c r="S28" s="344">
        <f>IF($B28&gt;Inputs!$G$15,"",-(E28+F28+G28))</f>
        <v>145133.37298616848</v>
      </c>
    </row>
    <row r="29" spans="2:19" x14ac:dyDescent="0.2">
      <c r="B29" s="155">
        <v>23</v>
      </c>
      <c r="C29" s="151">
        <f>IF($B29&gt;Inputs!$G$15,"",IF($B29&lt;=Inputs!$Q$8,LOOKUP($B29,'Cash Flow'!$F$2:$AJ$2,'Cash Flow'!$F$14:$AJ$14),LOOKUP($B29,'Cash Flow'!$F$2:$AJ$2,'Cash Flow'!$F$16:$AJ$16)))</f>
        <v>9.5805170443039103</v>
      </c>
      <c r="D29" s="149">
        <f>IF($B29&gt;Inputs!$G$15,"",LOOKUP($B29,'Cash Flow'!$F$2:$AJ$2,'Cash Flow'!$F$23:$AJ$23))</f>
        <v>300012.66390967125</v>
      </c>
      <c r="E29" s="149">
        <f>IF($B29&gt;Inputs!$G$15,"",LOOKUP($B29,'Cash Flow'!$F$2:$AJ$2,'Cash Flow'!$F$35:$AJ$35))</f>
        <v>-146895.96119823214</v>
      </c>
      <c r="F29" s="149">
        <f>IF($B29&gt;Inputs!$G$15,"",LOOKUP($B29,'Cash Flow'!$F$2:$AJ$2,'Cash Flow'!$F$85:$AJ$85))</f>
        <v>0</v>
      </c>
      <c r="G29" s="149">
        <f>IF($B29&gt;Inputs!$G$15,"",LOOKUP($B29,'Cash Flow'!$F$2:$AJ$2,'Cash Flow'!$F$47:$AJ$47)+LOOKUP($B29,'Cash Flow'!$F$2:$AJ$2,'Cash Flow'!$F$48:$AJ$48))</f>
        <v>0</v>
      </c>
      <c r="H29" s="149">
        <f>IF($B29&gt;Inputs!$G$15,"",SUM(D29:G29))</f>
        <v>153116.70271143911</v>
      </c>
      <c r="I29" s="149">
        <f>IF($B29&gt;Inputs!$G$15,"",LOOKUP($B29,'Cash Flow'!$F$2:$AJ$2,'Cash Flow'!$F$60:$AJ$60))</f>
        <v>91023.902711439121</v>
      </c>
      <c r="J29" s="149">
        <f>IF($B29&gt;Inputs!$G$15,"",LOOKUP($B29,'Cash Flow'!$F$2:$AJ$2,'Cash Flow'!$F$61:$AJ$61))</f>
        <v>91023.902711439121</v>
      </c>
      <c r="K29" s="149">
        <f>IF($B29&gt;Inputs!$G$15,"",LOOKUP($B29,'Cash Flow'!$F$2:$AJ$2,'Cash Flow'!$F$63:$AJ$63)+LOOKUP($B29,'Cash Flow'!$F$2:$AJ$2,'Cash Flow'!$F$65:$AJ$65))</f>
        <v>-29150.404843338376</v>
      </c>
      <c r="L29" s="149">
        <f>IF($B29&gt;Inputs!$G$15,"",LOOKUP($B29,'Cash Flow'!$F$2:$AJ$2,'Cash Flow'!$F$64:$AJ$64)+LOOKUP($B29,'Cash Flow'!$F$2:$AJ$2,'Cash Flow'!$F$66:$AJ$66))</f>
        <v>-7737.0317304723258</v>
      </c>
      <c r="M29" s="149">
        <f>IF($B29&gt;Inputs!$G$15,"",H29+K29+L29)</f>
        <v>116229.26613762841</v>
      </c>
      <c r="N29" s="149">
        <f>IF($B29&gt;Inputs!$G$15,N28,N28+M29)</f>
        <v>7340611.5398685867</v>
      </c>
      <c r="O29" s="152">
        <f>IF($B29&gt;Inputs!$G$15,"",LOOKUP($B29,'Cash Flow'!$F$2:$AJ$2,'Cash Flow'!$F$68:$AJ$68))</f>
        <v>0.14900954229678409</v>
      </c>
      <c r="P29" s="153" t="str">
        <f>IF($B29&gt;Inputs!$G$15,"",LOOKUP($B29,'Cash Flow'!$F$2:$AJ$2,'Cash Flow'!$F$41:$AJ$41))</f>
        <v>N/A</v>
      </c>
      <c r="R29" s="343">
        <f>IF($B29&gt;Inputs!$G$15,"",D29+K29+L29)</f>
        <v>263125.22733586055</v>
      </c>
      <c r="S29" s="344">
        <f>IF($B29&gt;Inputs!$G$15,"",-(E29+F29+G29))</f>
        <v>146895.96119823214</v>
      </c>
    </row>
    <row r="30" spans="2:19" x14ac:dyDescent="0.2">
      <c r="B30" s="150">
        <v>24</v>
      </c>
      <c r="C30" s="151">
        <f>IF($B30&gt;Inputs!$G$15,"",IF($B30&lt;=Inputs!$Q$8,LOOKUP($B30,'Cash Flow'!$F$2:$AJ$2,'Cash Flow'!$F$14:$AJ$14),LOOKUP($B30,'Cash Flow'!$F$2:$AJ$2,'Cash Flow'!$F$16:$AJ$16)))</f>
        <v>9.8679325556330273</v>
      </c>
      <c r="D30" s="149">
        <f>IF($B30&gt;Inputs!$G$15,"",LOOKUP($B30,'Cash Flow'!$F$2:$AJ$2,'Cash Flow'!$F$23:$AJ$23))</f>
        <v>307427.85477072606</v>
      </c>
      <c r="E30" s="149">
        <f>IF($B30&gt;Inputs!$G$15,"",LOOKUP($B30,'Cash Flow'!$F$2:$AJ$2,'Cash Flow'!$F$35:$AJ$35))</f>
        <v>-148752.11059707098</v>
      </c>
      <c r="F30" s="149">
        <f>IF($B30&gt;Inputs!$G$15,"",LOOKUP($B30,'Cash Flow'!$F$2:$AJ$2,'Cash Flow'!$F$85:$AJ$85))</f>
        <v>0</v>
      </c>
      <c r="G30" s="149">
        <f>IF($B30&gt;Inputs!$G$15,"",LOOKUP($B30,'Cash Flow'!$F$2:$AJ$2,'Cash Flow'!$F$47:$AJ$47)+LOOKUP($B30,'Cash Flow'!$F$2:$AJ$2,'Cash Flow'!$F$48:$AJ$48))</f>
        <v>0</v>
      </c>
      <c r="H30" s="149">
        <f>IF($B30&gt;Inputs!$G$15,"",SUM(D30:G30))</f>
        <v>158675.74417365508</v>
      </c>
      <c r="I30" s="149">
        <f>IF($B30&gt;Inputs!$G$15,"",LOOKUP($B30,'Cash Flow'!$F$2:$AJ$2,'Cash Flow'!$F$60:$AJ$60))</f>
        <v>96582.944173655094</v>
      </c>
      <c r="J30" s="149">
        <f>IF($B30&gt;Inputs!$G$15,"",LOOKUP($B30,'Cash Flow'!$F$2:$AJ$2,'Cash Flow'!$F$61:$AJ$61))</f>
        <v>96582.944173655094</v>
      </c>
      <c r="K30" s="149">
        <f>IF($B30&gt;Inputs!$G$15,"",LOOKUP($B30,'Cash Flow'!$F$2:$AJ$2,'Cash Flow'!$F$63:$AJ$63)+LOOKUP($B30,'Cash Flow'!$F$2:$AJ$2,'Cash Flow'!$F$65:$AJ$65))</f>
        <v>-30930.687871613041</v>
      </c>
      <c r="L30" s="149">
        <f>IF($B30&gt;Inputs!$G$15,"",LOOKUP($B30,'Cash Flow'!$F$2:$AJ$2,'Cash Flow'!$F$64:$AJ$64)+LOOKUP($B30,'Cash Flow'!$F$2:$AJ$2,'Cash Flow'!$F$66:$AJ$66))</f>
        <v>-8209.5502547606829</v>
      </c>
      <c r="M30" s="149">
        <f>IF($B30&gt;Inputs!$G$15,"",H30+K30+L30)</f>
        <v>119535.50604728135</v>
      </c>
      <c r="N30" s="149">
        <f>IF($B30&gt;Inputs!$G$15,N29,N29+M30)</f>
        <v>7460147.0459158681</v>
      </c>
      <c r="O30" s="152">
        <f>IF($B30&gt;Inputs!$G$15,"",LOOKUP($B30,'Cash Flow'!$F$2:$AJ$2,'Cash Flow'!$F$68:$AJ$68))</f>
        <v>0.14923803100303301</v>
      </c>
      <c r="P30" s="153" t="str">
        <f>IF($B30&gt;Inputs!$G$15,"",LOOKUP($B30,'Cash Flow'!$F$2:$AJ$2,'Cash Flow'!$F$41:$AJ$41))</f>
        <v>N/A</v>
      </c>
      <c r="R30" s="343">
        <f>IF($B30&gt;Inputs!$G$15,"",D30+K30+L30)</f>
        <v>268287.61664435238</v>
      </c>
      <c r="S30" s="344">
        <f>IF($B30&gt;Inputs!$G$15,"",-(E30+F30+G30))</f>
        <v>148752.11059707098</v>
      </c>
    </row>
    <row r="31" spans="2:19" x14ac:dyDescent="0.2">
      <c r="B31" s="150">
        <v>25</v>
      </c>
      <c r="C31" s="151">
        <f>IF($B31&gt;Inputs!$G$15,"",IF($B31&lt;=Inputs!$Q$8,LOOKUP($B31,'Cash Flow'!$F$2:$AJ$2,'Cash Flow'!$F$14:$AJ$14),LOOKUP($B31,'Cash Flow'!$F$2:$AJ$2,'Cash Flow'!$F$16:$AJ$16)))</f>
        <v>10.163970532302018</v>
      </c>
      <c r="D31" s="149">
        <f>IF($B31&gt;Inputs!$G$15,"",LOOKUP($B31,'Cash Flow'!$F$2:$AJ$2,'Cash Flow'!$F$23:$AJ$23))</f>
        <v>314219.99245867127</v>
      </c>
      <c r="E31" s="149">
        <f>IF($B31&gt;Inputs!$G$15,"",LOOKUP($B31,'Cash Flow'!$F$2:$AJ$2,'Cash Flow'!$F$35:$AJ$35))</f>
        <v>-150697.01933242136</v>
      </c>
      <c r="F31" s="149">
        <f>IF($B31&gt;Inputs!$G$15,"",LOOKUP($B31,'Cash Flow'!$F$2:$AJ$2,'Cash Flow'!$F$85:$AJ$85))</f>
        <v>0</v>
      </c>
      <c r="G31" s="149">
        <f>IF($B31&gt;Inputs!$G$15,"",LOOKUP($B31,'Cash Flow'!$F$2:$AJ$2,'Cash Flow'!$F$47:$AJ$47)+LOOKUP($B31,'Cash Flow'!$F$2:$AJ$2,'Cash Flow'!$F$48:$AJ$48))</f>
        <v>80732.066600681384</v>
      </c>
      <c r="H31" s="149">
        <f>IF($B31&gt;Inputs!$G$15,"",SUM(D31:G31))</f>
        <v>244255.03972693131</v>
      </c>
      <c r="I31" s="149">
        <f>IF($B31&gt;Inputs!$G$15,"",LOOKUP($B31,'Cash Flow'!$F$2:$AJ$2,'Cash Flow'!$F$60:$AJ$60))</f>
        <v>132476.57312624992</v>
      </c>
      <c r="J31" s="149">
        <f>IF($B31&gt;Inputs!$G$15,"",LOOKUP($B31,'Cash Flow'!$F$2:$AJ$2,'Cash Flow'!$F$61:$AJ$61))</f>
        <v>132476.57312624992</v>
      </c>
      <c r="K31" s="149">
        <f>IF($B31&gt;Inputs!$G$15,"",LOOKUP($B31,'Cash Flow'!$F$2:$AJ$2,'Cash Flow'!$F$63:$AJ$63)+LOOKUP($B31,'Cash Flow'!$F$2:$AJ$2,'Cash Flow'!$F$65:$AJ$65))</f>
        <v>-42425.622543681537</v>
      </c>
      <c r="L31" s="149">
        <f>IF($B31&gt;Inputs!$G$15,"",LOOKUP($B31,'Cash Flow'!$F$2:$AJ$2,'Cash Flow'!$F$64:$AJ$64)+LOOKUP($B31,'Cash Flow'!$F$2:$AJ$2,'Cash Flow'!$F$66:$AJ$66))</f>
        <v>-11260.508715731245</v>
      </c>
      <c r="M31" s="149">
        <f>IF($B31&gt;Inputs!$G$15,"",H31+K31+L31)</f>
        <v>190568.90846751854</v>
      </c>
      <c r="N31" s="149">
        <f>IF($B31&gt;Inputs!$G$15,N30,N30+M31)</f>
        <v>7650715.9543833863</v>
      </c>
      <c r="O31" s="152">
        <f>IF($B31&gt;Inputs!$G$15,"",LOOKUP($B31,'Cash Flow'!$F$2:$AJ$2,'Cash Flow'!$F$68:$AJ$68))</f>
        <v>0.14955215307018221</v>
      </c>
      <c r="P31" s="153" t="str">
        <f>IF($B31&gt;Inputs!$G$15,"",LOOKUP($B31,'Cash Flow'!$F$2:$AJ$2,'Cash Flow'!$F$41:$AJ$41))</f>
        <v>N/A</v>
      </c>
      <c r="R31" s="343">
        <f>IF($B31&gt;Inputs!$G$15,"",D31+K31+L31)</f>
        <v>260533.86119925851</v>
      </c>
      <c r="S31" s="344">
        <f>IF($B31&gt;Inputs!$G$15,"",-(E31+F31+G31))</f>
        <v>69964.952731739977</v>
      </c>
    </row>
    <row r="32" spans="2:19" x14ac:dyDescent="0.2">
      <c r="B32" s="155">
        <v>26</v>
      </c>
      <c r="C32" s="151" t="str">
        <f>IF($B32&gt;Inputs!$G$15,"",IF($B32&lt;=Inputs!$Q$8,LOOKUP($B32,'Cash Flow'!$F$2:$AJ$2,'Cash Flow'!$F$14:$AJ$14),LOOKUP($B32,'Cash Flow'!$F$2:$AJ$2,'Cash Flow'!$F$16:$AJ$16)))</f>
        <v/>
      </c>
      <c r="D32" s="149" t="str">
        <f>IF($B32&gt;Inputs!$G$15,"",LOOKUP($B32,'Cash Flow'!$F$2:$AJ$2,'Cash Flow'!$F$23:$AJ$23))</f>
        <v/>
      </c>
      <c r="E32" s="149" t="str">
        <f>IF($B32&gt;Inputs!$G$15,"",LOOKUP($B32,'Cash Flow'!$F$2:$AJ$2,'Cash Flow'!$F$35:$AJ$35))</f>
        <v/>
      </c>
      <c r="F32" s="149" t="str">
        <f>IF($B32&gt;Inputs!$G$15,"",LOOKUP($B32,'Cash Flow'!$F$2:$AJ$2,'Cash Flow'!$F$85:$AJ$85))</f>
        <v/>
      </c>
      <c r="G32" s="149" t="str">
        <f>IF($B32&gt;Inputs!$G$15,"",LOOKUP($B32,'Cash Flow'!$F$2:$AJ$2,'Cash Flow'!$F$47:$AJ$47)+LOOKUP($B32,'Cash Flow'!$F$2:$AJ$2,'Cash Flow'!$F$48:$AJ$48))</f>
        <v/>
      </c>
      <c r="H32" s="149" t="str">
        <f>IF($B32&gt;Inputs!$G$15,"",SUM(D32:G32))</f>
        <v/>
      </c>
      <c r="I32" s="149" t="str">
        <f>IF($B32&gt;Inputs!$G$15,"",LOOKUP($B32,'Cash Flow'!$F$2:$AJ$2,'Cash Flow'!$F$60:$AJ$60))</f>
        <v/>
      </c>
      <c r="J32" s="149" t="str">
        <f>IF($B32&gt;Inputs!$G$15,"",LOOKUP($B32,'Cash Flow'!$F$2:$AJ$2,'Cash Flow'!$F$61:$AJ$61))</f>
        <v/>
      </c>
      <c r="K32" s="149" t="str">
        <f>IF($B32&gt;Inputs!$G$15,"",LOOKUP($B32,'Cash Flow'!$F$2:$AJ$2,'Cash Flow'!$F$63:$AJ$63)+LOOKUP($B32,'Cash Flow'!$F$2:$AJ$2,'Cash Flow'!$F$65:$AJ$65))</f>
        <v/>
      </c>
      <c r="L32" s="149" t="str">
        <f>IF($B32&gt;Inputs!$G$15,"",LOOKUP($B32,'Cash Flow'!$F$2:$AJ$2,'Cash Flow'!$F$64:$AJ$64)+LOOKUP($B32,'Cash Flow'!$F$2:$AJ$2,'Cash Flow'!$F$66:$AJ$66))</f>
        <v/>
      </c>
      <c r="M32" s="149" t="str">
        <f>IF($B32&gt;Inputs!$G$15,"",H32+K32+L32)</f>
        <v/>
      </c>
      <c r="N32" s="149">
        <f>IF($B32&gt;Inputs!$G$15,N31,N31+M32)</f>
        <v>7650715.9543833863</v>
      </c>
      <c r="O32" s="152" t="str">
        <f>IF($B32&gt;Inputs!$G$15,"",LOOKUP($B32,'Cash Flow'!$F$2:$AJ$2,'Cash Flow'!$F$68:$AJ$68))</f>
        <v/>
      </c>
      <c r="P32" s="153" t="str">
        <f>IF($B32&gt;Inputs!$G$15,"",LOOKUP($B32,'Cash Flow'!$F$2:$AJ$2,'Cash Flow'!$F$41:$AJ$41))</f>
        <v/>
      </c>
      <c r="R32" s="343" t="str">
        <f>IF($B32&gt;Inputs!$G$15,"",D32+K32+L32)</f>
        <v/>
      </c>
      <c r="S32" s="344" t="str">
        <f>IF($B32&gt;Inputs!$G$15,"",-(E32+F32+G32))</f>
        <v/>
      </c>
    </row>
    <row r="33" spans="2:19" x14ac:dyDescent="0.2">
      <c r="B33" s="150">
        <v>27</v>
      </c>
      <c r="C33" s="151" t="str">
        <f>IF($B33&gt;Inputs!$G$15,"",IF($B33&lt;=Inputs!$Q$8,LOOKUP($B33,'Cash Flow'!$F$2:$AJ$2,'Cash Flow'!$F$14:$AJ$14),LOOKUP($B33,'Cash Flow'!$F$2:$AJ$2,'Cash Flow'!$F$16:$AJ$16)))</f>
        <v/>
      </c>
      <c r="D33" s="149" t="str">
        <f>IF($B33&gt;Inputs!$G$15,"",LOOKUP($B33,'Cash Flow'!$F$2:$AJ$2,'Cash Flow'!$F$23:$AJ$23))</f>
        <v/>
      </c>
      <c r="E33" s="149" t="str">
        <f>IF($B33&gt;Inputs!$G$15,"",LOOKUP($B33,'Cash Flow'!$F$2:$AJ$2,'Cash Flow'!$F$35:$AJ$35))</f>
        <v/>
      </c>
      <c r="F33" s="149" t="str">
        <f>IF($B33&gt;Inputs!$G$15,"",LOOKUP($B33,'Cash Flow'!$F$2:$AJ$2,'Cash Flow'!$F$85:$AJ$85))</f>
        <v/>
      </c>
      <c r="G33" s="149" t="str">
        <f>IF($B33&gt;Inputs!$G$15,"",LOOKUP($B33,'Cash Flow'!$F$2:$AJ$2,'Cash Flow'!$F$47:$AJ$47)+LOOKUP($B33,'Cash Flow'!$F$2:$AJ$2,'Cash Flow'!$F$48:$AJ$48))</f>
        <v/>
      </c>
      <c r="H33" s="149" t="str">
        <f>IF($B33&gt;Inputs!$G$15,"",SUM(D33:G33))</f>
        <v/>
      </c>
      <c r="I33" s="149" t="str">
        <f>IF($B33&gt;Inputs!$G$15,"",LOOKUP($B33,'Cash Flow'!$F$2:$AJ$2,'Cash Flow'!$F$60:$AJ$60))</f>
        <v/>
      </c>
      <c r="J33" s="149" t="str">
        <f>IF($B33&gt;Inputs!$G$15,"",LOOKUP($B33,'Cash Flow'!$F$2:$AJ$2,'Cash Flow'!$F$61:$AJ$61))</f>
        <v/>
      </c>
      <c r="K33" s="149" t="str">
        <f>IF($B33&gt;Inputs!$G$15,"",LOOKUP($B33,'Cash Flow'!$F$2:$AJ$2,'Cash Flow'!$F$63:$AJ$63)+LOOKUP($B33,'Cash Flow'!$F$2:$AJ$2,'Cash Flow'!$F$65:$AJ$65))</f>
        <v/>
      </c>
      <c r="L33" s="149" t="str">
        <f>IF($B33&gt;Inputs!$G$15,"",LOOKUP($B33,'Cash Flow'!$F$2:$AJ$2,'Cash Flow'!$F$64:$AJ$64)+LOOKUP($B33,'Cash Flow'!$F$2:$AJ$2,'Cash Flow'!$F$66:$AJ$66))</f>
        <v/>
      </c>
      <c r="M33" s="149" t="str">
        <f>IF($B33&gt;Inputs!$G$15,"",H33+K33+L33)</f>
        <v/>
      </c>
      <c r="N33" s="149">
        <f>IF($B33&gt;Inputs!$G$15,N32,N32+M33)</f>
        <v>7650715.9543833863</v>
      </c>
      <c r="O33" s="152" t="str">
        <f>IF($B33&gt;Inputs!$G$15,"",LOOKUP($B33,'Cash Flow'!$F$2:$AJ$2,'Cash Flow'!$F$68:$AJ$68))</f>
        <v/>
      </c>
      <c r="P33" s="153" t="str">
        <f>IF($B33&gt;Inputs!$G$15,"",LOOKUP($B33,'Cash Flow'!$F$2:$AJ$2,'Cash Flow'!$F$41:$AJ$41))</f>
        <v/>
      </c>
      <c r="R33" s="343" t="str">
        <f>IF($B33&gt;Inputs!$G$15,"",D33+K33+L33)</f>
        <v/>
      </c>
      <c r="S33" s="344" t="str">
        <f>IF($B33&gt;Inputs!$G$15,"",-(E33+F33+G33))</f>
        <v/>
      </c>
    </row>
    <row r="34" spans="2:19" x14ac:dyDescent="0.2">
      <c r="B34" s="150">
        <v>28</v>
      </c>
      <c r="C34" s="151" t="str">
        <f>IF($B34&gt;Inputs!$G$15,"",IF($B34&lt;=Inputs!$Q$8,LOOKUP($B34,'Cash Flow'!$F$2:$AJ$2,'Cash Flow'!$F$14:$AJ$14),LOOKUP($B34,'Cash Flow'!$F$2:$AJ$2,'Cash Flow'!$F$16:$AJ$16)))</f>
        <v/>
      </c>
      <c r="D34" s="149" t="str">
        <f>IF($B34&gt;Inputs!$G$15,"",LOOKUP($B34,'Cash Flow'!$F$2:$AJ$2,'Cash Flow'!$F$23:$AJ$23))</f>
        <v/>
      </c>
      <c r="E34" s="149" t="str">
        <f>IF($B34&gt;Inputs!$G$15,"",LOOKUP($B34,'Cash Flow'!$F$2:$AJ$2,'Cash Flow'!$F$35:$AJ$35))</f>
        <v/>
      </c>
      <c r="F34" s="149" t="str">
        <f>IF($B34&gt;Inputs!$G$15,"",LOOKUP($B34,'Cash Flow'!$F$2:$AJ$2,'Cash Flow'!$F$85:$AJ$85))</f>
        <v/>
      </c>
      <c r="G34" s="149" t="str">
        <f>IF($B34&gt;Inputs!$G$15,"",LOOKUP($B34,'Cash Flow'!$F$2:$AJ$2,'Cash Flow'!$F$47:$AJ$47)+LOOKUP($B34,'Cash Flow'!$F$2:$AJ$2,'Cash Flow'!$F$48:$AJ$48))</f>
        <v/>
      </c>
      <c r="H34" s="149" t="str">
        <f>IF($B34&gt;Inputs!$G$15,"",SUM(D34:G34))</f>
        <v/>
      </c>
      <c r="I34" s="149" t="str">
        <f>IF($B34&gt;Inputs!$G$15,"",LOOKUP($B34,'Cash Flow'!$F$2:$AJ$2,'Cash Flow'!$F$60:$AJ$60))</f>
        <v/>
      </c>
      <c r="J34" s="149" t="str">
        <f>IF($B34&gt;Inputs!$G$15,"",LOOKUP($B34,'Cash Flow'!$F$2:$AJ$2,'Cash Flow'!$F$61:$AJ$61))</f>
        <v/>
      </c>
      <c r="K34" s="149" t="str">
        <f>IF($B34&gt;Inputs!$G$15,"",LOOKUP($B34,'Cash Flow'!$F$2:$AJ$2,'Cash Flow'!$F$63:$AJ$63)+LOOKUP($B34,'Cash Flow'!$F$2:$AJ$2,'Cash Flow'!$F$65:$AJ$65))</f>
        <v/>
      </c>
      <c r="L34" s="149" t="str">
        <f>IF($B34&gt;Inputs!$G$15,"",LOOKUP($B34,'Cash Flow'!$F$2:$AJ$2,'Cash Flow'!$F$64:$AJ$64)+LOOKUP($B34,'Cash Flow'!$F$2:$AJ$2,'Cash Flow'!$F$66:$AJ$66))</f>
        <v/>
      </c>
      <c r="M34" s="149" t="str">
        <f>IF($B34&gt;Inputs!$G$15,"",H34+K34+L34)</f>
        <v/>
      </c>
      <c r="N34" s="149">
        <f>IF($B34&gt;Inputs!$G$15,N33,N33+M34)</f>
        <v>7650715.9543833863</v>
      </c>
      <c r="O34" s="152" t="str">
        <f>IF($B34&gt;Inputs!$G$15,"",LOOKUP($B34,'Cash Flow'!$F$2:$AJ$2,'Cash Flow'!$F$68:$AJ$68))</f>
        <v/>
      </c>
      <c r="P34" s="153" t="str">
        <f>IF($B34&gt;Inputs!$G$15,"",LOOKUP($B34,'Cash Flow'!$F$2:$AJ$2,'Cash Flow'!$F$41:$AJ$41))</f>
        <v/>
      </c>
      <c r="R34" s="343" t="str">
        <f>IF($B34&gt;Inputs!$G$15,"",D34+K34+L34)</f>
        <v/>
      </c>
      <c r="S34" s="344" t="str">
        <f>IF($B34&gt;Inputs!$G$15,"",-(E34+F34+G34))</f>
        <v/>
      </c>
    </row>
    <row r="35" spans="2:19" x14ac:dyDescent="0.2">
      <c r="B35" s="155">
        <v>29</v>
      </c>
      <c r="C35" s="151" t="str">
        <f>IF($B35&gt;Inputs!$G$15,"",IF($B35&lt;=Inputs!$Q$8,LOOKUP($B35,'Cash Flow'!$F$2:$AJ$2,'Cash Flow'!$F$14:$AJ$14),LOOKUP($B35,'Cash Flow'!$F$2:$AJ$2,'Cash Flow'!$F$16:$AJ$16)))</f>
        <v/>
      </c>
      <c r="D35" s="149" t="str">
        <f>IF($B35&gt;Inputs!$G$15,"",LOOKUP($B35,'Cash Flow'!$F$2:$AJ$2,'Cash Flow'!$F$23:$AJ$23))</f>
        <v/>
      </c>
      <c r="E35" s="149" t="str">
        <f>IF($B35&gt;Inputs!$G$15,"",LOOKUP($B35,'Cash Flow'!$F$2:$AJ$2,'Cash Flow'!$F$35:$AJ$35))</f>
        <v/>
      </c>
      <c r="F35" s="149" t="str">
        <f>IF($B35&gt;Inputs!$G$15,"",LOOKUP($B35,'Cash Flow'!$F$2:$AJ$2,'Cash Flow'!$F$85:$AJ$85))</f>
        <v/>
      </c>
      <c r="G35" s="149" t="str">
        <f>IF($B35&gt;Inputs!$G$15,"",LOOKUP($B35,'Cash Flow'!$F$2:$AJ$2,'Cash Flow'!$F$47:$AJ$47)+LOOKUP($B35,'Cash Flow'!$F$2:$AJ$2,'Cash Flow'!$F$48:$AJ$48))</f>
        <v/>
      </c>
      <c r="H35" s="149" t="str">
        <f>IF($B35&gt;Inputs!$G$15,"",SUM(D35:G35))</f>
        <v/>
      </c>
      <c r="I35" s="149" t="str">
        <f>IF($B35&gt;Inputs!$G$15,"",LOOKUP($B35,'Cash Flow'!$F$2:$AJ$2,'Cash Flow'!$F$60:$AJ$60))</f>
        <v/>
      </c>
      <c r="J35" s="149" t="str">
        <f>IF($B35&gt;Inputs!$G$15,"",LOOKUP($B35,'Cash Flow'!$F$2:$AJ$2,'Cash Flow'!$F$61:$AJ$61))</f>
        <v/>
      </c>
      <c r="K35" s="149" t="str">
        <f>IF($B35&gt;Inputs!$G$15,"",LOOKUP($B35,'Cash Flow'!$F$2:$AJ$2,'Cash Flow'!$F$63:$AJ$63)+LOOKUP($B35,'Cash Flow'!$F$2:$AJ$2,'Cash Flow'!$F$65:$AJ$65))</f>
        <v/>
      </c>
      <c r="L35" s="149" t="str">
        <f>IF($B35&gt;Inputs!$G$15,"",LOOKUP($B35,'Cash Flow'!$F$2:$AJ$2,'Cash Flow'!$F$64:$AJ$64)+LOOKUP($B35,'Cash Flow'!$F$2:$AJ$2,'Cash Flow'!$F$66:$AJ$66))</f>
        <v/>
      </c>
      <c r="M35" s="149" t="str">
        <f>IF($B35&gt;Inputs!$G$15,"",H35+K35+L35)</f>
        <v/>
      </c>
      <c r="N35" s="149">
        <f>IF($B35&gt;Inputs!$G$15,N34,N34+M35)</f>
        <v>7650715.9543833863</v>
      </c>
      <c r="O35" s="152" t="str">
        <f>IF($B35&gt;Inputs!$G$15,"",LOOKUP($B35,'Cash Flow'!$F$2:$AJ$2,'Cash Flow'!$F$68:$AJ$68))</f>
        <v/>
      </c>
      <c r="P35" s="153" t="str">
        <f>IF($B35&gt;Inputs!$G$15,"",LOOKUP($B35,'Cash Flow'!$F$2:$AJ$2,'Cash Flow'!$F$41:$AJ$41))</f>
        <v/>
      </c>
      <c r="R35" s="343" t="str">
        <f>IF($B35&gt;Inputs!$G$15,"",D35+K35+L35)</f>
        <v/>
      </c>
      <c r="S35" s="344" t="str">
        <f>IF($B35&gt;Inputs!$G$15,"",-(E35+F35+G35))</f>
        <v/>
      </c>
    </row>
    <row r="36" spans="2:19" x14ac:dyDescent="0.2">
      <c r="B36" s="150">
        <v>30</v>
      </c>
      <c r="C36" s="151" t="str">
        <f>IF($B36&gt;Inputs!$G$15,"",IF($B36&lt;=Inputs!$Q$8,LOOKUP($B36,'Cash Flow'!$F$2:$AJ$2,'Cash Flow'!$F$14:$AJ$14),LOOKUP($B36,'Cash Flow'!$F$2:$AJ$2,'Cash Flow'!$F$16:$AJ$16)))</f>
        <v/>
      </c>
      <c r="D36" s="149" t="str">
        <f>IF($B36&gt;Inputs!$G$15,"",LOOKUP($B36,'Cash Flow'!$F$2:$AJ$2,'Cash Flow'!$F$23:$AJ$23))</f>
        <v/>
      </c>
      <c r="E36" s="149" t="str">
        <f>IF($B36&gt;Inputs!$G$15,"",LOOKUP($B36,'Cash Flow'!$F$2:$AJ$2,'Cash Flow'!$F$35:$AJ$35))</f>
        <v/>
      </c>
      <c r="F36" s="149" t="str">
        <f>IF($B36&gt;Inputs!$G$15,"",LOOKUP($B36,'Cash Flow'!$F$2:$AJ$2,'Cash Flow'!$F$85:$AJ$85))</f>
        <v/>
      </c>
      <c r="G36" s="149" t="str">
        <f>IF($B36&gt;Inputs!$G$15,"",LOOKUP($B36,'Cash Flow'!$F$2:$AJ$2,'Cash Flow'!$F$47:$AJ$47)+LOOKUP($B36,'Cash Flow'!$F$2:$AJ$2,'Cash Flow'!$F$48:$AJ$48))</f>
        <v/>
      </c>
      <c r="H36" s="149" t="str">
        <f>IF($B36&gt;Inputs!$G$15,"",SUM(D36:G36))</f>
        <v/>
      </c>
      <c r="I36" s="149" t="str">
        <f>IF($B36&gt;Inputs!$G$15,"",LOOKUP($B36,'Cash Flow'!$F$2:$AJ$2,'Cash Flow'!$F$60:$AJ$60))</f>
        <v/>
      </c>
      <c r="J36" s="149" t="str">
        <f>IF($B36&gt;Inputs!$G$15,"",LOOKUP($B36,'Cash Flow'!$F$2:$AJ$2,'Cash Flow'!$F$61:$AJ$61))</f>
        <v/>
      </c>
      <c r="K36" s="149" t="str">
        <f>IF($B36&gt;Inputs!$G$15,"",LOOKUP($B36,'Cash Flow'!$F$2:$AJ$2,'Cash Flow'!$F$63:$AJ$63)+LOOKUP($B36,'Cash Flow'!$F$2:$AJ$2,'Cash Flow'!$F$65:$AJ$65))</f>
        <v/>
      </c>
      <c r="L36" s="149" t="str">
        <f>IF($B36&gt;Inputs!$G$15,"",LOOKUP($B36,'Cash Flow'!$F$2:$AJ$2,'Cash Flow'!$F$64:$AJ$64)+LOOKUP($B36,'Cash Flow'!$F$2:$AJ$2,'Cash Flow'!$F$66:$AJ$66))</f>
        <v/>
      </c>
      <c r="M36" s="149" t="str">
        <f>IF($B36&gt;Inputs!$G$15,"",H36+K36+L36)</f>
        <v/>
      </c>
      <c r="N36" s="149">
        <f>IF($B36&gt;Inputs!$G$15,N35,N35+M36)</f>
        <v>7650715.9543833863</v>
      </c>
      <c r="O36" s="152" t="str">
        <f>IF($B36&gt;Inputs!$G$15,"",LOOKUP($B36,'Cash Flow'!$F$2:$AJ$2,'Cash Flow'!$F$68:$AJ$68))</f>
        <v/>
      </c>
      <c r="P36" s="153" t="str">
        <f>IF($B36&gt;Inputs!$G$15,"",LOOKUP($B36,'Cash Flow'!$F$2:$AJ$2,'Cash Flow'!$F$41:$AJ$41))</f>
        <v/>
      </c>
      <c r="R36" s="343" t="str">
        <f>IF($B36&gt;Inputs!$G$15,"",D36+K36+L36)</f>
        <v/>
      </c>
      <c r="S36" s="344" t="str">
        <f>IF($B36&gt;Inputs!$G$15,"",-(E36+F36+G36))</f>
        <v/>
      </c>
    </row>
    <row r="37" spans="2:19" x14ac:dyDescent="0.2">
      <c r="B37" s="156"/>
      <c r="C37" s="157"/>
      <c r="D37" s="157"/>
      <c r="E37" s="157"/>
      <c r="F37" s="157"/>
      <c r="G37" s="168"/>
      <c r="H37" s="157"/>
      <c r="I37" s="157"/>
      <c r="J37" s="157"/>
      <c r="K37" s="157"/>
      <c r="L37" s="157"/>
      <c r="M37" s="168"/>
      <c r="N37" s="168"/>
      <c r="O37" s="168"/>
      <c r="P37" s="169"/>
      <c r="R37" s="345"/>
      <c r="S37" s="346"/>
    </row>
    <row r="38" spans="2:19" x14ac:dyDescent="0.2">
      <c r="G38" s="170"/>
      <c r="M38" s="170"/>
      <c r="N38" s="170"/>
      <c r="O38" s="170"/>
      <c r="P38" s="170"/>
    </row>
  </sheetData>
  <mergeCells count="3">
    <mergeCell ref="R4:R5"/>
    <mergeCell ref="S4:S5"/>
    <mergeCell ref="R3:S3"/>
  </mergeCells>
  <conditionalFormatting sqref="N7:N36">
    <cfRule type="expression" dxfId="5" priority="1">
      <formula>$N7=$N6</formula>
    </cfRule>
  </conditionalFormatting>
  <pageMargins left="0.7" right="0.7" top="0.75" bottom="0.75" header="0.3" footer="0.3"/>
  <pageSetup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AJ228"/>
  <sheetViews>
    <sheetView showGridLines="0" zoomScale="70" zoomScaleNormal="70" workbookViewId="0">
      <pane xSplit="5" ySplit="2" topLeftCell="F3" activePane="bottomRight" state="frozen"/>
      <selection pane="topRight" activeCell="D1" sqref="D1"/>
      <selection pane="bottomLeft" activeCell="A4" sqref="A4"/>
      <selection pane="bottomRight" activeCell="A34" sqref="A34:XFD34"/>
    </sheetView>
  </sheetViews>
  <sheetFormatPr defaultColWidth="8.85546875" defaultRowHeight="15" x14ac:dyDescent="0.25"/>
  <cols>
    <col min="1" max="1" width="5.42578125" customWidth="1"/>
    <col min="2" max="2" width="57.42578125" customWidth="1"/>
    <col min="3" max="4" width="15.28515625" customWidth="1"/>
    <col min="5" max="5" width="17.42578125" customWidth="1"/>
    <col min="6" max="6" width="15.85546875" customWidth="1"/>
    <col min="7" max="7" width="15.140625" customWidth="1"/>
    <col min="8" max="36" width="13.7109375" customWidth="1"/>
    <col min="37" max="228" width="9.140625"/>
    <col min="229" max="229" width="5.42578125" customWidth="1"/>
    <col min="230" max="230" width="56.42578125" customWidth="1"/>
    <col min="231" max="231" width="15.28515625" customWidth="1"/>
    <col min="232" max="232" width="15.85546875" customWidth="1"/>
    <col min="233" max="233" width="15.140625" customWidth="1"/>
    <col min="234" max="292" width="13.7109375" customWidth="1"/>
    <col min="293" max="484" width="9.140625"/>
    <col min="485" max="485" width="5.42578125" customWidth="1"/>
    <col min="486" max="486" width="56.42578125" customWidth="1"/>
    <col min="487" max="487" width="15.28515625" customWidth="1"/>
    <col min="488" max="488" width="15.85546875" customWidth="1"/>
    <col min="489" max="489" width="15.140625" customWidth="1"/>
    <col min="490" max="548" width="13.7109375" customWidth="1"/>
    <col min="549" max="740" width="9.140625"/>
    <col min="741" max="741" width="5.42578125" customWidth="1"/>
    <col min="742" max="742" width="56.42578125" customWidth="1"/>
    <col min="743" max="743" width="15.28515625" customWidth="1"/>
    <col min="744" max="744" width="15.85546875" customWidth="1"/>
    <col min="745" max="745" width="15.140625" customWidth="1"/>
    <col min="746" max="804" width="13.7109375" customWidth="1"/>
    <col min="805" max="996" width="9.140625"/>
    <col min="997" max="997" width="5.42578125" customWidth="1"/>
    <col min="998" max="998" width="56.42578125" customWidth="1"/>
    <col min="999" max="999" width="15.28515625" customWidth="1"/>
    <col min="1000" max="1000" width="15.85546875" customWidth="1"/>
    <col min="1001" max="1001" width="15.140625" customWidth="1"/>
    <col min="1002" max="1060" width="13.7109375" customWidth="1"/>
    <col min="1061" max="1252" width="9.140625"/>
    <col min="1253" max="1253" width="5.42578125" customWidth="1"/>
    <col min="1254" max="1254" width="56.42578125" customWidth="1"/>
    <col min="1255" max="1255" width="15.28515625" customWidth="1"/>
    <col min="1256" max="1256" width="15.85546875" customWidth="1"/>
    <col min="1257" max="1257" width="15.140625" customWidth="1"/>
    <col min="1258" max="1316" width="13.7109375" customWidth="1"/>
    <col min="1317" max="1508" width="9.140625"/>
    <col min="1509" max="1509" width="5.42578125" customWidth="1"/>
    <col min="1510" max="1510" width="56.42578125" customWidth="1"/>
    <col min="1511" max="1511" width="15.28515625" customWidth="1"/>
    <col min="1512" max="1512" width="15.85546875" customWidth="1"/>
    <col min="1513" max="1513" width="15.140625" customWidth="1"/>
    <col min="1514" max="1572" width="13.7109375" customWidth="1"/>
    <col min="1573" max="1764" width="9.140625"/>
    <col min="1765" max="1765" width="5.42578125" customWidth="1"/>
    <col min="1766" max="1766" width="56.42578125" customWidth="1"/>
    <col min="1767" max="1767" width="15.28515625" customWidth="1"/>
    <col min="1768" max="1768" width="15.85546875" customWidth="1"/>
    <col min="1769" max="1769" width="15.140625" customWidth="1"/>
    <col min="1770" max="1828" width="13.7109375" customWidth="1"/>
    <col min="1829" max="2020" width="9.140625"/>
    <col min="2021" max="2021" width="5.42578125" customWidth="1"/>
    <col min="2022" max="2022" width="56.42578125" customWidth="1"/>
    <col min="2023" max="2023" width="15.28515625" customWidth="1"/>
    <col min="2024" max="2024" width="15.85546875" customWidth="1"/>
    <col min="2025" max="2025" width="15.140625" customWidth="1"/>
    <col min="2026" max="2084" width="13.7109375" customWidth="1"/>
    <col min="2085" max="2276" width="9.140625"/>
    <col min="2277" max="2277" width="5.42578125" customWidth="1"/>
    <col min="2278" max="2278" width="56.42578125" customWidth="1"/>
    <col min="2279" max="2279" width="15.28515625" customWidth="1"/>
    <col min="2280" max="2280" width="15.85546875" customWidth="1"/>
    <col min="2281" max="2281" width="15.140625" customWidth="1"/>
    <col min="2282" max="2340" width="13.7109375" customWidth="1"/>
    <col min="2341" max="2532" width="9.140625"/>
    <col min="2533" max="2533" width="5.42578125" customWidth="1"/>
    <col min="2534" max="2534" width="56.42578125" customWidth="1"/>
    <col min="2535" max="2535" width="15.28515625" customWidth="1"/>
    <col min="2536" max="2536" width="15.85546875" customWidth="1"/>
    <col min="2537" max="2537" width="15.140625" customWidth="1"/>
    <col min="2538" max="2596" width="13.7109375" customWidth="1"/>
    <col min="2597" max="2788" width="9.140625"/>
    <col min="2789" max="2789" width="5.42578125" customWidth="1"/>
    <col min="2790" max="2790" width="56.42578125" customWidth="1"/>
    <col min="2791" max="2791" width="15.28515625" customWidth="1"/>
    <col min="2792" max="2792" width="15.85546875" customWidth="1"/>
    <col min="2793" max="2793" width="15.140625" customWidth="1"/>
    <col min="2794" max="2852" width="13.7109375" customWidth="1"/>
    <col min="2853" max="3044" width="9.140625"/>
    <col min="3045" max="3045" width="5.42578125" customWidth="1"/>
    <col min="3046" max="3046" width="56.42578125" customWidth="1"/>
    <col min="3047" max="3047" width="15.28515625" customWidth="1"/>
    <col min="3048" max="3048" width="15.85546875" customWidth="1"/>
    <col min="3049" max="3049" width="15.140625" customWidth="1"/>
    <col min="3050" max="3108" width="13.7109375" customWidth="1"/>
    <col min="3109" max="3300" width="9.140625"/>
    <col min="3301" max="3301" width="5.42578125" customWidth="1"/>
    <col min="3302" max="3302" width="56.42578125" customWidth="1"/>
    <col min="3303" max="3303" width="15.28515625" customWidth="1"/>
    <col min="3304" max="3304" width="15.85546875" customWidth="1"/>
    <col min="3305" max="3305" width="15.140625" customWidth="1"/>
    <col min="3306" max="3364" width="13.7109375" customWidth="1"/>
    <col min="3365" max="3556" width="9.140625"/>
    <col min="3557" max="3557" width="5.42578125" customWidth="1"/>
    <col min="3558" max="3558" width="56.42578125" customWidth="1"/>
    <col min="3559" max="3559" width="15.28515625" customWidth="1"/>
    <col min="3560" max="3560" width="15.85546875" customWidth="1"/>
    <col min="3561" max="3561" width="15.140625" customWidth="1"/>
    <col min="3562" max="3620" width="13.7109375" customWidth="1"/>
    <col min="3621" max="3812" width="9.140625"/>
    <col min="3813" max="3813" width="5.42578125" customWidth="1"/>
    <col min="3814" max="3814" width="56.42578125" customWidth="1"/>
    <col min="3815" max="3815" width="15.28515625" customWidth="1"/>
    <col min="3816" max="3816" width="15.85546875" customWidth="1"/>
    <col min="3817" max="3817" width="15.140625" customWidth="1"/>
    <col min="3818" max="3876" width="13.7109375" customWidth="1"/>
    <col min="3877" max="4068" width="9.140625"/>
    <col min="4069" max="4069" width="5.42578125" customWidth="1"/>
    <col min="4070" max="4070" width="56.42578125" customWidth="1"/>
    <col min="4071" max="4071" width="15.28515625" customWidth="1"/>
    <col min="4072" max="4072" width="15.85546875" customWidth="1"/>
    <col min="4073" max="4073" width="15.140625" customWidth="1"/>
    <col min="4074" max="4132" width="13.7109375" customWidth="1"/>
    <col min="4133" max="4324" width="9.140625"/>
    <col min="4325" max="4325" width="5.42578125" customWidth="1"/>
    <col min="4326" max="4326" width="56.42578125" customWidth="1"/>
    <col min="4327" max="4327" width="15.28515625" customWidth="1"/>
    <col min="4328" max="4328" width="15.85546875" customWidth="1"/>
    <col min="4329" max="4329" width="15.140625" customWidth="1"/>
    <col min="4330" max="4388" width="13.7109375" customWidth="1"/>
    <col min="4389" max="4580" width="9.140625"/>
    <col min="4581" max="4581" width="5.42578125" customWidth="1"/>
    <col min="4582" max="4582" width="56.42578125" customWidth="1"/>
    <col min="4583" max="4583" width="15.28515625" customWidth="1"/>
    <col min="4584" max="4584" width="15.85546875" customWidth="1"/>
    <col min="4585" max="4585" width="15.140625" customWidth="1"/>
    <col min="4586" max="4644" width="13.7109375" customWidth="1"/>
    <col min="4645" max="4836" width="9.140625"/>
    <col min="4837" max="4837" width="5.42578125" customWidth="1"/>
    <col min="4838" max="4838" width="56.42578125" customWidth="1"/>
    <col min="4839" max="4839" width="15.28515625" customWidth="1"/>
    <col min="4840" max="4840" width="15.85546875" customWidth="1"/>
    <col min="4841" max="4841" width="15.140625" customWidth="1"/>
    <col min="4842" max="4900" width="13.7109375" customWidth="1"/>
    <col min="4901" max="5092" width="9.140625"/>
    <col min="5093" max="5093" width="5.42578125" customWidth="1"/>
    <col min="5094" max="5094" width="56.42578125" customWidth="1"/>
    <col min="5095" max="5095" width="15.28515625" customWidth="1"/>
    <col min="5096" max="5096" width="15.85546875" customWidth="1"/>
    <col min="5097" max="5097" width="15.140625" customWidth="1"/>
    <col min="5098" max="5156" width="13.7109375" customWidth="1"/>
    <col min="5157" max="5348" width="9.140625"/>
    <col min="5349" max="5349" width="5.42578125" customWidth="1"/>
    <col min="5350" max="5350" width="56.42578125" customWidth="1"/>
    <col min="5351" max="5351" width="15.28515625" customWidth="1"/>
    <col min="5352" max="5352" width="15.85546875" customWidth="1"/>
    <col min="5353" max="5353" width="15.140625" customWidth="1"/>
    <col min="5354" max="5412" width="13.7109375" customWidth="1"/>
    <col min="5413" max="5604" width="9.140625"/>
    <col min="5605" max="5605" width="5.42578125" customWidth="1"/>
    <col min="5606" max="5606" width="56.42578125" customWidth="1"/>
    <col min="5607" max="5607" width="15.28515625" customWidth="1"/>
    <col min="5608" max="5608" width="15.85546875" customWidth="1"/>
    <col min="5609" max="5609" width="15.140625" customWidth="1"/>
    <col min="5610" max="5668" width="13.7109375" customWidth="1"/>
    <col min="5669" max="5860" width="9.140625"/>
    <col min="5861" max="5861" width="5.42578125" customWidth="1"/>
    <col min="5862" max="5862" width="56.42578125" customWidth="1"/>
    <col min="5863" max="5863" width="15.28515625" customWidth="1"/>
    <col min="5864" max="5864" width="15.85546875" customWidth="1"/>
    <col min="5865" max="5865" width="15.140625" customWidth="1"/>
    <col min="5866" max="5924" width="13.7109375" customWidth="1"/>
    <col min="5925" max="6116" width="9.140625"/>
    <col min="6117" max="6117" width="5.42578125" customWidth="1"/>
    <col min="6118" max="6118" width="56.42578125" customWidth="1"/>
    <col min="6119" max="6119" width="15.28515625" customWidth="1"/>
    <col min="6120" max="6120" width="15.85546875" customWidth="1"/>
    <col min="6121" max="6121" width="15.140625" customWidth="1"/>
    <col min="6122" max="6180" width="13.7109375" customWidth="1"/>
    <col min="6181" max="6372" width="9.140625"/>
    <col min="6373" max="6373" width="5.42578125" customWidth="1"/>
    <col min="6374" max="6374" width="56.42578125" customWidth="1"/>
    <col min="6375" max="6375" width="15.28515625" customWidth="1"/>
    <col min="6376" max="6376" width="15.85546875" customWidth="1"/>
    <col min="6377" max="6377" width="15.140625" customWidth="1"/>
    <col min="6378" max="6436" width="13.7109375" customWidth="1"/>
    <col min="6437" max="6628" width="9.140625"/>
    <col min="6629" max="6629" width="5.42578125" customWidth="1"/>
    <col min="6630" max="6630" width="56.42578125" customWidth="1"/>
    <col min="6631" max="6631" width="15.28515625" customWidth="1"/>
    <col min="6632" max="6632" width="15.85546875" customWidth="1"/>
    <col min="6633" max="6633" width="15.140625" customWidth="1"/>
    <col min="6634" max="6692" width="13.7109375" customWidth="1"/>
    <col min="6693" max="6884" width="9.140625"/>
    <col min="6885" max="6885" width="5.42578125" customWidth="1"/>
    <col min="6886" max="6886" width="56.42578125" customWidth="1"/>
    <col min="6887" max="6887" width="15.28515625" customWidth="1"/>
    <col min="6888" max="6888" width="15.85546875" customWidth="1"/>
    <col min="6889" max="6889" width="15.140625" customWidth="1"/>
    <col min="6890" max="6948" width="13.7109375" customWidth="1"/>
    <col min="6949" max="7140" width="9.140625"/>
    <col min="7141" max="7141" width="5.42578125" customWidth="1"/>
    <col min="7142" max="7142" width="56.42578125" customWidth="1"/>
    <col min="7143" max="7143" width="15.28515625" customWidth="1"/>
    <col min="7144" max="7144" width="15.85546875" customWidth="1"/>
    <col min="7145" max="7145" width="15.140625" customWidth="1"/>
    <col min="7146" max="7204" width="13.7109375" customWidth="1"/>
    <col min="7205" max="7396" width="9.140625"/>
    <col min="7397" max="7397" width="5.42578125" customWidth="1"/>
    <col min="7398" max="7398" width="56.42578125" customWidth="1"/>
    <col min="7399" max="7399" width="15.28515625" customWidth="1"/>
    <col min="7400" max="7400" width="15.85546875" customWidth="1"/>
    <col min="7401" max="7401" width="15.140625" customWidth="1"/>
    <col min="7402" max="7460" width="13.7109375" customWidth="1"/>
    <col min="7461" max="7652" width="9.140625"/>
    <col min="7653" max="7653" width="5.42578125" customWidth="1"/>
    <col min="7654" max="7654" width="56.42578125" customWidth="1"/>
    <col min="7655" max="7655" width="15.28515625" customWidth="1"/>
    <col min="7656" max="7656" width="15.85546875" customWidth="1"/>
    <col min="7657" max="7657" width="15.140625" customWidth="1"/>
    <col min="7658" max="7716" width="13.7109375" customWidth="1"/>
    <col min="7717" max="7908" width="9.140625"/>
    <col min="7909" max="7909" width="5.42578125" customWidth="1"/>
    <col min="7910" max="7910" width="56.42578125" customWidth="1"/>
    <col min="7911" max="7911" width="15.28515625" customWidth="1"/>
    <col min="7912" max="7912" width="15.85546875" customWidth="1"/>
    <col min="7913" max="7913" width="15.140625" customWidth="1"/>
    <col min="7914" max="7972" width="13.7109375" customWidth="1"/>
    <col min="7973" max="8164" width="9.140625"/>
    <col min="8165" max="8165" width="5.42578125" customWidth="1"/>
    <col min="8166" max="8166" width="56.42578125" customWidth="1"/>
    <col min="8167" max="8167" width="15.28515625" customWidth="1"/>
    <col min="8168" max="8168" width="15.85546875" customWidth="1"/>
    <col min="8169" max="8169" width="15.140625" customWidth="1"/>
    <col min="8170" max="8228" width="13.7109375" customWidth="1"/>
    <col min="8229" max="8420" width="9.140625"/>
    <col min="8421" max="8421" width="5.42578125" customWidth="1"/>
    <col min="8422" max="8422" width="56.42578125" customWidth="1"/>
    <col min="8423" max="8423" width="15.28515625" customWidth="1"/>
    <col min="8424" max="8424" width="15.85546875" customWidth="1"/>
    <col min="8425" max="8425" width="15.140625" customWidth="1"/>
    <col min="8426" max="8484" width="13.7109375" customWidth="1"/>
    <col min="8485" max="8676" width="9.140625"/>
    <col min="8677" max="8677" width="5.42578125" customWidth="1"/>
    <col min="8678" max="8678" width="56.42578125" customWidth="1"/>
    <col min="8679" max="8679" width="15.28515625" customWidth="1"/>
    <col min="8680" max="8680" width="15.85546875" customWidth="1"/>
    <col min="8681" max="8681" width="15.140625" customWidth="1"/>
    <col min="8682" max="8740" width="13.7109375" customWidth="1"/>
    <col min="8741" max="8932" width="9.140625"/>
    <col min="8933" max="8933" width="5.42578125" customWidth="1"/>
    <col min="8934" max="8934" width="56.42578125" customWidth="1"/>
    <col min="8935" max="8935" width="15.28515625" customWidth="1"/>
    <col min="8936" max="8936" width="15.85546875" customWidth="1"/>
    <col min="8937" max="8937" width="15.140625" customWidth="1"/>
    <col min="8938" max="8996" width="13.7109375" customWidth="1"/>
    <col min="8997" max="9188" width="9.140625"/>
    <col min="9189" max="9189" width="5.42578125" customWidth="1"/>
    <col min="9190" max="9190" width="56.42578125" customWidth="1"/>
    <col min="9191" max="9191" width="15.28515625" customWidth="1"/>
    <col min="9192" max="9192" width="15.85546875" customWidth="1"/>
    <col min="9193" max="9193" width="15.140625" customWidth="1"/>
    <col min="9194" max="9252" width="13.7109375" customWidth="1"/>
    <col min="9253" max="9444" width="9.140625"/>
    <col min="9445" max="9445" width="5.42578125" customWidth="1"/>
    <col min="9446" max="9446" width="56.42578125" customWidth="1"/>
    <col min="9447" max="9447" width="15.28515625" customWidth="1"/>
    <col min="9448" max="9448" width="15.85546875" customWidth="1"/>
    <col min="9449" max="9449" width="15.140625" customWidth="1"/>
    <col min="9450" max="9508" width="13.7109375" customWidth="1"/>
    <col min="9509" max="9700" width="9.140625"/>
    <col min="9701" max="9701" width="5.42578125" customWidth="1"/>
    <col min="9702" max="9702" width="56.42578125" customWidth="1"/>
    <col min="9703" max="9703" width="15.28515625" customWidth="1"/>
    <col min="9704" max="9704" width="15.85546875" customWidth="1"/>
    <col min="9705" max="9705" width="15.140625" customWidth="1"/>
    <col min="9706" max="9764" width="13.7109375" customWidth="1"/>
    <col min="9765" max="9956" width="9.140625"/>
    <col min="9957" max="9957" width="5.42578125" customWidth="1"/>
    <col min="9958" max="9958" width="56.42578125" customWidth="1"/>
    <col min="9959" max="9959" width="15.28515625" customWidth="1"/>
    <col min="9960" max="9960" width="15.85546875" customWidth="1"/>
    <col min="9961" max="9961" width="15.140625" customWidth="1"/>
    <col min="9962" max="10020" width="13.7109375" customWidth="1"/>
    <col min="10021" max="10212" width="9.140625"/>
    <col min="10213" max="10213" width="5.42578125" customWidth="1"/>
    <col min="10214" max="10214" width="56.42578125" customWidth="1"/>
    <col min="10215" max="10215" width="15.28515625" customWidth="1"/>
    <col min="10216" max="10216" width="15.85546875" customWidth="1"/>
    <col min="10217" max="10217" width="15.140625" customWidth="1"/>
    <col min="10218" max="10276" width="13.7109375" customWidth="1"/>
    <col min="10277" max="10468" width="9.140625"/>
    <col min="10469" max="10469" width="5.42578125" customWidth="1"/>
    <col min="10470" max="10470" width="56.42578125" customWidth="1"/>
    <col min="10471" max="10471" width="15.28515625" customWidth="1"/>
    <col min="10472" max="10472" width="15.85546875" customWidth="1"/>
    <col min="10473" max="10473" width="15.140625" customWidth="1"/>
    <col min="10474" max="10532" width="13.7109375" customWidth="1"/>
    <col min="10533" max="10724" width="9.140625"/>
    <col min="10725" max="10725" width="5.42578125" customWidth="1"/>
    <col min="10726" max="10726" width="56.42578125" customWidth="1"/>
    <col min="10727" max="10727" width="15.28515625" customWidth="1"/>
    <col min="10728" max="10728" width="15.85546875" customWidth="1"/>
    <col min="10729" max="10729" width="15.140625" customWidth="1"/>
    <col min="10730" max="10788" width="13.7109375" customWidth="1"/>
    <col min="10789" max="10980" width="9.140625"/>
    <col min="10981" max="10981" width="5.42578125" customWidth="1"/>
    <col min="10982" max="10982" width="56.42578125" customWidth="1"/>
    <col min="10983" max="10983" width="15.28515625" customWidth="1"/>
    <col min="10984" max="10984" width="15.85546875" customWidth="1"/>
    <col min="10985" max="10985" width="15.140625" customWidth="1"/>
    <col min="10986" max="11044" width="13.7109375" customWidth="1"/>
    <col min="11045" max="11236" width="9.140625"/>
    <col min="11237" max="11237" width="5.42578125" customWidth="1"/>
    <col min="11238" max="11238" width="56.42578125" customWidth="1"/>
    <col min="11239" max="11239" width="15.28515625" customWidth="1"/>
    <col min="11240" max="11240" width="15.85546875" customWidth="1"/>
    <col min="11241" max="11241" width="15.140625" customWidth="1"/>
    <col min="11242" max="11300" width="13.7109375" customWidth="1"/>
    <col min="11301" max="11492" width="9.140625"/>
    <col min="11493" max="11493" width="5.42578125" customWidth="1"/>
    <col min="11494" max="11494" width="56.42578125" customWidth="1"/>
    <col min="11495" max="11495" width="15.28515625" customWidth="1"/>
    <col min="11496" max="11496" width="15.85546875" customWidth="1"/>
    <col min="11497" max="11497" width="15.140625" customWidth="1"/>
    <col min="11498" max="11556" width="13.7109375" customWidth="1"/>
    <col min="11557" max="11748" width="9.140625"/>
    <col min="11749" max="11749" width="5.42578125" customWidth="1"/>
    <col min="11750" max="11750" width="56.42578125" customWidth="1"/>
    <col min="11751" max="11751" width="15.28515625" customWidth="1"/>
    <col min="11752" max="11752" width="15.85546875" customWidth="1"/>
    <col min="11753" max="11753" width="15.140625" customWidth="1"/>
    <col min="11754" max="11812" width="13.7109375" customWidth="1"/>
    <col min="11813" max="12004" width="9.140625"/>
    <col min="12005" max="12005" width="5.42578125" customWidth="1"/>
    <col min="12006" max="12006" width="56.42578125" customWidth="1"/>
    <col min="12007" max="12007" width="15.28515625" customWidth="1"/>
    <col min="12008" max="12008" width="15.85546875" customWidth="1"/>
    <col min="12009" max="12009" width="15.140625" customWidth="1"/>
    <col min="12010" max="12068" width="13.7109375" customWidth="1"/>
    <col min="12069" max="12260" width="9.140625"/>
    <col min="12261" max="12261" width="5.42578125" customWidth="1"/>
    <col min="12262" max="12262" width="56.42578125" customWidth="1"/>
    <col min="12263" max="12263" width="15.28515625" customWidth="1"/>
    <col min="12264" max="12264" width="15.85546875" customWidth="1"/>
    <col min="12265" max="12265" width="15.140625" customWidth="1"/>
    <col min="12266" max="12324" width="13.7109375" customWidth="1"/>
    <col min="12325" max="12516" width="9.140625"/>
    <col min="12517" max="12517" width="5.42578125" customWidth="1"/>
    <col min="12518" max="12518" width="56.42578125" customWidth="1"/>
    <col min="12519" max="12519" width="15.28515625" customWidth="1"/>
    <col min="12520" max="12520" width="15.85546875" customWidth="1"/>
    <col min="12521" max="12521" width="15.140625" customWidth="1"/>
    <col min="12522" max="12580" width="13.7109375" customWidth="1"/>
    <col min="12581" max="12772" width="9.140625"/>
    <col min="12773" max="12773" width="5.42578125" customWidth="1"/>
    <col min="12774" max="12774" width="56.42578125" customWidth="1"/>
    <col min="12775" max="12775" width="15.28515625" customWidth="1"/>
    <col min="12776" max="12776" width="15.85546875" customWidth="1"/>
    <col min="12777" max="12777" width="15.140625" customWidth="1"/>
    <col min="12778" max="12836" width="13.7109375" customWidth="1"/>
    <col min="12837" max="13028" width="9.140625"/>
    <col min="13029" max="13029" width="5.42578125" customWidth="1"/>
    <col min="13030" max="13030" width="56.42578125" customWidth="1"/>
    <col min="13031" max="13031" width="15.28515625" customWidth="1"/>
    <col min="13032" max="13032" width="15.85546875" customWidth="1"/>
    <col min="13033" max="13033" width="15.140625" customWidth="1"/>
    <col min="13034" max="13092" width="13.7109375" customWidth="1"/>
    <col min="13093" max="13284" width="9.140625"/>
    <col min="13285" max="13285" width="5.42578125" customWidth="1"/>
    <col min="13286" max="13286" width="56.42578125" customWidth="1"/>
    <col min="13287" max="13287" width="15.28515625" customWidth="1"/>
    <col min="13288" max="13288" width="15.85546875" customWidth="1"/>
    <col min="13289" max="13289" width="15.140625" customWidth="1"/>
    <col min="13290" max="13348" width="13.7109375" customWidth="1"/>
    <col min="13349" max="13540" width="9.140625"/>
    <col min="13541" max="13541" width="5.42578125" customWidth="1"/>
    <col min="13542" max="13542" width="56.42578125" customWidth="1"/>
    <col min="13543" max="13543" width="15.28515625" customWidth="1"/>
    <col min="13544" max="13544" width="15.85546875" customWidth="1"/>
    <col min="13545" max="13545" width="15.140625" customWidth="1"/>
    <col min="13546" max="13604" width="13.7109375" customWidth="1"/>
    <col min="13605" max="13796" width="9.140625"/>
    <col min="13797" max="13797" width="5.42578125" customWidth="1"/>
    <col min="13798" max="13798" width="56.42578125" customWidth="1"/>
    <col min="13799" max="13799" width="15.28515625" customWidth="1"/>
    <col min="13800" max="13800" width="15.85546875" customWidth="1"/>
    <col min="13801" max="13801" width="15.140625" customWidth="1"/>
    <col min="13802" max="13860" width="13.7109375" customWidth="1"/>
    <col min="13861" max="14052" width="9.140625"/>
    <col min="14053" max="14053" width="5.42578125" customWidth="1"/>
    <col min="14054" max="14054" width="56.42578125" customWidth="1"/>
    <col min="14055" max="14055" width="15.28515625" customWidth="1"/>
    <col min="14056" max="14056" width="15.85546875" customWidth="1"/>
    <col min="14057" max="14057" width="15.140625" customWidth="1"/>
    <col min="14058" max="14116" width="13.7109375" customWidth="1"/>
    <col min="14117" max="14308" width="9.140625"/>
    <col min="14309" max="14309" width="5.42578125" customWidth="1"/>
    <col min="14310" max="14310" width="56.42578125" customWidth="1"/>
    <col min="14311" max="14311" width="15.28515625" customWidth="1"/>
    <col min="14312" max="14312" width="15.85546875" customWidth="1"/>
    <col min="14313" max="14313" width="15.140625" customWidth="1"/>
    <col min="14314" max="14372" width="13.7109375" customWidth="1"/>
    <col min="14373" max="14564" width="9.140625"/>
    <col min="14565" max="14565" width="5.42578125" customWidth="1"/>
    <col min="14566" max="14566" width="56.42578125" customWidth="1"/>
    <col min="14567" max="14567" width="15.28515625" customWidth="1"/>
    <col min="14568" max="14568" width="15.85546875" customWidth="1"/>
    <col min="14569" max="14569" width="15.140625" customWidth="1"/>
    <col min="14570" max="14628" width="13.7109375" customWidth="1"/>
    <col min="14629" max="14820" width="9.140625"/>
    <col min="14821" max="14821" width="5.42578125" customWidth="1"/>
    <col min="14822" max="14822" width="56.42578125" customWidth="1"/>
    <col min="14823" max="14823" width="15.28515625" customWidth="1"/>
    <col min="14824" max="14824" width="15.85546875" customWidth="1"/>
    <col min="14825" max="14825" width="15.140625" customWidth="1"/>
    <col min="14826" max="14884" width="13.7109375" customWidth="1"/>
    <col min="14885" max="15076" width="9.140625"/>
    <col min="15077" max="15077" width="5.42578125" customWidth="1"/>
    <col min="15078" max="15078" width="56.42578125" customWidth="1"/>
    <col min="15079" max="15079" width="15.28515625" customWidth="1"/>
    <col min="15080" max="15080" width="15.85546875" customWidth="1"/>
    <col min="15081" max="15081" width="15.140625" customWidth="1"/>
    <col min="15082" max="15140" width="13.7109375" customWidth="1"/>
    <col min="15141" max="15332" width="9.140625"/>
    <col min="15333" max="15333" width="5.42578125" customWidth="1"/>
    <col min="15334" max="15334" width="56.42578125" customWidth="1"/>
    <col min="15335" max="15335" width="15.28515625" customWidth="1"/>
    <col min="15336" max="15336" width="15.85546875" customWidth="1"/>
    <col min="15337" max="15337" width="15.140625" customWidth="1"/>
    <col min="15338" max="15396" width="13.7109375" customWidth="1"/>
    <col min="15397" max="15588" width="9.140625"/>
    <col min="15589" max="15589" width="5.42578125" customWidth="1"/>
    <col min="15590" max="15590" width="56.42578125" customWidth="1"/>
    <col min="15591" max="15591" width="15.28515625" customWidth="1"/>
    <col min="15592" max="15592" width="15.85546875" customWidth="1"/>
    <col min="15593" max="15593" width="15.140625" customWidth="1"/>
    <col min="15594" max="15652" width="13.7109375" customWidth="1"/>
    <col min="15653" max="15844" width="9.140625"/>
    <col min="15845" max="15845" width="5.42578125" customWidth="1"/>
    <col min="15846" max="15846" width="56.42578125" customWidth="1"/>
    <col min="15847" max="15847" width="15.28515625" customWidth="1"/>
    <col min="15848" max="15848" width="15.85546875" customWidth="1"/>
    <col min="15849" max="15849" width="15.140625" customWidth="1"/>
    <col min="15850" max="15908" width="13.7109375" customWidth="1"/>
    <col min="15909" max="16100" width="9.140625"/>
    <col min="16101" max="16101" width="5.42578125" customWidth="1"/>
    <col min="16102" max="16102" width="56.42578125" customWidth="1"/>
    <col min="16103" max="16103" width="15.28515625" customWidth="1"/>
    <col min="16104" max="16104" width="15.85546875" customWidth="1"/>
    <col min="16105" max="16105" width="15.140625" customWidth="1"/>
    <col min="16106" max="16164" width="13.7109375" customWidth="1"/>
    <col min="16165" max="16384" width="9.140625"/>
  </cols>
  <sheetData>
    <row r="1" spans="2:36" ht="15.75" x14ac:dyDescent="0.25">
      <c r="F1" s="15" t="s">
        <v>70</v>
      </c>
    </row>
    <row r="2" spans="2:36" s="1" customFormat="1" x14ac:dyDescent="0.2">
      <c r="B2" s="1" t="s">
        <v>131</v>
      </c>
      <c r="E2" s="216" t="s">
        <v>65</v>
      </c>
      <c r="F2" s="17">
        <v>0</v>
      </c>
      <c r="G2" s="17">
        <v>1</v>
      </c>
      <c r="H2" s="17">
        <v>2</v>
      </c>
      <c r="I2" s="17">
        <v>3</v>
      </c>
      <c r="J2" s="17">
        <v>4</v>
      </c>
      <c r="K2" s="17">
        <v>5</v>
      </c>
      <c r="L2" s="17">
        <v>6</v>
      </c>
      <c r="M2" s="17">
        <v>7</v>
      </c>
      <c r="N2" s="17">
        <v>8</v>
      </c>
      <c r="O2" s="17">
        <v>9</v>
      </c>
      <c r="P2" s="17">
        <v>10</v>
      </c>
      <c r="Q2" s="17">
        <v>11</v>
      </c>
      <c r="R2" s="17">
        <v>12</v>
      </c>
      <c r="S2" s="17">
        <v>13</v>
      </c>
      <c r="T2" s="17">
        <v>14</v>
      </c>
      <c r="U2" s="17">
        <v>15</v>
      </c>
      <c r="V2" s="17">
        <v>16</v>
      </c>
      <c r="W2" s="17">
        <v>17</v>
      </c>
      <c r="X2" s="17">
        <v>18</v>
      </c>
      <c r="Y2" s="17">
        <v>19</v>
      </c>
      <c r="Z2" s="17">
        <v>20</v>
      </c>
      <c r="AA2" s="17">
        <v>21</v>
      </c>
      <c r="AB2" s="17">
        <v>22</v>
      </c>
      <c r="AC2" s="17">
        <v>23</v>
      </c>
      <c r="AD2" s="17">
        <v>24</v>
      </c>
      <c r="AE2" s="17">
        <v>25</v>
      </c>
      <c r="AF2" s="17">
        <v>26</v>
      </c>
      <c r="AG2" s="17">
        <v>27</v>
      </c>
      <c r="AH2" s="17">
        <v>28</v>
      </c>
      <c r="AI2" s="17">
        <v>29</v>
      </c>
      <c r="AJ2" s="17">
        <v>30</v>
      </c>
    </row>
    <row r="3" spans="2:36" s="1" customFormat="1" x14ac:dyDescent="0.2"/>
    <row r="4" spans="2:36" s="1" customFormat="1" x14ac:dyDescent="0.2">
      <c r="B4" s="1" t="s">
        <v>71</v>
      </c>
      <c r="E4" s="54"/>
      <c r="G4" s="276">
        <v>1</v>
      </c>
      <c r="H4" s="23">
        <f>G4*(1-Inputs!$G$14)</f>
        <v>0.995</v>
      </c>
      <c r="I4" s="23">
        <f>H4*(1-Inputs!$G$14)</f>
        <v>0.99002500000000004</v>
      </c>
      <c r="J4" s="23">
        <f>I4*(1-Inputs!$G$14)</f>
        <v>0.98507487500000002</v>
      </c>
      <c r="K4" s="23">
        <f>J4*(1-Inputs!$G$14)</f>
        <v>0.98014950062500006</v>
      </c>
      <c r="L4" s="23">
        <f>K4*(1-Inputs!$G$14)</f>
        <v>0.97524875312187509</v>
      </c>
      <c r="M4" s="23">
        <f>L4*(1-Inputs!$G$14)</f>
        <v>0.97037250935626573</v>
      </c>
      <c r="N4" s="23">
        <f>M4*(1-Inputs!$G$14)</f>
        <v>0.96552064680948435</v>
      </c>
      <c r="O4" s="23">
        <f>N4*(1-Inputs!$G$14)</f>
        <v>0.96069304357543694</v>
      </c>
      <c r="P4" s="23">
        <f>O4*(1-Inputs!$G$14)</f>
        <v>0.95588957835755972</v>
      </c>
      <c r="Q4" s="23">
        <f>P4*(1-Inputs!$G$14)</f>
        <v>0.95111013046577186</v>
      </c>
      <c r="R4" s="23">
        <f>Q4*(1-Inputs!$G$14)</f>
        <v>0.94635457981344295</v>
      </c>
      <c r="S4" s="23">
        <f>R4*(1-Inputs!$G$14)</f>
        <v>0.94162280691437572</v>
      </c>
      <c r="T4" s="23">
        <f>S4*(1-Inputs!$G$14)</f>
        <v>0.93691469287980389</v>
      </c>
      <c r="U4" s="23">
        <f>T4*(1-Inputs!$G$14)</f>
        <v>0.9322301194154049</v>
      </c>
      <c r="V4" s="23">
        <f>U4*(1-Inputs!$G$14)</f>
        <v>0.92756896881832784</v>
      </c>
      <c r="W4" s="23">
        <f>V4*(1-Inputs!$G$14)</f>
        <v>0.92293112397423616</v>
      </c>
      <c r="X4" s="23">
        <f>W4*(1-Inputs!$G$14)</f>
        <v>0.91831646835436498</v>
      </c>
      <c r="Y4" s="23">
        <f>X4*(1-Inputs!$G$14)</f>
        <v>0.91372488601259316</v>
      </c>
      <c r="Z4" s="23">
        <f>Y4*(1-Inputs!$G$14)</f>
        <v>0.90915626158253016</v>
      </c>
      <c r="AA4" s="23">
        <f>Z4*(1-Inputs!$G$14)</f>
        <v>0.90461048027461755</v>
      </c>
      <c r="AB4" s="23">
        <f>AA4*(1-Inputs!$G$14)</f>
        <v>0.90008742787324447</v>
      </c>
      <c r="AC4" s="23">
        <f>AB4*(1-Inputs!$G$14)</f>
        <v>0.89558699073387826</v>
      </c>
      <c r="AD4" s="23">
        <f>AC4*(1-Inputs!$G$14)</f>
        <v>0.89110905578020883</v>
      </c>
      <c r="AE4" s="23">
        <f>AD4*(1-Inputs!$G$14)</f>
        <v>0.88665351050130781</v>
      </c>
      <c r="AF4" s="23">
        <f>AE4*(1-Inputs!$G$14)</f>
        <v>0.8822202429488013</v>
      </c>
      <c r="AG4" s="23">
        <f>AF4*(1-Inputs!$G$14)</f>
        <v>0.87780914173405733</v>
      </c>
      <c r="AH4" s="23">
        <f>AG4*(1-Inputs!$G$14)</f>
        <v>0.87342009602538706</v>
      </c>
      <c r="AI4" s="23">
        <f>AH4*(1-Inputs!$G$14)</f>
        <v>0.86905299554526017</v>
      </c>
      <c r="AJ4" s="23">
        <f>AI4*(1-Inputs!$G$14)</f>
        <v>0.86470773056753381</v>
      </c>
    </row>
    <row r="5" spans="2:36" s="1" customFormat="1" ht="15.75" x14ac:dyDescent="0.25">
      <c r="B5" s="24" t="s">
        <v>3</v>
      </c>
      <c r="C5" s="24"/>
      <c r="D5" s="24"/>
      <c r="E5" s="54" t="s">
        <v>2</v>
      </c>
      <c r="G5" s="25">
        <f>Inputs!$G$13</f>
        <v>3477756.8650000002</v>
      </c>
      <c r="H5" s="25">
        <f>IF(H$2&gt;Inputs!$G$15,0,Inputs!$G$13*H$4)</f>
        <v>3460368.0806750003</v>
      </c>
      <c r="I5" s="25">
        <f>IF(I$2&gt;Inputs!$G$15,0,Inputs!$G$13*I$4)</f>
        <v>3443066.2402716256</v>
      </c>
      <c r="J5" s="25">
        <f>IF(J$2&gt;Inputs!$G$15,0,Inputs!$G$13*J$4)</f>
        <v>3425850.9090702673</v>
      </c>
      <c r="K5" s="25">
        <f>IF(K$2&gt;Inputs!$G$15,0,Inputs!$G$13*K$4)</f>
        <v>3408721.6545249159</v>
      </c>
      <c r="L5" s="25">
        <f>IF(L$2&gt;Inputs!$G$15,0,Inputs!$G$13*L$4)</f>
        <v>3391678.0462522916</v>
      </c>
      <c r="M5" s="25">
        <f>IF(M$2&gt;Inputs!$G$15,0,Inputs!$G$13*M$4)</f>
        <v>3374719.6560210302</v>
      </c>
      <c r="N5" s="25">
        <f>IF(N$2&gt;Inputs!$G$15,0,Inputs!$G$13*N$4)</f>
        <v>3357846.0577409249</v>
      </c>
      <c r="O5" s="25">
        <f>IF(O$2&gt;Inputs!$G$15,0,Inputs!$G$13*O$4)</f>
        <v>3341056.82745222</v>
      </c>
      <c r="P5" s="25">
        <f>IF(P$2&gt;Inputs!$G$15,0,Inputs!$G$13*P$4)</f>
        <v>3324351.5433149589</v>
      </c>
      <c r="Q5" s="25">
        <f>IF(Q$2&gt;Inputs!$G$15,0,Inputs!$G$13*Q$4)</f>
        <v>3307729.7855983838</v>
      </c>
      <c r="R5" s="25">
        <f>IF(R$2&gt;Inputs!$G$15,0,Inputs!$G$13*R$4)</f>
        <v>3291191.136670392</v>
      </c>
      <c r="S5" s="25">
        <f>IF(S$2&gt;Inputs!$G$15,0,Inputs!$G$13*S$4)</f>
        <v>3274735.18098704</v>
      </c>
      <c r="T5" s="25">
        <f>IF(T$2&gt;Inputs!$G$15,0,Inputs!$G$13*T$4)</f>
        <v>3258361.5050821048</v>
      </c>
      <c r="U5" s="25">
        <f>IF(U$2&gt;Inputs!$G$15,0,Inputs!$G$13*U$4)</f>
        <v>3242069.6975566945</v>
      </c>
      <c r="V5" s="25">
        <f>IF(V$2&gt;Inputs!$G$15,0,Inputs!$G$13*V$4)</f>
        <v>3225859.3490689108</v>
      </c>
      <c r="W5" s="25">
        <f>IF(W$2&gt;Inputs!$G$15,0,Inputs!$G$13*W$4)</f>
        <v>3209730.0523235663</v>
      </c>
      <c r="X5" s="25">
        <f>IF(X$2&gt;Inputs!$G$15,0,Inputs!$G$13*X$4)</f>
        <v>3193681.4020619481</v>
      </c>
      <c r="Y5" s="25">
        <f>IF(Y$2&gt;Inputs!$G$15,0,Inputs!$G$13*Y$4)</f>
        <v>3177712.9950516387</v>
      </c>
      <c r="Z5" s="25">
        <f>IF(Z$2&gt;Inputs!$G$15,0,Inputs!$G$13*Z$4)</f>
        <v>3161824.4300763803</v>
      </c>
      <c r="AA5" s="25">
        <f>IF(AA$2&gt;Inputs!$G$15,0,Inputs!$G$13*AA$4)</f>
        <v>3146015.3079259982</v>
      </c>
      <c r="AB5" s="25">
        <f>IF(AB$2&gt;Inputs!$G$15,0,Inputs!$G$13*AB$4)</f>
        <v>3130285.2313863686</v>
      </c>
      <c r="AC5" s="25">
        <f>IF(AC$2&gt;Inputs!$G$15,0,Inputs!$G$13*AC$4)</f>
        <v>3114633.8052294366</v>
      </c>
      <c r="AD5" s="25">
        <f>IF(AD$2&gt;Inputs!$G$15,0,Inputs!$G$13*AD$4)</f>
        <v>3099060.6362032895</v>
      </c>
      <c r="AE5" s="25">
        <f>IF(AE$2&gt;Inputs!$G$15,0,Inputs!$G$13*AE$4)</f>
        <v>3083565.3330222731</v>
      </c>
      <c r="AF5" s="25">
        <f>IF(AF$2&gt;Inputs!$G$15,0,Inputs!$G$13*AF$4)</f>
        <v>0</v>
      </c>
      <c r="AG5" s="25">
        <f>IF(AG$2&gt;Inputs!$G$15,0,Inputs!$G$13*AG$4)</f>
        <v>0</v>
      </c>
      <c r="AH5" s="25">
        <f>IF(AH$2&gt;Inputs!$G$15,0,Inputs!$G$13*AH$4)</f>
        <v>0</v>
      </c>
      <c r="AI5" s="25">
        <f>IF(AI$2&gt;Inputs!$G$15,0,Inputs!$G$13*AI$4)</f>
        <v>0</v>
      </c>
      <c r="AJ5" s="25">
        <f>IF(AJ$2&gt;Inputs!$G$15,0,Inputs!$G$13*AJ$4)</f>
        <v>0</v>
      </c>
    </row>
    <row r="6" spans="2:36" s="1" customFormat="1" ht="15.75" x14ac:dyDescent="0.25">
      <c r="B6" s="24"/>
      <c r="C6" s="24"/>
      <c r="D6" s="24"/>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row>
    <row r="7" spans="2:36" s="1" customFormat="1" ht="15.75" x14ac:dyDescent="0.25">
      <c r="B7" s="24" t="s">
        <v>108</v>
      </c>
      <c r="C7" s="24"/>
      <c r="D7" s="24"/>
      <c r="E7" s="54"/>
    </row>
    <row r="8" spans="2:36" s="1" customFormat="1" x14ac:dyDescent="0.2">
      <c r="B8" s="1" t="s">
        <v>110</v>
      </c>
      <c r="E8" s="54"/>
      <c r="G8" s="276">
        <v>1</v>
      </c>
      <c r="H8" s="23">
        <f>G8*(1+(Inputs!$Q$10*Inputs!$Q$9))</f>
        <v>1.02</v>
      </c>
      <c r="I8" s="23">
        <f>H8*(1+(Inputs!$Q$10*Inputs!$Q$9))</f>
        <v>1.0404</v>
      </c>
      <c r="J8" s="23">
        <f>I8*(1+(Inputs!$Q$10*Inputs!$Q$9))</f>
        <v>1.0612079999999999</v>
      </c>
      <c r="K8" s="23">
        <f>J8*(1+(Inputs!$Q$10*Inputs!$Q$9))</f>
        <v>1.08243216</v>
      </c>
      <c r="L8" s="23">
        <f>K8*(1+(Inputs!$Q$10*Inputs!$Q$9))</f>
        <v>1.1040808032</v>
      </c>
      <c r="M8" s="23">
        <f>L8*(1+(Inputs!$Q$10*Inputs!$Q$9))</f>
        <v>1.1261624192640001</v>
      </c>
      <c r="N8" s="23">
        <f>M8*(1+(Inputs!$Q$10*Inputs!$Q$9))</f>
        <v>1.14868566764928</v>
      </c>
      <c r="O8" s="23">
        <f>N8*(1+(Inputs!$Q$10*Inputs!$Q$9))</f>
        <v>1.1716593810022657</v>
      </c>
      <c r="P8" s="23">
        <f>O8*(1+(Inputs!$Q$10*Inputs!$Q$9))</f>
        <v>1.1950925686223111</v>
      </c>
      <c r="Q8" s="23">
        <f>P8*(1+(Inputs!$Q$10*Inputs!$Q$9))</f>
        <v>1.2189944199947573</v>
      </c>
      <c r="R8" s="23">
        <f>Q8*(1+(Inputs!$Q$10*Inputs!$Q$9))</f>
        <v>1.2433743083946525</v>
      </c>
      <c r="S8" s="23">
        <f>R8*(1+(Inputs!$Q$10*Inputs!$Q$9))</f>
        <v>1.2682417945625455</v>
      </c>
      <c r="T8" s="23">
        <f>S8*(1+(Inputs!$Q$10*Inputs!$Q$9))</f>
        <v>1.2936066304537963</v>
      </c>
      <c r="U8" s="23">
        <f>T8*(1+(Inputs!$Q$10*Inputs!$Q$9))</f>
        <v>1.3194787630628724</v>
      </c>
      <c r="V8" s="23">
        <f>U8*(1+(Inputs!$Q$10*Inputs!$Q$9))</f>
        <v>1.3458683383241299</v>
      </c>
      <c r="W8" s="23">
        <f>V8*(1+(Inputs!$Q$10*Inputs!$Q$9))</f>
        <v>1.3727857050906125</v>
      </c>
      <c r="X8" s="23">
        <f>W8*(1+(Inputs!$Q$10*Inputs!$Q$9))</f>
        <v>1.4002414191924248</v>
      </c>
      <c r="Y8" s="23">
        <f>X8*(1+(Inputs!$Q$10*Inputs!$Q$9))</f>
        <v>1.4282462475762734</v>
      </c>
      <c r="Z8" s="23">
        <f>Y8*(1+(Inputs!$Q$10*Inputs!$Q$9))</f>
        <v>1.4568111725277988</v>
      </c>
      <c r="AA8" s="23">
        <f>Z8*(1+(Inputs!$Q$10*Inputs!$Q$9))</f>
        <v>1.4859473959783549</v>
      </c>
      <c r="AB8" s="23">
        <f>AA8*(1+(Inputs!$Q$10*Inputs!$Q$9))</f>
        <v>1.5156663438979221</v>
      </c>
      <c r="AC8" s="23">
        <f>AB8*(1+(Inputs!$Q$10*Inputs!$Q$9))</f>
        <v>1.5459796707758806</v>
      </c>
      <c r="AD8" s="23">
        <f>AC8*(1+(Inputs!$Q$10*Inputs!$Q$9))</f>
        <v>1.5768992641913981</v>
      </c>
      <c r="AE8" s="23">
        <f>AD8*(1+(Inputs!$Q$10*Inputs!$Q$9))</f>
        <v>1.6084372494752261</v>
      </c>
      <c r="AF8" s="23">
        <f>AE8*(1+(Inputs!$Q$10*Inputs!$Q$9))</f>
        <v>1.6406059944647307</v>
      </c>
      <c r="AG8" s="23">
        <f>AF8*(1+(Inputs!$Q$10*Inputs!$Q$9))</f>
        <v>1.6734181143540252</v>
      </c>
      <c r="AH8" s="23">
        <f>AG8*(1+(Inputs!$Q$10*Inputs!$Q$9))</f>
        <v>1.7068864766411058</v>
      </c>
      <c r="AI8" s="23">
        <f>AH8*(1+(Inputs!$Q$10*Inputs!$Q$9))</f>
        <v>1.7410242061739281</v>
      </c>
      <c r="AJ8" s="23">
        <f>AI8*(1+(Inputs!$Q$10*Inputs!$Q$9))</f>
        <v>1.7758446902974065</v>
      </c>
    </row>
    <row r="9" spans="2:36" s="1" customFormat="1" x14ac:dyDescent="0.2">
      <c r="B9" s="1" t="s">
        <v>150</v>
      </c>
      <c r="E9" s="54"/>
      <c r="G9" s="276">
        <v>1</v>
      </c>
      <c r="H9" s="23">
        <f>G9*(1+Inputs!$Q$28)</f>
        <v>1.02</v>
      </c>
      <c r="I9" s="23">
        <f>H9*(1+Inputs!$Q$28)</f>
        <v>1.0404</v>
      </c>
      <c r="J9" s="23">
        <f>I9*(1+Inputs!$Q$28)</f>
        <v>1.0612079999999999</v>
      </c>
      <c r="K9" s="23">
        <f>J9*(1+Inputs!$Q$28)</f>
        <v>1.08243216</v>
      </c>
      <c r="L9" s="23">
        <f>K9*(1+Inputs!$Q$28)</f>
        <v>1.1040808032</v>
      </c>
      <c r="M9" s="23">
        <f>L9*(1+Inputs!$Q$28)</f>
        <v>1.1261624192640001</v>
      </c>
      <c r="N9" s="23">
        <f>M9*(1+Inputs!$Q$28)</f>
        <v>1.14868566764928</v>
      </c>
      <c r="O9" s="23">
        <f>N9*(1+Inputs!$Q$28)</f>
        <v>1.1716593810022657</v>
      </c>
      <c r="P9" s="23">
        <f>O9*(1+Inputs!$Q$28)</f>
        <v>1.1950925686223111</v>
      </c>
      <c r="Q9" s="23">
        <f>P9*(1+Inputs!$Q$28)</f>
        <v>1.2189944199947573</v>
      </c>
      <c r="R9" s="23">
        <f>Q9*(1+Inputs!$Q$28)</f>
        <v>1.2433743083946525</v>
      </c>
      <c r="S9" s="23">
        <f>R9*(1+Inputs!$Q$28)</f>
        <v>1.2682417945625455</v>
      </c>
      <c r="T9" s="23">
        <f>S9*(1+Inputs!$Q$28)</f>
        <v>1.2936066304537963</v>
      </c>
      <c r="U9" s="23">
        <f>T9*(1+Inputs!$Q$28)</f>
        <v>1.3194787630628724</v>
      </c>
      <c r="V9" s="23">
        <f>U9*(1+Inputs!$Q$28)</f>
        <v>1.3458683383241299</v>
      </c>
      <c r="W9" s="23">
        <f>V9*(1+Inputs!$Q$28)</f>
        <v>1.3727857050906125</v>
      </c>
      <c r="X9" s="23">
        <f>W9*(1+Inputs!$Q$28)</f>
        <v>1.4002414191924248</v>
      </c>
      <c r="Y9" s="23">
        <f>X9*(1+Inputs!$Q$28)</f>
        <v>1.4282462475762734</v>
      </c>
      <c r="Z9" s="23">
        <f>Y9*(1+Inputs!$Q$28)</f>
        <v>1.4568111725277988</v>
      </c>
      <c r="AA9" s="23">
        <f>Z9*(1+Inputs!$Q$28)</f>
        <v>1.4859473959783549</v>
      </c>
      <c r="AB9" s="23">
        <f>AA9*(1+Inputs!$Q$28)</f>
        <v>1.5156663438979221</v>
      </c>
      <c r="AC9" s="23">
        <f>AB9*(1+Inputs!$Q$28)</f>
        <v>1.5459796707758806</v>
      </c>
      <c r="AD9" s="23">
        <f>AC9*(1+Inputs!$Q$28)</f>
        <v>1.5768992641913981</v>
      </c>
      <c r="AE9" s="23">
        <f>AD9*(1+Inputs!$Q$28)</f>
        <v>1.6084372494752261</v>
      </c>
      <c r="AF9" s="23">
        <f>AE9*(1+Inputs!$Q$28)</f>
        <v>1.6406059944647307</v>
      </c>
      <c r="AG9" s="23">
        <f>AF9*(1+Inputs!$Q$28)</f>
        <v>1.6734181143540252</v>
      </c>
      <c r="AH9" s="23">
        <f>AG9*(1+Inputs!$Q$28)</f>
        <v>1.7068864766411058</v>
      </c>
      <c r="AI9" s="23">
        <f>AH9*(1+Inputs!$Q$28)</f>
        <v>1.7410242061739281</v>
      </c>
      <c r="AJ9" s="23">
        <f>AI9*(1+Inputs!$Q$28)</f>
        <v>1.7758446902974065</v>
      </c>
    </row>
    <row r="10" spans="2:36" s="1" customFormat="1" x14ac:dyDescent="0.2">
      <c r="B10" s="1" t="s">
        <v>151</v>
      </c>
      <c r="E10" s="54"/>
      <c r="G10" s="276">
        <v>1</v>
      </c>
      <c r="H10" s="23">
        <f>G10*(1+Inputs!$Q$44)</f>
        <v>1.02</v>
      </c>
      <c r="I10" s="23">
        <f>H10*(1+Inputs!$Q$44)</f>
        <v>1.0404</v>
      </c>
      <c r="J10" s="23">
        <f>I10*(1+Inputs!$Q$44)</f>
        <v>1.0612079999999999</v>
      </c>
      <c r="K10" s="23">
        <f>J10*(1+Inputs!$Q$44)</f>
        <v>1.08243216</v>
      </c>
      <c r="L10" s="23">
        <f>K10*(1+Inputs!$Q$44)</f>
        <v>1.1040808032</v>
      </c>
      <c r="M10" s="23">
        <f>L10*(1+Inputs!$Q$44)</f>
        <v>1.1261624192640001</v>
      </c>
      <c r="N10" s="23">
        <f>M10*(1+Inputs!$Q$44)</f>
        <v>1.14868566764928</v>
      </c>
      <c r="O10" s="23">
        <f>N10*(1+Inputs!$Q$44)</f>
        <v>1.1716593810022657</v>
      </c>
      <c r="P10" s="23">
        <f>O10*(1+Inputs!$Q$44)</f>
        <v>1.1950925686223111</v>
      </c>
      <c r="Q10" s="23">
        <f>P10*(1+Inputs!$Q$44)</f>
        <v>1.2189944199947573</v>
      </c>
      <c r="R10" s="23">
        <f>Q10*(1+Inputs!$Q$44)</f>
        <v>1.2433743083946525</v>
      </c>
      <c r="S10" s="23">
        <f>R10*(1+Inputs!$Q$44)</f>
        <v>1.2682417945625455</v>
      </c>
      <c r="T10" s="23">
        <f>S10*(1+Inputs!$Q$44)</f>
        <v>1.2936066304537963</v>
      </c>
      <c r="U10" s="23">
        <f>T10*(1+Inputs!$Q$44)</f>
        <v>1.3194787630628724</v>
      </c>
      <c r="V10" s="23">
        <f>U10*(1+Inputs!$Q$44)</f>
        <v>1.3458683383241299</v>
      </c>
      <c r="W10" s="23">
        <f>V10*(1+Inputs!$Q$44)</f>
        <v>1.3727857050906125</v>
      </c>
      <c r="X10" s="23">
        <f>W10*(1+Inputs!$Q$44)</f>
        <v>1.4002414191924248</v>
      </c>
      <c r="Y10" s="23">
        <f>X10*(1+Inputs!$Q$44)</f>
        <v>1.4282462475762734</v>
      </c>
      <c r="Z10" s="23">
        <f>Y10*(1+Inputs!$Q$44)</f>
        <v>1.4568111725277988</v>
      </c>
      <c r="AA10" s="23">
        <f>Z10*(1+Inputs!$Q$44)</f>
        <v>1.4859473959783549</v>
      </c>
      <c r="AB10" s="23">
        <f>AA10*(1+Inputs!$Q$44)</f>
        <v>1.5156663438979221</v>
      </c>
      <c r="AC10" s="23">
        <f>AB10*(1+Inputs!$Q$44)</f>
        <v>1.5459796707758806</v>
      </c>
      <c r="AD10" s="23">
        <f>AC10*(1+Inputs!$Q$44)</f>
        <v>1.5768992641913981</v>
      </c>
      <c r="AE10" s="23">
        <f>AD10*(1+Inputs!$Q$44)</f>
        <v>1.6084372494752261</v>
      </c>
      <c r="AF10" s="23">
        <f>AE10*(1+Inputs!$Q$44)</f>
        <v>1.6406059944647307</v>
      </c>
      <c r="AG10" s="23">
        <f>AF10*(1+Inputs!$Q$44)</f>
        <v>1.6734181143540252</v>
      </c>
      <c r="AH10" s="23">
        <f>AG10*(1+Inputs!$Q$44)</f>
        <v>1.7068864766411058</v>
      </c>
      <c r="AI10" s="23">
        <f>AH10*(1+Inputs!$Q$44)</f>
        <v>1.7410242061739281</v>
      </c>
      <c r="AJ10" s="23">
        <f>AI10*(1+Inputs!$Q$44)</f>
        <v>1.7758446902974065</v>
      </c>
    </row>
    <row r="11" spans="2:36" s="1" customFormat="1" ht="15.75" x14ac:dyDescent="0.25">
      <c r="E11" s="54"/>
      <c r="F11" s="54"/>
      <c r="G11" s="6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row>
    <row r="12" spans="2:36" s="1" customFormat="1" x14ac:dyDescent="0.2">
      <c r="B12" s="1" t="s">
        <v>283</v>
      </c>
      <c r="E12" s="54" t="s">
        <v>56</v>
      </c>
      <c r="F12" s="335">
        <f>1-F13</f>
        <v>0</v>
      </c>
      <c r="G12" s="65">
        <f>$G$72*$F12</f>
        <v>0</v>
      </c>
      <c r="H12" s="65">
        <f>IF(H2&gt;Inputs!$Q$8,0,G12)</f>
        <v>0</v>
      </c>
      <c r="I12" s="65">
        <f>IF(I2&gt;Inputs!$Q$8,0,H12)</f>
        <v>0</v>
      </c>
      <c r="J12" s="65">
        <f>IF(J2&gt;Inputs!$Q$8,0,I12)</f>
        <v>0</v>
      </c>
      <c r="K12" s="65">
        <f>IF(K2&gt;Inputs!$Q$8,0,J12)</f>
        <v>0</v>
      </c>
      <c r="L12" s="65">
        <f>IF(L2&gt;Inputs!$Q$8,0,K12)</f>
        <v>0</v>
      </c>
      <c r="M12" s="65">
        <f>IF(M2&gt;Inputs!$Q$8,0,L12)</f>
        <v>0</v>
      </c>
      <c r="N12" s="65">
        <f>IF(N2&gt;Inputs!$Q$8,0,M12)</f>
        <v>0</v>
      </c>
      <c r="O12" s="65">
        <f>IF(O2&gt;Inputs!$Q$8,0,N12)</f>
        <v>0</v>
      </c>
      <c r="P12" s="65">
        <f>IF(P2&gt;Inputs!$Q$8,0,O12)</f>
        <v>0</v>
      </c>
      <c r="Q12" s="65">
        <f>IF(Q2&gt;Inputs!$Q$8,0,P12)</f>
        <v>0</v>
      </c>
      <c r="R12" s="65">
        <f>IF(R2&gt;Inputs!$Q$8,0,Q12)</f>
        <v>0</v>
      </c>
      <c r="S12" s="65">
        <f>IF(S2&gt;Inputs!$Q$8,0,R12)</f>
        <v>0</v>
      </c>
      <c r="T12" s="65">
        <f>IF(T2&gt;Inputs!$Q$8,0,S12)</f>
        <v>0</v>
      </c>
      <c r="U12" s="65">
        <f>IF(U2&gt;Inputs!$Q$8,0,T12)</f>
        <v>0</v>
      </c>
      <c r="V12" s="65">
        <f>IF(V2&gt;Inputs!$Q$8,0,U12)</f>
        <v>0</v>
      </c>
      <c r="W12" s="65">
        <f>IF(W2&gt;Inputs!$Q$8,0,V12)</f>
        <v>0</v>
      </c>
      <c r="X12" s="65">
        <f>IF(X2&gt;Inputs!$Q$8,0,W12)</f>
        <v>0</v>
      </c>
      <c r="Y12" s="65">
        <f>IF(Y2&gt;Inputs!$Q$8,0,X12)</f>
        <v>0</v>
      </c>
      <c r="Z12" s="65">
        <f>IF(Z2&gt;Inputs!$Q$8,0,Y12)</f>
        <v>0</v>
      </c>
      <c r="AA12" s="65">
        <f>IF(AA2&gt;Inputs!$Q$8,0,Z12)</f>
        <v>0</v>
      </c>
      <c r="AB12" s="65">
        <f>IF(AB2&gt;Inputs!$Q$8,0,AA12)</f>
        <v>0</v>
      </c>
      <c r="AC12" s="65">
        <f>IF(AC2&gt;Inputs!$Q$8,0,AB12)</f>
        <v>0</v>
      </c>
      <c r="AD12" s="65">
        <f>IF(AD2&gt;Inputs!$Q$8,0,AC12)</f>
        <v>0</v>
      </c>
      <c r="AE12" s="65">
        <f>IF(AE2&gt;Inputs!$Q$8,0,AD12)</f>
        <v>0</v>
      </c>
      <c r="AF12" s="65">
        <f>IF(AF2&gt;Inputs!$Q$8,0,AE12)</f>
        <v>0</v>
      </c>
      <c r="AG12" s="65">
        <f>IF(AG2&gt;Inputs!$Q$8,0,AF12)</f>
        <v>0</v>
      </c>
      <c r="AH12" s="65">
        <f>IF(AH2&gt;Inputs!$Q$8,0,AG12)</f>
        <v>0</v>
      </c>
      <c r="AI12" s="65">
        <f>IF(AI2&gt;Inputs!$Q$8,0,AH12)</f>
        <v>0</v>
      </c>
      <c r="AJ12" s="65">
        <f>IF(AJ2&gt;Inputs!$Q$8,0,AI12)</f>
        <v>0</v>
      </c>
    </row>
    <row r="13" spans="2:36" s="1" customFormat="1" x14ac:dyDescent="0.2">
      <c r="B13" s="336" t="s">
        <v>285</v>
      </c>
      <c r="C13" s="336"/>
      <c r="D13" s="336"/>
      <c r="E13" s="54" t="s">
        <v>56</v>
      </c>
      <c r="F13" s="334">
        <f>Inputs!Q9</f>
        <v>1</v>
      </c>
      <c r="G13" s="337">
        <f>$G$72*$F13</f>
        <v>27.850000000000012</v>
      </c>
      <c r="H13" s="337">
        <f>IF(H2&gt;Inputs!$Q$8,0,G13*(1+Inputs!$Q$10))</f>
        <v>28.407000000000014</v>
      </c>
      <c r="I13" s="337">
        <f>IF(I2&gt;Inputs!$Q$8,0,H13*(1+Inputs!$Q$10))</f>
        <v>28.975140000000014</v>
      </c>
      <c r="J13" s="337">
        <f>IF(J2&gt;Inputs!$Q$8,0,I13*(1+Inputs!$Q$10))</f>
        <v>29.554642800000014</v>
      </c>
      <c r="K13" s="337">
        <f>IF(K2&gt;Inputs!$Q$8,0,J13*(1+Inputs!$Q$10))</f>
        <v>30.145735656000014</v>
      </c>
      <c r="L13" s="337">
        <f>IF(L2&gt;Inputs!$Q$8,0,K13*(1+Inputs!$Q$10))</f>
        <v>30.748650369120014</v>
      </c>
      <c r="M13" s="337">
        <f>IF(M2&gt;Inputs!$Q$8,0,L13*(1+Inputs!$Q$10))</f>
        <v>31.363623376502414</v>
      </c>
      <c r="N13" s="337">
        <f>IF(N2&gt;Inputs!$Q$8,0,M13*(1+Inputs!$Q$10))</f>
        <v>31.990895844032462</v>
      </c>
      <c r="O13" s="337">
        <f>IF(O2&gt;Inputs!$Q$8,0,N13*(1+Inputs!$Q$10))</f>
        <v>32.63071376091311</v>
      </c>
      <c r="P13" s="337">
        <f>IF(P2&gt;Inputs!$Q$8,0,O13*(1+Inputs!$Q$10))</f>
        <v>33.283328036131373</v>
      </c>
      <c r="Q13" s="337">
        <f>IF(Q2&gt;Inputs!$Q$8,0,P13*(1+Inputs!$Q$10))</f>
        <v>33.948994596854</v>
      </c>
      <c r="R13" s="337">
        <f>IF(R2&gt;Inputs!$Q$8,0,Q13*(1+Inputs!$Q$10))</f>
        <v>34.627974488791082</v>
      </c>
      <c r="S13" s="337">
        <f>IF(S2&gt;Inputs!$Q$8,0,R13*(1+Inputs!$Q$10))</f>
        <v>35.320533978566907</v>
      </c>
      <c r="T13" s="337">
        <f>IF(T2&gt;Inputs!$Q$8,0,S13*(1+Inputs!$Q$10))</f>
        <v>36.026944658138248</v>
      </c>
      <c r="U13" s="337">
        <f>IF(U2&gt;Inputs!$Q$8,0,T13*(1+Inputs!$Q$10))</f>
        <v>36.747483551301016</v>
      </c>
      <c r="V13" s="337">
        <f>IF(V2&gt;Inputs!$Q$8,0,U13*(1+Inputs!$Q$10))</f>
        <v>37.482433222327039</v>
      </c>
      <c r="W13" s="337">
        <f>IF(W2&gt;Inputs!$Q$8,0,V13*(1+Inputs!$Q$10))</f>
        <v>38.232081886773578</v>
      </c>
      <c r="X13" s="337">
        <f>IF(X2&gt;Inputs!$Q$8,0,W13*(1+Inputs!$Q$10))</f>
        <v>38.996723524509051</v>
      </c>
      <c r="Y13" s="337">
        <f>IF(Y2&gt;Inputs!$Q$8,0,X13*(1+Inputs!$Q$10))</f>
        <v>39.776657994999233</v>
      </c>
      <c r="Z13" s="337">
        <f>IF(Z2&gt;Inputs!$Q$8,0,Y13*(1+Inputs!$Q$10))</f>
        <v>40.572191154899215</v>
      </c>
      <c r="AA13" s="337">
        <f>IF(AA2&gt;Inputs!$Q$8,0,Z13*(1+Inputs!$Q$10))</f>
        <v>0</v>
      </c>
      <c r="AB13" s="337">
        <f>IF(AB2&gt;Inputs!$Q$8,0,AA13*(1+Inputs!$Q$10))</f>
        <v>0</v>
      </c>
      <c r="AC13" s="337">
        <f>IF(AC2&gt;Inputs!$Q$8,0,AB13*(1+Inputs!$Q$10))</f>
        <v>0</v>
      </c>
      <c r="AD13" s="337">
        <f>IF(AD2&gt;Inputs!$Q$8,0,AC13*(1+Inputs!$Q$10))</f>
        <v>0</v>
      </c>
      <c r="AE13" s="337">
        <f>IF(AE2&gt;Inputs!$Q$8,0,AD13*(1+Inputs!$Q$10))</f>
        <v>0</v>
      </c>
      <c r="AF13" s="337">
        <f>IF(AF2&gt;Inputs!$Q$8,0,AE13*(1+Inputs!$Q$10))</f>
        <v>0</v>
      </c>
      <c r="AG13" s="337">
        <f>IF(AG2&gt;Inputs!$Q$8,0,AF13*(1+Inputs!$Q$10))</f>
        <v>0</v>
      </c>
      <c r="AH13" s="337">
        <f>IF(AH2&gt;Inputs!$Q$8,0,AG13*(1+Inputs!$Q$10))</f>
        <v>0</v>
      </c>
      <c r="AI13" s="337">
        <f>IF(AI2&gt;Inputs!$Q$8,0,AH13*(1+Inputs!$Q$10))</f>
        <v>0</v>
      </c>
      <c r="AJ13" s="337">
        <f>IF(AJ2&gt;Inputs!$Q$8,0,AI13*(1+Inputs!$Q$10))</f>
        <v>0</v>
      </c>
    </row>
    <row r="14" spans="2:36" s="1" customFormat="1" x14ac:dyDescent="0.2">
      <c r="B14" s="1" t="s">
        <v>284</v>
      </c>
      <c r="E14" s="54" t="s">
        <v>56</v>
      </c>
      <c r="F14" s="67"/>
      <c r="G14" s="65">
        <f>SUM(G12:G13)</f>
        <v>27.850000000000012</v>
      </c>
      <c r="H14" s="65">
        <f t="shared" ref="H14:AJ14" si="0">SUM(H12:H13)</f>
        <v>28.407000000000014</v>
      </c>
      <c r="I14" s="65">
        <f t="shared" si="0"/>
        <v>28.975140000000014</v>
      </c>
      <c r="J14" s="65">
        <f t="shared" si="0"/>
        <v>29.554642800000014</v>
      </c>
      <c r="K14" s="65">
        <f t="shared" si="0"/>
        <v>30.145735656000014</v>
      </c>
      <c r="L14" s="65">
        <f t="shared" si="0"/>
        <v>30.748650369120014</v>
      </c>
      <c r="M14" s="65">
        <f t="shared" si="0"/>
        <v>31.363623376502414</v>
      </c>
      <c r="N14" s="65">
        <f t="shared" si="0"/>
        <v>31.990895844032462</v>
      </c>
      <c r="O14" s="65">
        <f t="shared" si="0"/>
        <v>32.63071376091311</v>
      </c>
      <c r="P14" s="65">
        <f t="shared" si="0"/>
        <v>33.283328036131373</v>
      </c>
      <c r="Q14" s="65">
        <f t="shared" si="0"/>
        <v>33.948994596854</v>
      </c>
      <c r="R14" s="65">
        <f t="shared" si="0"/>
        <v>34.627974488791082</v>
      </c>
      <c r="S14" s="65">
        <f t="shared" si="0"/>
        <v>35.320533978566907</v>
      </c>
      <c r="T14" s="65">
        <f t="shared" si="0"/>
        <v>36.026944658138248</v>
      </c>
      <c r="U14" s="65">
        <f t="shared" si="0"/>
        <v>36.747483551301016</v>
      </c>
      <c r="V14" s="65">
        <f t="shared" si="0"/>
        <v>37.482433222327039</v>
      </c>
      <c r="W14" s="65">
        <f t="shared" si="0"/>
        <v>38.232081886773578</v>
      </c>
      <c r="X14" s="65">
        <f t="shared" si="0"/>
        <v>38.996723524509051</v>
      </c>
      <c r="Y14" s="65">
        <f t="shared" si="0"/>
        <v>39.776657994999233</v>
      </c>
      <c r="Z14" s="65">
        <f t="shared" si="0"/>
        <v>40.572191154899215</v>
      </c>
      <c r="AA14" s="65">
        <f t="shared" si="0"/>
        <v>0</v>
      </c>
      <c r="AB14" s="65">
        <f t="shared" si="0"/>
        <v>0</v>
      </c>
      <c r="AC14" s="65">
        <f t="shared" si="0"/>
        <v>0</v>
      </c>
      <c r="AD14" s="65">
        <f t="shared" si="0"/>
        <v>0</v>
      </c>
      <c r="AE14" s="65">
        <f t="shared" si="0"/>
        <v>0</v>
      </c>
      <c r="AF14" s="65">
        <f t="shared" si="0"/>
        <v>0</v>
      </c>
      <c r="AG14" s="65">
        <f t="shared" si="0"/>
        <v>0</v>
      </c>
      <c r="AH14" s="65">
        <f t="shared" si="0"/>
        <v>0</v>
      </c>
      <c r="AI14" s="65">
        <f t="shared" si="0"/>
        <v>0</v>
      </c>
      <c r="AJ14" s="65">
        <f t="shared" si="0"/>
        <v>0</v>
      </c>
    </row>
    <row r="15" spans="2:36" s="1" customFormat="1" x14ac:dyDescent="0.2">
      <c r="B15" s="1" t="s">
        <v>111</v>
      </c>
      <c r="E15" s="54" t="s">
        <v>0</v>
      </c>
      <c r="G15" s="26">
        <f>(G$14*G$5)/100</f>
        <v>968555.28690250055</v>
      </c>
      <c r="H15" s="26">
        <f t="shared" ref="H15:AJ15" si="1">(H$14*H$5)/100</f>
        <v>982986.76067734777</v>
      </c>
      <c r="I15" s="26">
        <f t="shared" si="1"/>
        <v>997633.26341144042</v>
      </c>
      <c r="J15" s="26">
        <f t="shared" si="1"/>
        <v>1012497.9990362708</v>
      </c>
      <c r="K15" s="26">
        <f t="shared" si="1"/>
        <v>1027584.2192219112</v>
      </c>
      <c r="L15" s="26">
        <f t="shared" si="1"/>
        <v>1042895.2240883177</v>
      </c>
      <c r="M15" s="26">
        <f t="shared" si="1"/>
        <v>1058434.3629272338</v>
      </c>
      <c r="N15" s="26">
        <f t="shared" si="1"/>
        <v>1074205.0349348495</v>
      </c>
      <c r="O15" s="26">
        <f t="shared" si="1"/>
        <v>1090210.6899553786</v>
      </c>
      <c r="P15" s="26">
        <f t="shared" si="1"/>
        <v>1106454.8292357137</v>
      </c>
      <c r="Q15" s="26">
        <f t="shared" si="1"/>
        <v>1122941.0061913256</v>
      </c>
      <c r="R15" s="26">
        <f t="shared" si="1"/>
        <v>1139672.8271835765</v>
      </c>
      <c r="S15" s="26">
        <f t="shared" si="1"/>
        <v>1156653.9523086119</v>
      </c>
      <c r="T15" s="26">
        <f t="shared" si="1"/>
        <v>1173888.0961980105</v>
      </c>
      <c r="U15" s="26">
        <f t="shared" si="1"/>
        <v>1191379.0288313609</v>
      </c>
      <c r="V15" s="26">
        <f t="shared" si="1"/>
        <v>1209130.5763609482</v>
      </c>
      <c r="W15" s="26">
        <f t="shared" si="1"/>
        <v>1227146.6219487262</v>
      </c>
      <c r="X15" s="26">
        <f t="shared" si="1"/>
        <v>1245431.1066157622</v>
      </c>
      <c r="Y15" s="26">
        <f t="shared" si="1"/>
        <v>1263988.0301043373</v>
      </c>
      <c r="Z15" s="26">
        <f t="shared" si="1"/>
        <v>1282821.4517528918</v>
      </c>
      <c r="AA15" s="26">
        <f t="shared" si="1"/>
        <v>0</v>
      </c>
      <c r="AB15" s="26">
        <f t="shared" si="1"/>
        <v>0</v>
      </c>
      <c r="AC15" s="26">
        <f t="shared" si="1"/>
        <v>0</v>
      </c>
      <c r="AD15" s="26">
        <f t="shared" si="1"/>
        <v>0</v>
      </c>
      <c r="AE15" s="26">
        <f t="shared" si="1"/>
        <v>0</v>
      </c>
      <c r="AF15" s="26">
        <f t="shared" si="1"/>
        <v>0</v>
      </c>
      <c r="AG15" s="26">
        <f t="shared" si="1"/>
        <v>0</v>
      </c>
      <c r="AH15" s="26">
        <f t="shared" si="1"/>
        <v>0</v>
      </c>
      <c r="AI15" s="26">
        <f t="shared" si="1"/>
        <v>0</v>
      </c>
      <c r="AJ15" s="26">
        <f t="shared" si="1"/>
        <v>0</v>
      </c>
    </row>
    <row r="16" spans="2:36" s="1" customFormat="1" x14ac:dyDescent="0.2">
      <c r="B16" s="1" t="s">
        <v>246</v>
      </c>
      <c r="E16" s="54" t="s">
        <v>56</v>
      </c>
      <c r="G16" s="65">
        <f>IF(Inputs!$Q$8=Inputs!$G$15,0,IF(Inputs!$Q$13="Year One",Inputs!$Q$14,'Complex Inputs'!$D129))</f>
        <v>5</v>
      </c>
      <c r="H16" s="65">
        <f>IF(H$2&gt;Inputs!$G$15,0,IF(Inputs!$Q$13="Year One",G$16*(1+Inputs!$Q$15),'Complex Inputs'!$D130))</f>
        <v>5.15</v>
      </c>
      <c r="I16" s="65">
        <f>IF(I$2&gt;Inputs!$G$15,0,IF(Inputs!$Q$13="Year One",H$16*(1+Inputs!$Q$15),'Complex Inputs'!$D131))</f>
        <v>5.3045000000000009</v>
      </c>
      <c r="J16" s="65">
        <f>IF(J$2&gt;Inputs!$G$15,0,IF(Inputs!$Q$13="Year One",I$16*(1+Inputs!$Q$15),'Complex Inputs'!$D132))</f>
        <v>5.4636350000000009</v>
      </c>
      <c r="K16" s="65">
        <f>IF(K$2&gt;Inputs!$G$15,0,IF(Inputs!$Q$13="Year One",J$16*(1+Inputs!$Q$15),'Complex Inputs'!$D133))</f>
        <v>5.6275440500000009</v>
      </c>
      <c r="L16" s="65">
        <f>IF(L$2&gt;Inputs!$G$15,0,IF(Inputs!$Q$13="Year One",K$16*(1+Inputs!$Q$15),'Complex Inputs'!$D134))</f>
        <v>5.796370371500001</v>
      </c>
      <c r="M16" s="65">
        <f>IF(M$2&gt;Inputs!$G$15,0,IF(Inputs!$Q$13="Year One",L$16*(1+Inputs!$Q$15),'Complex Inputs'!$D135))</f>
        <v>5.9702614826450011</v>
      </c>
      <c r="N16" s="65">
        <f>IF(N$2&gt;Inputs!$G$15,0,IF(Inputs!$Q$13="Year One",M$16*(1+Inputs!$Q$15),'Complex Inputs'!$D136))</f>
        <v>6.1493693271243517</v>
      </c>
      <c r="O16" s="65">
        <f>IF(O$2&gt;Inputs!$G$15,0,IF(Inputs!$Q$13="Year One",N$16*(1+Inputs!$Q$15),'Complex Inputs'!$D137))</f>
        <v>6.3338504069380823</v>
      </c>
      <c r="P16" s="65">
        <f>IF(P$2&gt;Inputs!$G$15,0,IF(Inputs!$Q$13="Year One",O$16*(1+Inputs!$Q$15),'Complex Inputs'!$D138))</f>
        <v>6.5238659191462247</v>
      </c>
      <c r="Q16" s="65">
        <f>IF(Q$2&gt;Inputs!$G$15,0,IF(Inputs!$Q$13="Year One",P$16*(1+Inputs!$Q$15),'Complex Inputs'!$D139))</f>
        <v>6.7195818967206113</v>
      </c>
      <c r="R16" s="65">
        <f>IF(R$2&gt;Inputs!$G$15,0,IF(Inputs!$Q$13="Year One",Q$16*(1+Inputs!$Q$15),'Complex Inputs'!$D140))</f>
        <v>6.9211693536222301</v>
      </c>
      <c r="S16" s="65">
        <f>IF(S$2&gt;Inputs!$G$15,0,IF(Inputs!$Q$13="Year One",R$16*(1+Inputs!$Q$15),'Complex Inputs'!$D141))</f>
        <v>7.1288044342308972</v>
      </c>
      <c r="T16" s="65">
        <f>IF(T$2&gt;Inputs!$G$15,0,IF(Inputs!$Q$13="Year One",S$16*(1+Inputs!$Q$15),'Complex Inputs'!$D142))</f>
        <v>7.3426685672578245</v>
      </c>
      <c r="U16" s="65">
        <f>IF(U$2&gt;Inputs!$G$15,0,IF(Inputs!$Q$13="Year One",T$16*(1+Inputs!$Q$15),'Complex Inputs'!$D143))</f>
        <v>7.5629486242755597</v>
      </c>
      <c r="V16" s="65">
        <f>IF(V$2&gt;Inputs!$G$15,0,IF(Inputs!$Q$13="Year One",U$16*(1+Inputs!$Q$15),'Complex Inputs'!$D144))</f>
        <v>7.7898370830038264</v>
      </c>
      <c r="W16" s="65">
        <f>IF(W$2&gt;Inputs!$G$15,0,IF(Inputs!$Q$13="Year One",V$16*(1+Inputs!$Q$15),'Complex Inputs'!$D145))</f>
        <v>8.0235321954939423</v>
      </c>
      <c r="X16" s="65">
        <f>IF(X$2&gt;Inputs!$G$15,0,IF(Inputs!$Q$13="Year One",W$16*(1+Inputs!$Q$15),'Complex Inputs'!$D146))</f>
        <v>8.2642381613587599</v>
      </c>
      <c r="Y16" s="65">
        <f>IF(Y$2&gt;Inputs!$G$15,0,IF(Inputs!$Q$13="Year One",X$16*(1+Inputs!$Q$15),'Complex Inputs'!$D147))</f>
        <v>8.5121653061995222</v>
      </c>
      <c r="Z16" s="65">
        <f>IF(Z$2&gt;Inputs!$G$15,0,IF(Inputs!$Q$13="Year One",Y$16*(1+Inputs!$Q$15),'Complex Inputs'!$D148))</f>
        <v>8.7675302653855081</v>
      </c>
      <c r="AA16" s="65">
        <f>IF(AA$2&gt;Inputs!$G$15,0,IF(Inputs!$Q$13="Year One",Z$16*(1+Inputs!$Q$15),'Complex Inputs'!$D149))</f>
        <v>9.0305561733470743</v>
      </c>
      <c r="AB16" s="65">
        <f>IF(AB$2&gt;Inputs!$G$15,0,IF(Inputs!$Q$13="Year One",AA$16*(1+Inputs!$Q$15),'Complex Inputs'!$D150))</f>
        <v>9.301472858547486</v>
      </c>
      <c r="AC16" s="65">
        <f>IF(AC$2&gt;Inputs!$G$15,0,IF(Inputs!$Q$13="Year One",AB$16*(1+Inputs!$Q$15),'Complex Inputs'!$D151))</f>
        <v>9.5805170443039103</v>
      </c>
      <c r="AD16" s="65">
        <f>IF(AD$2&gt;Inputs!$G$15,0,IF(Inputs!$Q$13="Year One",AC$16*(1+Inputs!$Q$15),'Complex Inputs'!$D152))</f>
        <v>9.8679325556330273</v>
      </c>
      <c r="AE16" s="65">
        <f>IF(AE$2&gt;Inputs!$G$15,0,IF(Inputs!$Q$13="Year One",AD$16*(1+Inputs!$Q$15),'Complex Inputs'!$D153))</f>
        <v>10.163970532302018</v>
      </c>
      <c r="AF16" s="65">
        <f>IF(AF$2&gt;Inputs!$G$15,0,IF(Inputs!$Q$13="Year One",AE$16*(1+Inputs!$Q$15),'Complex Inputs'!$D154))</f>
        <v>0</v>
      </c>
      <c r="AG16" s="65">
        <f>IF(AG$2&gt;Inputs!$G$15,0,IF(Inputs!$Q$13="Year One",AF$16*(1+Inputs!$Q$15),'Complex Inputs'!$D155))</f>
        <v>0</v>
      </c>
      <c r="AH16" s="65">
        <f>IF(AH$2&gt;Inputs!$G$15,0,IF(Inputs!$Q$13="Year One",AG$16*(1+Inputs!$Q$15),'Complex Inputs'!$D156))</f>
        <v>0</v>
      </c>
      <c r="AI16" s="65">
        <f>IF(AI$2&gt;Inputs!$G$15,0,IF(Inputs!$Q$13="Year One",AH$16*(1+Inputs!$Q$15),'Complex Inputs'!$D157))</f>
        <v>0</v>
      </c>
      <c r="AJ16" s="65">
        <f>IF(AJ$2&gt;Inputs!$G$15,0,IF(Inputs!$Q$13="Year One",AI$16*(1+Inputs!$Q$15),'Complex Inputs'!$D158))</f>
        <v>0</v>
      </c>
    </row>
    <row r="17" spans="2:36" s="1" customFormat="1" x14ac:dyDescent="0.2">
      <c r="B17" s="1" t="s">
        <v>245</v>
      </c>
      <c r="E17" s="54" t="s">
        <v>0</v>
      </c>
      <c r="G17" s="26">
        <f>IF(G$2&lt;=Inputs!$Q$8,0,IF(G$2&gt;Inputs!$G$15,0,(G$16*G$5)/100))</f>
        <v>0</v>
      </c>
      <c r="H17" s="26">
        <f>IF(H$2&lt;=Inputs!$Q$8,0,IF(H$2&gt;Inputs!$G$15,0,(H$16*H$5)/100))</f>
        <v>0</v>
      </c>
      <c r="I17" s="26">
        <f>IF(I$2&lt;=Inputs!$Q$8,0,IF(I$2&gt;Inputs!$G$15,0,(I$16*I$5)/100))</f>
        <v>0</v>
      </c>
      <c r="J17" s="26">
        <f>IF(J$2&lt;=Inputs!$Q$8,0,IF(J$2&gt;Inputs!$G$15,0,(J$16*J$5)/100))</f>
        <v>0</v>
      </c>
      <c r="K17" s="26">
        <f>IF(K$2&lt;=Inputs!$Q$8,0,IF(K$2&gt;Inputs!$G$15,0,(K$16*K$5)/100))</f>
        <v>0</v>
      </c>
      <c r="L17" s="26">
        <f>IF(L$2&lt;=Inputs!$Q$8,0,IF(L$2&gt;Inputs!$G$15,0,(L$16*L$5)/100))</f>
        <v>0</v>
      </c>
      <c r="M17" s="26">
        <f>IF(M$2&lt;=Inputs!$Q$8,0,IF(M$2&gt;Inputs!$G$15,0,(M$16*M$5)/100))</f>
        <v>0</v>
      </c>
      <c r="N17" s="26">
        <f>IF(N$2&lt;=Inputs!$Q$8,0,IF(N$2&gt;Inputs!$G$15,0,(N$16*N$5)/100))</f>
        <v>0</v>
      </c>
      <c r="O17" s="26">
        <f>IF(O$2&lt;=Inputs!$Q$8,0,IF(O$2&gt;Inputs!$G$15,0,(O$16*O$5)/100))</f>
        <v>0</v>
      </c>
      <c r="P17" s="26">
        <f>IF(P$2&lt;=Inputs!$Q$8,0,IF(P$2&gt;Inputs!$G$15,0,(P$16*P$5)/100))</f>
        <v>0</v>
      </c>
      <c r="Q17" s="26">
        <f>IF(Q$2&lt;=Inputs!$Q$8,0,IF(Q$2&gt;Inputs!$G$15,0,(Q$16*Q$5)/100))</f>
        <v>0</v>
      </c>
      <c r="R17" s="26">
        <f>IF(R$2&lt;=Inputs!$Q$8,0,IF(R$2&gt;Inputs!$G$15,0,(R$16*R$5)/100))</f>
        <v>0</v>
      </c>
      <c r="S17" s="26">
        <f>IF(S$2&lt;=Inputs!$Q$8,0,IF(S$2&gt;Inputs!$G$15,0,(S$16*S$5)/100))</f>
        <v>0</v>
      </c>
      <c r="T17" s="26">
        <f>IF(T$2&lt;=Inputs!$Q$8,0,IF(T$2&gt;Inputs!$G$15,0,(T$16*T$5)/100))</f>
        <v>0</v>
      </c>
      <c r="U17" s="26">
        <f>IF(U$2&lt;=Inputs!$Q$8,0,IF(U$2&gt;Inputs!$G$15,0,(U$16*U$5)/100))</f>
        <v>0</v>
      </c>
      <c r="V17" s="26">
        <f>IF(V$2&lt;=Inputs!$Q$8,0,IF(V$2&gt;Inputs!$G$15,0,(V$16*V$5)/100))</f>
        <v>0</v>
      </c>
      <c r="W17" s="26">
        <f>IF(W$2&lt;=Inputs!$Q$8,0,IF(W$2&gt;Inputs!$G$15,0,(W$16*W$5)/100))</f>
        <v>0</v>
      </c>
      <c r="X17" s="26">
        <f>IF(X$2&lt;=Inputs!$Q$8,0,IF(X$2&gt;Inputs!$G$15,0,(X$16*X$5)/100))</f>
        <v>0</v>
      </c>
      <c r="Y17" s="26">
        <f>IF(Y$2&lt;=Inputs!$Q$8,0,IF(Y$2&gt;Inputs!$G$15,0,(Y$16*Y$5)/100))</f>
        <v>0</v>
      </c>
      <c r="Z17" s="26">
        <f>IF(Z$2&lt;=Inputs!$Q$8,0,IF(Z$2&gt;Inputs!$G$15,0,(Z$16*Z$5)/100))</f>
        <v>0</v>
      </c>
      <c r="AA17" s="26">
        <f>IF(AA$2&lt;=Inputs!$Q$8,0,IF(AA$2&gt;Inputs!$G$15,0,(AA$16*AA$5)/100))</f>
        <v>284102.67960435519</v>
      </c>
      <c r="AB17" s="26">
        <f>IF(AB$2&lt;=Inputs!$Q$8,0,IF(AB$2&gt;Inputs!$G$15,0,(AB$16*AB$5)/100))</f>
        <v>291162.63119252346</v>
      </c>
      <c r="AC17" s="26">
        <f>IF(AC$2&lt;=Inputs!$Q$8,0,IF(AC$2&gt;Inputs!$G$15,0,(AC$16*AC$5)/100))</f>
        <v>298398.0225776576</v>
      </c>
      <c r="AD17" s="26">
        <f>IF(AD$2&lt;=Inputs!$Q$8,0,IF(AD$2&gt;Inputs!$G$15,0,(AD$16*AD$5)/100))</f>
        <v>305813.21343871241</v>
      </c>
      <c r="AE17" s="26">
        <f>IF(AE$2&lt;=Inputs!$Q$8,0,IF(AE$2&gt;Inputs!$G$15,0,(AE$16*AE$5)/100))</f>
        <v>313412.67179266445</v>
      </c>
      <c r="AF17" s="26">
        <f>IF(AF$2&lt;=Inputs!$Q$8,0,IF(AF$2&gt;Inputs!$G$15,0,(AF$16*AF$5)/100))</f>
        <v>0</v>
      </c>
      <c r="AG17" s="26">
        <f>IF(AG$2&lt;=Inputs!$Q$8,0,IF(AG$2&gt;Inputs!$G$15,0,(AG$16*AG$5)/100))</f>
        <v>0</v>
      </c>
      <c r="AH17" s="26">
        <f>IF(AH$2&lt;=Inputs!$Q$8,0,IF(AH$2&gt;Inputs!$G$15,0,(AH$16*AH$5)/100))</f>
        <v>0</v>
      </c>
      <c r="AI17" s="26">
        <f>IF(AI$2&lt;=Inputs!$Q$8,0,IF(AI$2&gt;Inputs!$G$15,0,(AI$16*AI$5)/100))</f>
        <v>0</v>
      </c>
      <c r="AJ17" s="26">
        <f>IF(AJ$2&lt;=Inputs!$Q$8,0,IF(AJ$2&gt;Inputs!$G$15,0,(AJ$16*AJ$5)/100))</f>
        <v>0</v>
      </c>
    </row>
    <row r="18" spans="2:36" s="1" customFormat="1" x14ac:dyDescent="0.2">
      <c r="B18" s="1" t="s">
        <v>112</v>
      </c>
      <c r="E18" s="54" t="s">
        <v>56</v>
      </c>
      <c r="G18" s="65">
        <f>IF(OR(Inputs!$Q$19="Cost-Based",Inputs!$Q$19="Neither"),0,IF(AND(Inputs!$Q$24="Cash",G$2&lt;=Inputs!$Q$27),Inputs!$Q$25*G$9,0))</f>
        <v>0</v>
      </c>
      <c r="H18" s="65">
        <f>IF(OR(Inputs!$Q$19="Cost-Based",Inputs!$Q$19="Neither"),0,IF(AND(Inputs!$Q$24="Cash",H$2&lt;=Inputs!$Q$27),Inputs!$Q$25*H$9,0))</f>
        <v>0</v>
      </c>
      <c r="I18" s="65">
        <f>IF(OR(Inputs!$Q$19="Cost-Based",Inputs!$Q$19="Neither"),0,IF(AND(Inputs!$Q$24="Cash",I$2&lt;=Inputs!$Q$27),Inputs!$Q$25*I$9,0))</f>
        <v>0</v>
      </c>
      <c r="J18" s="65">
        <f>IF(OR(Inputs!$Q$19="Cost-Based",Inputs!$Q$19="Neither"),0,IF(AND(Inputs!$Q$24="Cash",J$2&lt;=Inputs!$Q$27),Inputs!$Q$25*J$9,0))</f>
        <v>0</v>
      </c>
      <c r="K18" s="65">
        <f>IF(OR(Inputs!$Q$19="Cost-Based",Inputs!$Q$19="Neither"),0,IF(AND(Inputs!$Q$24="Cash",K$2&lt;=Inputs!$Q$27),Inputs!$Q$25*K$9,0))</f>
        <v>0</v>
      </c>
      <c r="L18" s="65">
        <f>IF(OR(Inputs!$Q$19="Cost-Based",Inputs!$Q$19="Neither"),0,IF(AND(Inputs!$Q$24="Cash",L$2&lt;=Inputs!$Q$27),Inputs!$Q$25*L$9,0))</f>
        <v>0</v>
      </c>
      <c r="M18" s="65">
        <f>IF(OR(Inputs!$Q$19="Cost-Based",Inputs!$Q$19="Neither"),0,IF(AND(Inputs!$Q$24="Cash",M$2&lt;=Inputs!$Q$27),Inputs!$Q$25*M$9,0))</f>
        <v>0</v>
      </c>
      <c r="N18" s="65">
        <f>IF(OR(Inputs!$Q$19="Cost-Based",Inputs!$Q$19="Neither"),0,IF(AND(Inputs!$Q$24="Cash",N$2&lt;=Inputs!$Q$27),Inputs!$Q$25*N$9,0))</f>
        <v>0</v>
      </c>
      <c r="O18" s="65">
        <f>IF(OR(Inputs!$Q$19="Cost-Based",Inputs!$Q$19="Neither"),0,IF(AND(Inputs!$Q$24="Cash",O$2&lt;=Inputs!$Q$27),Inputs!$Q$25*O$9,0))</f>
        <v>0</v>
      </c>
      <c r="P18" s="65">
        <f>IF(OR(Inputs!$Q$19="Cost-Based",Inputs!$Q$19="Neither"),0,IF(AND(Inputs!$Q$24="Cash",P$2&lt;=Inputs!$Q$27),Inputs!$Q$25*P$9,0))</f>
        <v>0</v>
      </c>
      <c r="Q18" s="65">
        <f>IF(OR(Inputs!$Q$19="Cost-Based",Inputs!$Q$19="Neither"),0,IF(AND(Inputs!$Q$24="Cash",Q$2&lt;=Inputs!$Q$27),Inputs!$Q$25*Q$9,0))</f>
        <v>0</v>
      </c>
      <c r="R18" s="65">
        <f>IF(OR(Inputs!$Q$19="Cost-Based",Inputs!$Q$19="Neither"),0,IF(AND(Inputs!$Q$24="Cash",R$2&lt;=Inputs!$Q$27),Inputs!$Q$25*R$9,0))</f>
        <v>0</v>
      </c>
      <c r="S18" s="65">
        <f>IF(OR(Inputs!$Q$19="Cost-Based",Inputs!$Q$19="Neither"),0,IF(AND(Inputs!$Q$24="Cash",S$2&lt;=Inputs!$Q$27),Inputs!$Q$25*S$9,0))</f>
        <v>0</v>
      </c>
      <c r="T18" s="65">
        <f>IF(OR(Inputs!$Q$19="Cost-Based",Inputs!$Q$19="Neither"),0,IF(AND(Inputs!$Q$24="Cash",T$2&lt;=Inputs!$Q$27),Inputs!$Q$25*T$9,0))</f>
        <v>0</v>
      </c>
      <c r="U18" s="65">
        <f>IF(OR(Inputs!$Q$19="Cost-Based",Inputs!$Q$19="Neither"),0,IF(AND(Inputs!$Q$24="Cash",U$2&lt;=Inputs!$Q$27),Inputs!$Q$25*U$9,0))</f>
        <v>0</v>
      </c>
      <c r="V18" s="65">
        <f>IF(OR(Inputs!$Q$19="Cost-Based",Inputs!$Q$19="Neither"),0,IF(AND(Inputs!$Q$24="Cash",V$2&lt;=Inputs!$Q$27),Inputs!$Q$25*V$9,0))</f>
        <v>0</v>
      </c>
      <c r="W18" s="65">
        <f>IF(OR(Inputs!$Q$19="Cost-Based",Inputs!$Q$19="Neither"),0,IF(AND(Inputs!$Q$24="Cash",W$2&lt;=Inputs!$Q$27),Inputs!$Q$25*W$9,0))</f>
        <v>0</v>
      </c>
      <c r="X18" s="65">
        <f>IF(OR(Inputs!$Q$19="Cost-Based",Inputs!$Q$19="Neither"),0,IF(AND(Inputs!$Q$24="Cash",X$2&lt;=Inputs!$Q$27),Inputs!$Q$25*X$9,0))</f>
        <v>0</v>
      </c>
      <c r="Y18" s="65">
        <f>IF(OR(Inputs!$Q$19="Cost-Based",Inputs!$Q$19="Neither"),0,IF(AND(Inputs!$Q$24="Cash",Y$2&lt;=Inputs!$Q$27),Inputs!$Q$25*Y$9,0))</f>
        <v>0</v>
      </c>
      <c r="Z18" s="65">
        <f>IF(OR(Inputs!$Q$19="Cost-Based",Inputs!$Q$19="Neither"),0,IF(AND(Inputs!$Q$24="Cash",Z$2&lt;=Inputs!$Q$27),Inputs!$Q$25*Z$9,0))</f>
        <v>0</v>
      </c>
      <c r="AA18" s="65">
        <f>IF(OR(Inputs!$Q$19="Cost-Based",Inputs!$Q$19="Neither"),0,IF(AND(Inputs!$Q$24="Cash",AA$2&lt;=Inputs!$Q$27),Inputs!$Q$25*AA$9,0))</f>
        <v>0</v>
      </c>
      <c r="AB18" s="65">
        <f>IF(OR(Inputs!$Q$19="Cost-Based",Inputs!$Q$19="Neither"),0,IF(AND(Inputs!$Q$24="Cash",AB$2&lt;=Inputs!$Q$27),Inputs!$Q$25*AB$9,0))</f>
        <v>0</v>
      </c>
      <c r="AC18" s="65">
        <f>IF(OR(Inputs!$Q$19="Cost-Based",Inputs!$Q$19="Neither"),0,IF(AND(Inputs!$Q$24="Cash",AC$2&lt;=Inputs!$Q$27),Inputs!$Q$25*AC$9,0))</f>
        <v>0</v>
      </c>
      <c r="AD18" s="65">
        <f>IF(OR(Inputs!$Q$19="Cost-Based",Inputs!$Q$19="Neither"),0,IF(AND(Inputs!$Q$24="Cash",AD$2&lt;=Inputs!$Q$27),Inputs!$Q$25*AD$9,0))</f>
        <v>0</v>
      </c>
      <c r="AE18" s="65">
        <f>IF(OR(Inputs!$Q$19="Cost-Based",Inputs!$Q$19="Neither"),0,IF(AND(Inputs!$Q$24="Cash",AE$2&lt;=Inputs!$Q$27),Inputs!$Q$25*AE$9,0))</f>
        <v>0</v>
      </c>
      <c r="AF18" s="65">
        <f>IF(OR(Inputs!$Q$19="Cost-Based",Inputs!$Q$19="Neither"),0,IF(AND(Inputs!$Q$24="Cash",AF$2&lt;=Inputs!$Q$27),Inputs!$Q$25*AF$9,0))</f>
        <v>0</v>
      </c>
      <c r="AG18" s="65">
        <f>IF(OR(Inputs!$Q$19="Cost-Based",Inputs!$Q$19="Neither"),0,IF(AND(Inputs!$Q$24="Cash",AG$2&lt;=Inputs!$Q$27),Inputs!$Q$25*AG$9,0))</f>
        <v>0</v>
      </c>
      <c r="AH18" s="65">
        <f>IF(OR(Inputs!$Q$19="Cost-Based",Inputs!$Q$19="Neither"),0,IF(AND(Inputs!$Q$24="Cash",AH$2&lt;=Inputs!$Q$27),Inputs!$Q$25*AH$9,0))</f>
        <v>0</v>
      </c>
      <c r="AI18" s="65">
        <f>IF(OR(Inputs!$Q$19="Cost-Based",Inputs!$Q$19="Neither"),0,IF(AND(Inputs!$Q$24="Cash",AI$2&lt;=Inputs!$Q$27),Inputs!$Q$25*AI$9,0))</f>
        <v>0</v>
      </c>
      <c r="AJ18" s="65">
        <f>IF(OR(Inputs!$Q$19="Cost-Based",Inputs!$Q$19="Neither"),0,IF(AND(Inputs!$Q$24="Cash",AJ$2&lt;=Inputs!$Q$27),Inputs!$Q$25*AJ$9,0))</f>
        <v>0</v>
      </c>
    </row>
    <row r="19" spans="2:36" s="1" customFormat="1" x14ac:dyDescent="0.2">
      <c r="B19" s="1" t="s">
        <v>113</v>
      </c>
      <c r="E19" s="54" t="s">
        <v>0</v>
      </c>
      <c r="G19" s="26">
        <f>(G$18*G$5)/100</f>
        <v>0</v>
      </c>
      <c r="H19" s="26">
        <f t="shared" ref="H19:AJ19" si="2">(H$18*H$5)/100</f>
        <v>0</v>
      </c>
      <c r="I19" s="26">
        <f t="shared" si="2"/>
        <v>0</v>
      </c>
      <c r="J19" s="26">
        <f t="shared" si="2"/>
        <v>0</v>
      </c>
      <c r="K19" s="26">
        <f t="shared" si="2"/>
        <v>0</v>
      </c>
      <c r="L19" s="26">
        <f t="shared" si="2"/>
        <v>0</v>
      </c>
      <c r="M19" s="26">
        <f t="shared" si="2"/>
        <v>0</v>
      </c>
      <c r="N19" s="26">
        <f t="shared" si="2"/>
        <v>0</v>
      </c>
      <c r="O19" s="26">
        <f t="shared" si="2"/>
        <v>0</v>
      </c>
      <c r="P19" s="26">
        <f t="shared" si="2"/>
        <v>0</v>
      </c>
      <c r="Q19" s="26">
        <f t="shared" si="2"/>
        <v>0</v>
      </c>
      <c r="R19" s="26">
        <f t="shared" si="2"/>
        <v>0</v>
      </c>
      <c r="S19" s="26">
        <f t="shared" si="2"/>
        <v>0</v>
      </c>
      <c r="T19" s="26">
        <f t="shared" si="2"/>
        <v>0</v>
      </c>
      <c r="U19" s="26">
        <f t="shared" si="2"/>
        <v>0</v>
      </c>
      <c r="V19" s="26">
        <f t="shared" si="2"/>
        <v>0</v>
      </c>
      <c r="W19" s="26">
        <f t="shared" si="2"/>
        <v>0</v>
      </c>
      <c r="X19" s="26">
        <f t="shared" si="2"/>
        <v>0</v>
      </c>
      <c r="Y19" s="26">
        <f t="shared" si="2"/>
        <v>0</v>
      </c>
      <c r="Z19" s="26">
        <f t="shared" si="2"/>
        <v>0</v>
      </c>
      <c r="AA19" s="26">
        <f t="shared" si="2"/>
        <v>0</v>
      </c>
      <c r="AB19" s="26">
        <f t="shared" si="2"/>
        <v>0</v>
      </c>
      <c r="AC19" s="26">
        <f t="shared" si="2"/>
        <v>0</v>
      </c>
      <c r="AD19" s="26">
        <f t="shared" si="2"/>
        <v>0</v>
      </c>
      <c r="AE19" s="26">
        <f t="shared" si="2"/>
        <v>0</v>
      </c>
      <c r="AF19" s="26">
        <f t="shared" si="2"/>
        <v>0</v>
      </c>
      <c r="AG19" s="26">
        <f t="shared" si="2"/>
        <v>0</v>
      </c>
      <c r="AH19" s="26">
        <f t="shared" si="2"/>
        <v>0</v>
      </c>
      <c r="AI19" s="26">
        <f t="shared" si="2"/>
        <v>0</v>
      </c>
      <c r="AJ19" s="26">
        <f t="shared" si="2"/>
        <v>0</v>
      </c>
    </row>
    <row r="20" spans="2:36" s="1" customFormat="1" x14ac:dyDescent="0.2">
      <c r="B20" s="1" t="s">
        <v>114</v>
      </c>
      <c r="E20" s="54" t="s">
        <v>56</v>
      </c>
      <c r="G20" s="65">
        <f>IF(OR(Inputs!$Q$33="Cost-Based",Inputs!$Q$33="Neither"),0,IF(AND(Inputs!$Q$38="Cash",G$2&lt;=Inputs!$Q$43),Inputs!$Q$41*G$10*Inputs!$Q$42,0))</f>
        <v>0</v>
      </c>
      <c r="H20" s="65">
        <f>IF(OR(Inputs!$Q$33="Cost-Based",Inputs!$Q$33="Neither"),0,IF(AND(Inputs!$Q$38="Cash",H$2&lt;=Inputs!$Q$43),Inputs!$Q$41*H$10*Inputs!$Q$42,0))</f>
        <v>0</v>
      </c>
      <c r="I20" s="65">
        <f>IF(OR(Inputs!$Q$33="Cost-Based",Inputs!$Q$33="Neither"),0,IF(AND(Inputs!$Q$38="Cash",I$2&lt;=Inputs!$Q$43),Inputs!$Q$41*I$10*Inputs!$Q$42,0))</f>
        <v>0</v>
      </c>
      <c r="J20" s="65">
        <f>IF(OR(Inputs!$Q$33="Cost-Based",Inputs!$Q$33="Neither"),0,IF(AND(Inputs!$Q$38="Cash",J$2&lt;=Inputs!$Q$43),Inputs!$Q$41*J$10*Inputs!$Q$42,0))</f>
        <v>0</v>
      </c>
      <c r="K20" s="65">
        <f>IF(OR(Inputs!$Q$33="Cost-Based",Inputs!$Q$33="Neither"),0,IF(AND(Inputs!$Q$38="Cash",K$2&lt;=Inputs!$Q$43),Inputs!$Q$41*K$10*Inputs!$Q$42,0))</f>
        <v>0</v>
      </c>
      <c r="L20" s="65">
        <f>IF(OR(Inputs!$Q$33="Cost-Based",Inputs!$Q$33="Neither"),0,IF(AND(Inputs!$Q$38="Cash",L$2&lt;=Inputs!$Q$43),Inputs!$Q$41*L$10*Inputs!$Q$42,0))</f>
        <v>0</v>
      </c>
      <c r="M20" s="65">
        <f>IF(OR(Inputs!$Q$33="Cost-Based",Inputs!$Q$33="Neither"),0,IF(AND(Inputs!$Q$38="Cash",M$2&lt;=Inputs!$Q$43),Inputs!$Q$41*M$10*Inputs!$Q$42,0))</f>
        <v>0</v>
      </c>
      <c r="N20" s="65">
        <f>IF(OR(Inputs!$Q$33="Cost-Based",Inputs!$Q$33="Neither"),0,IF(AND(Inputs!$Q$38="Cash",N$2&lt;=Inputs!$Q$43),Inputs!$Q$41*N$10*Inputs!$Q$42,0))</f>
        <v>0</v>
      </c>
      <c r="O20" s="65">
        <f>IF(OR(Inputs!$Q$33="Cost-Based",Inputs!$Q$33="Neither"),0,IF(AND(Inputs!$Q$38="Cash",O$2&lt;=Inputs!$Q$43),Inputs!$Q$41*O$10*Inputs!$Q$42,0))</f>
        <v>0</v>
      </c>
      <c r="P20" s="65">
        <f>IF(OR(Inputs!$Q$33="Cost-Based",Inputs!$Q$33="Neither"),0,IF(AND(Inputs!$Q$38="Cash",P$2&lt;=Inputs!$Q$43),Inputs!$Q$41*P$10*Inputs!$Q$42,0))</f>
        <v>0</v>
      </c>
      <c r="Q20" s="65">
        <f>IF(OR(Inputs!$Q$33="Cost-Based",Inputs!$Q$33="Neither"),0,IF(AND(Inputs!$Q$38="Cash",Q$2&lt;=Inputs!$Q$43),Inputs!$Q$41*Q$10*Inputs!$Q$42,0))</f>
        <v>0</v>
      </c>
      <c r="R20" s="65">
        <f>IF(OR(Inputs!$Q$33="Cost-Based",Inputs!$Q$33="Neither"),0,IF(AND(Inputs!$Q$38="Cash",R$2&lt;=Inputs!$Q$43),Inputs!$Q$41*R$10*Inputs!$Q$42,0))</f>
        <v>0</v>
      </c>
      <c r="S20" s="65">
        <f>IF(OR(Inputs!$Q$33="Cost-Based",Inputs!$Q$33="Neither"),0,IF(AND(Inputs!$Q$38="Cash",S$2&lt;=Inputs!$Q$43),Inputs!$Q$41*S$10*Inputs!$Q$42,0))</f>
        <v>0</v>
      </c>
      <c r="T20" s="65">
        <f>IF(OR(Inputs!$Q$33="Cost-Based",Inputs!$Q$33="Neither"),0,IF(AND(Inputs!$Q$38="Cash",T$2&lt;=Inputs!$Q$43),Inputs!$Q$41*T$10*Inputs!$Q$42,0))</f>
        <v>0</v>
      </c>
      <c r="U20" s="65">
        <f>IF(OR(Inputs!$Q$33="Cost-Based",Inputs!$Q$33="Neither"),0,IF(AND(Inputs!$Q$38="Cash",U$2&lt;=Inputs!$Q$43),Inputs!$Q$41*U$10*Inputs!$Q$42,0))</f>
        <v>0</v>
      </c>
      <c r="V20" s="65">
        <f>IF(OR(Inputs!$Q$33="Cost-Based",Inputs!$Q$33="Neither"),0,IF(AND(Inputs!$Q$38="Cash",V$2&lt;=Inputs!$Q$43),Inputs!$Q$41*V$10*Inputs!$Q$42,0))</f>
        <v>0</v>
      </c>
      <c r="W20" s="65">
        <f>IF(OR(Inputs!$Q$33="Cost-Based",Inputs!$Q$33="Neither"),0,IF(AND(Inputs!$Q$38="Cash",W$2&lt;=Inputs!$Q$43),Inputs!$Q$41*W$10*Inputs!$Q$42,0))</f>
        <v>0</v>
      </c>
      <c r="X20" s="65">
        <f>IF(OR(Inputs!$Q$33="Cost-Based",Inputs!$Q$33="Neither"),0,IF(AND(Inputs!$Q$38="Cash",X$2&lt;=Inputs!$Q$43),Inputs!$Q$41*X$10*Inputs!$Q$42,0))</f>
        <v>0</v>
      </c>
      <c r="Y20" s="65">
        <f>IF(OR(Inputs!$Q$33="Cost-Based",Inputs!$Q$33="Neither"),0,IF(AND(Inputs!$Q$38="Cash",Y$2&lt;=Inputs!$Q$43),Inputs!$Q$41*Y$10*Inputs!$Q$42,0))</f>
        <v>0</v>
      </c>
      <c r="Z20" s="65">
        <f>IF(OR(Inputs!$Q$33="Cost-Based",Inputs!$Q$33="Neither"),0,IF(AND(Inputs!$Q$38="Cash",Z$2&lt;=Inputs!$Q$43),Inputs!$Q$41*Z$10*Inputs!$Q$42,0))</f>
        <v>0</v>
      </c>
      <c r="AA20" s="65">
        <f>IF(OR(Inputs!$Q$33="Cost-Based",Inputs!$Q$33="Neither"),0,IF(AND(Inputs!$Q$38="Cash",AA$2&lt;=Inputs!$Q$43),Inputs!$Q$41*AA$10*Inputs!$Q$42,0))</f>
        <v>0</v>
      </c>
      <c r="AB20" s="65">
        <f>IF(OR(Inputs!$Q$33="Cost-Based",Inputs!$Q$33="Neither"),0,IF(AND(Inputs!$Q$38="Cash",AB$2&lt;=Inputs!$Q$43),Inputs!$Q$41*AB$10*Inputs!$Q$42,0))</f>
        <v>0</v>
      </c>
      <c r="AC20" s="65">
        <f>IF(OR(Inputs!$Q$33="Cost-Based",Inputs!$Q$33="Neither"),0,IF(AND(Inputs!$Q$38="Cash",AC$2&lt;=Inputs!$Q$43),Inputs!$Q$41*AC$10*Inputs!$Q$42,0))</f>
        <v>0</v>
      </c>
      <c r="AD20" s="65">
        <f>IF(OR(Inputs!$Q$33="Cost-Based",Inputs!$Q$33="Neither"),0,IF(AND(Inputs!$Q$38="Cash",AD$2&lt;=Inputs!$Q$43),Inputs!$Q$41*AD$10*Inputs!$Q$42,0))</f>
        <v>0</v>
      </c>
      <c r="AE20" s="65">
        <f>IF(OR(Inputs!$Q$33="Cost-Based",Inputs!$Q$33="Neither"),0,IF(AND(Inputs!$Q$38="Cash",AE$2&lt;=Inputs!$Q$43),Inputs!$Q$41*AE$10*Inputs!$Q$42,0))</f>
        <v>0</v>
      </c>
      <c r="AF20" s="65">
        <f>IF(OR(Inputs!$Q$33="Cost-Based",Inputs!$Q$33="Neither"),0,IF(AND(Inputs!$Q$38="Cash",AF$2&lt;=Inputs!$Q$43),Inputs!$Q$41*AF$10*Inputs!$Q$42,0))</f>
        <v>0</v>
      </c>
      <c r="AG20" s="65">
        <f>IF(OR(Inputs!$Q$33="Cost-Based",Inputs!$Q$33="Neither"),0,IF(AND(Inputs!$Q$38="Cash",AG$2&lt;=Inputs!$Q$43),Inputs!$Q$41*AG$10*Inputs!$Q$42,0))</f>
        <v>0</v>
      </c>
      <c r="AH20" s="65">
        <f>IF(OR(Inputs!$Q$33="Cost-Based",Inputs!$Q$33="Neither"),0,IF(AND(Inputs!$Q$38="Cash",AH$2&lt;=Inputs!$Q$43),Inputs!$Q$41*AH$10*Inputs!$Q$42,0))</f>
        <v>0</v>
      </c>
      <c r="AI20" s="65">
        <f>IF(OR(Inputs!$Q$33="Cost-Based",Inputs!$Q$33="Neither"),0,IF(AND(Inputs!$Q$38="Cash",AI$2&lt;=Inputs!$Q$43),Inputs!$Q$41*AI$10*Inputs!$Q$42,0))</f>
        <v>0</v>
      </c>
      <c r="AJ20" s="65">
        <f>IF(OR(Inputs!$Q$33="Cost-Based",Inputs!$Q$33="Neither"),0,IF(AND(Inputs!$Q$38="Cash",AJ$2&lt;=Inputs!$Q$43),Inputs!$Q$41*AJ$10*Inputs!$Q$42,0))</f>
        <v>0</v>
      </c>
    </row>
    <row r="21" spans="2:36" s="1" customFormat="1" x14ac:dyDescent="0.2">
      <c r="B21" s="1" t="s">
        <v>115</v>
      </c>
      <c r="E21" s="54" t="s">
        <v>0</v>
      </c>
      <c r="G21" s="26">
        <f>IF(Inputs!$Q$39=0,(G$20*G$5)/100,MIN(Inputs!$Q$39,(G$20*G$5)/100))</f>
        <v>0</v>
      </c>
      <c r="H21" s="26">
        <f>IF(Inputs!$Q$39=0,(H$20*H$5)/100,MIN(Inputs!$Q$39,(H$20*H$5)/100))</f>
        <v>0</v>
      </c>
      <c r="I21" s="26">
        <f>IF(Inputs!$Q$39=0,(I$20*I$5)/100,MIN(Inputs!$Q$39,(I$20*I$5)/100))</f>
        <v>0</v>
      </c>
      <c r="J21" s="26">
        <f>IF(Inputs!$Q$39=0,(J$20*J$5)/100,MIN(Inputs!$Q$39,(J$20*J$5)/100))</f>
        <v>0</v>
      </c>
      <c r="K21" s="26">
        <f>IF(Inputs!$Q$39=0,(K$20*K$5)/100,MIN(Inputs!$Q$39,(K$20*K$5)/100))</f>
        <v>0</v>
      </c>
      <c r="L21" s="26">
        <f>IF(Inputs!$Q$39=0,(L$20*L$5)/100,MIN(Inputs!$Q$39,(L$20*L$5)/100))</f>
        <v>0</v>
      </c>
      <c r="M21" s="26">
        <f>IF(Inputs!$Q$39=0,(M$20*M$5)/100,MIN(Inputs!$Q$39,(M$20*M$5)/100))</f>
        <v>0</v>
      </c>
      <c r="N21" s="26">
        <f>IF(Inputs!$Q$39=0,(N$20*N$5)/100,MIN(Inputs!$Q$39,(N$20*N$5)/100))</f>
        <v>0</v>
      </c>
      <c r="O21" s="26">
        <f>IF(Inputs!$Q$39=0,(O$20*O$5)/100,MIN(Inputs!$Q$39,(O$20*O$5)/100))</f>
        <v>0</v>
      </c>
      <c r="P21" s="26">
        <f>IF(Inputs!$Q$39=0,(P$20*P$5)/100,MIN(Inputs!$Q$39,(P$20*P$5)/100))</f>
        <v>0</v>
      </c>
      <c r="Q21" s="26">
        <f>IF(Inputs!$Q$39=0,(Q$20*Q$5)/100,MIN(Inputs!$Q$39,(Q$20*Q$5)/100))</f>
        <v>0</v>
      </c>
      <c r="R21" s="26">
        <f>IF(Inputs!$Q$39=0,(R$20*R$5)/100,MIN(Inputs!$Q$39,(R$20*R$5)/100))</f>
        <v>0</v>
      </c>
      <c r="S21" s="26">
        <f>IF(Inputs!$Q$39=0,(S$20*S$5)/100,MIN(Inputs!$Q$39,(S$20*S$5)/100))</f>
        <v>0</v>
      </c>
      <c r="T21" s="26">
        <f>IF(Inputs!$Q$39=0,(T$20*T$5)/100,MIN(Inputs!$Q$39,(T$20*T$5)/100))</f>
        <v>0</v>
      </c>
      <c r="U21" s="26">
        <f>IF(Inputs!$Q$39=0,(U$20*U$5)/100,MIN(Inputs!$Q$39,(U$20*U$5)/100))</f>
        <v>0</v>
      </c>
      <c r="V21" s="26">
        <f>IF(Inputs!$Q$39=0,(V$20*V$5)/100,MIN(Inputs!$Q$39,(V$20*V$5)/100))</f>
        <v>0</v>
      </c>
      <c r="W21" s="26">
        <f>IF(Inputs!$Q$39=0,(W$20*W$5)/100,MIN(Inputs!$Q$39,(W$20*W$5)/100))</f>
        <v>0</v>
      </c>
      <c r="X21" s="26">
        <f>IF(Inputs!$Q$39=0,(X$20*X$5)/100,MIN(Inputs!$Q$39,(X$20*X$5)/100))</f>
        <v>0</v>
      </c>
      <c r="Y21" s="26">
        <f>IF(Inputs!$Q$39=0,(Y$20*Y$5)/100,MIN(Inputs!$Q$39,(Y$20*Y$5)/100))</f>
        <v>0</v>
      </c>
      <c r="Z21" s="26">
        <f>IF(Inputs!$Q$39=0,(Z$20*Z$5)/100,MIN(Inputs!$Q$39,(Z$20*Z$5)/100))</f>
        <v>0</v>
      </c>
      <c r="AA21" s="26">
        <f>IF(Inputs!$Q$39=0,(AA$20*AA$5)/100,MIN(Inputs!$Q$39,(AA$20*AA$5)/100))</f>
        <v>0</v>
      </c>
      <c r="AB21" s="26">
        <f>IF(Inputs!$Q$39=0,(AB$20*AB$5)/100,MIN(Inputs!$Q$39,(AB$20*AB$5)/100))</f>
        <v>0</v>
      </c>
      <c r="AC21" s="26">
        <f>IF(Inputs!$Q$39=0,(AC$20*AC$5)/100,MIN(Inputs!$Q$39,(AC$20*AC$5)/100))</f>
        <v>0</v>
      </c>
      <c r="AD21" s="26">
        <f>IF(Inputs!$Q$39=0,(AD$20*AD$5)/100,MIN(Inputs!$Q$39,(AD$20*AD$5)/100))</f>
        <v>0</v>
      </c>
      <c r="AE21" s="26">
        <f>IF(Inputs!$Q$39=0,(AE$20*AE$5)/100,MIN(Inputs!$Q$39,(AE$20*AE$5)/100))</f>
        <v>0</v>
      </c>
      <c r="AF21" s="26">
        <f>IF(Inputs!$Q$39=0,(AF$20*AF$5)/100,MIN(Inputs!$Q$39,(AF$20*AF$5)/100))</f>
        <v>0</v>
      </c>
      <c r="AG21" s="26">
        <f>IF(Inputs!$Q$39=0,(AG$20*AG$5)/100,MIN(Inputs!$Q$39,(AG$20*AG$5)/100))</f>
        <v>0</v>
      </c>
      <c r="AH21" s="26">
        <f>IF(Inputs!$Q$39=0,(AH$20*AH$5)/100,MIN(Inputs!$Q$39,(AH$20*AH$5)/100))</f>
        <v>0</v>
      </c>
      <c r="AI21" s="26">
        <f>IF(Inputs!$Q$39=0,(AI$20*AI$5)/100,MIN(Inputs!$Q$39,(AI$20*AI$5)/100))</f>
        <v>0</v>
      </c>
      <c r="AJ21" s="26">
        <f>IF(Inputs!$Q$39=0,(AJ$20*AJ$5)/100,MIN(Inputs!$Q$39,(AJ$20*AJ$5)/100))</f>
        <v>0</v>
      </c>
    </row>
    <row r="22" spans="2:36" s="1" customFormat="1" x14ac:dyDescent="0.2">
      <c r="B22" s="27" t="s">
        <v>206</v>
      </c>
      <c r="C22" s="27"/>
      <c r="D22" s="27"/>
      <c r="E22" s="57" t="s">
        <v>0</v>
      </c>
      <c r="F22" s="27"/>
      <c r="G22" s="127">
        <f>G199</f>
        <v>4646.6398489040248</v>
      </c>
      <c r="H22" s="127">
        <f t="shared" ref="H22:AJ22" si="3">H199</f>
        <v>5795.5287377929126</v>
      </c>
      <c r="I22" s="127">
        <f t="shared" si="3"/>
        <v>6944.4176266818031</v>
      </c>
      <c r="J22" s="127">
        <f t="shared" si="3"/>
        <v>8093.3065155706909</v>
      </c>
      <c r="K22" s="127">
        <f t="shared" si="3"/>
        <v>9242.1954044595805</v>
      </c>
      <c r="L22" s="127">
        <f t="shared" si="3"/>
        <v>10391.084293348467</v>
      </c>
      <c r="M22" s="127">
        <f t="shared" si="3"/>
        <v>11539.973182237358</v>
      </c>
      <c r="N22" s="127">
        <f t="shared" si="3"/>
        <v>12688.862071126248</v>
      </c>
      <c r="O22" s="127">
        <f t="shared" si="3"/>
        <v>13837.750960015139</v>
      </c>
      <c r="P22" s="127">
        <f t="shared" si="3"/>
        <v>9242.1954044595823</v>
      </c>
      <c r="Q22" s="127">
        <f t="shared" si="3"/>
        <v>4671.0842933484719</v>
      </c>
      <c r="R22" s="127">
        <f t="shared" si="3"/>
        <v>5868.8620711262492</v>
      </c>
      <c r="S22" s="127">
        <f t="shared" si="3"/>
        <v>7066.6398489040266</v>
      </c>
      <c r="T22" s="127">
        <f t="shared" si="3"/>
        <v>8264.4176266818049</v>
      </c>
      <c r="U22" s="127">
        <f t="shared" si="3"/>
        <v>9462.1954044595823</v>
      </c>
      <c r="V22" s="127">
        <f t="shared" si="3"/>
        <v>10659.973182237358</v>
      </c>
      <c r="W22" s="127">
        <f t="shared" si="3"/>
        <v>11857.750960015137</v>
      </c>
      <c r="X22" s="127">
        <f t="shared" si="3"/>
        <v>13055.528737792913</v>
      </c>
      <c r="Y22" s="127">
        <f t="shared" si="3"/>
        <v>13024.529479347715</v>
      </c>
      <c r="Z22" s="127">
        <f t="shared" si="3"/>
        <v>7004.641332013628</v>
      </c>
      <c r="AA22" s="127">
        <f t="shared" si="3"/>
        <v>1614.641332013628</v>
      </c>
      <c r="AB22" s="127">
        <f t="shared" si="3"/>
        <v>1614.641332013628</v>
      </c>
      <c r="AC22" s="127">
        <f t="shared" si="3"/>
        <v>1614.641332013628</v>
      </c>
      <c r="AD22" s="127">
        <f t="shared" si="3"/>
        <v>1614.641332013628</v>
      </c>
      <c r="AE22" s="127">
        <f t="shared" si="3"/>
        <v>807.32066600681412</v>
      </c>
      <c r="AF22" s="127">
        <f t="shared" si="3"/>
        <v>1.4551915228366852E-13</v>
      </c>
      <c r="AG22" s="127">
        <f t="shared" si="3"/>
        <v>0</v>
      </c>
      <c r="AH22" s="127">
        <f t="shared" si="3"/>
        <v>0</v>
      </c>
      <c r="AI22" s="127">
        <f t="shared" si="3"/>
        <v>0</v>
      </c>
      <c r="AJ22" s="127">
        <f t="shared" si="3"/>
        <v>0</v>
      </c>
    </row>
    <row r="23" spans="2:36" s="1" customFormat="1" ht="15.75" x14ac:dyDescent="0.25">
      <c r="B23" s="24" t="s">
        <v>122</v>
      </c>
      <c r="C23" s="24"/>
      <c r="D23" s="24"/>
      <c r="E23" s="58" t="s">
        <v>0</v>
      </c>
      <c r="F23" s="24"/>
      <c r="G23" s="28">
        <f>G15+G17+G19+G21+G22</f>
        <v>973201.92675140454</v>
      </c>
      <c r="H23" s="28">
        <f t="shared" ref="H23:AJ23" si="4">H15+H17+H19+H21+H22</f>
        <v>988782.28941514064</v>
      </c>
      <c r="I23" s="28">
        <f t="shared" si="4"/>
        <v>1004577.6810381223</v>
      </c>
      <c r="J23" s="28">
        <f t="shared" si="4"/>
        <v>1020591.3055518415</v>
      </c>
      <c r="K23" s="28">
        <f t="shared" si="4"/>
        <v>1036826.4146263708</v>
      </c>
      <c r="L23" s="28">
        <f t="shared" si="4"/>
        <v>1053286.3083816662</v>
      </c>
      <c r="M23" s="28">
        <f t="shared" si="4"/>
        <v>1069974.336109471</v>
      </c>
      <c r="N23" s="28">
        <f t="shared" si="4"/>
        <v>1086893.8970059757</v>
      </c>
      <c r="O23" s="28">
        <f t="shared" si="4"/>
        <v>1104048.4409153939</v>
      </c>
      <c r="P23" s="28">
        <f t="shared" si="4"/>
        <v>1115697.0246401732</v>
      </c>
      <c r="Q23" s="28">
        <f t="shared" si="4"/>
        <v>1127612.0904846741</v>
      </c>
      <c r="R23" s="28">
        <f t="shared" si="4"/>
        <v>1145541.6892547028</v>
      </c>
      <c r="S23" s="28">
        <f t="shared" si="4"/>
        <v>1163720.5921575159</v>
      </c>
      <c r="T23" s="28">
        <f t="shared" si="4"/>
        <v>1182152.5138246922</v>
      </c>
      <c r="U23" s="28">
        <f t="shared" si="4"/>
        <v>1200841.2242358204</v>
      </c>
      <c r="V23" s="28">
        <f t="shared" si="4"/>
        <v>1219790.5495431856</v>
      </c>
      <c r="W23" s="28">
        <f t="shared" si="4"/>
        <v>1239004.3729087415</v>
      </c>
      <c r="X23" s="28">
        <f t="shared" si="4"/>
        <v>1258486.6353535552</v>
      </c>
      <c r="Y23" s="28">
        <f t="shared" si="4"/>
        <v>1277012.5595836849</v>
      </c>
      <c r="Z23" s="28">
        <f t="shared" si="4"/>
        <v>1289826.0930849053</v>
      </c>
      <c r="AA23" s="28">
        <f t="shared" si="4"/>
        <v>285717.32093636884</v>
      </c>
      <c r="AB23" s="28">
        <f t="shared" si="4"/>
        <v>292777.27252453711</v>
      </c>
      <c r="AC23" s="28">
        <f t="shared" si="4"/>
        <v>300012.66390967125</v>
      </c>
      <c r="AD23" s="28">
        <f t="shared" si="4"/>
        <v>307427.85477072606</v>
      </c>
      <c r="AE23" s="28">
        <f t="shared" si="4"/>
        <v>314219.99245867127</v>
      </c>
      <c r="AF23" s="28">
        <f t="shared" si="4"/>
        <v>1.4551915228366852E-13</v>
      </c>
      <c r="AG23" s="28">
        <f t="shared" si="4"/>
        <v>0</v>
      </c>
      <c r="AH23" s="28">
        <f t="shared" si="4"/>
        <v>0</v>
      </c>
      <c r="AI23" s="28">
        <f t="shared" si="4"/>
        <v>0</v>
      </c>
      <c r="AJ23" s="28">
        <f t="shared" si="4"/>
        <v>0</v>
      </c>
    </row>
    <row r="24" spans="2:36" s="1" customFormat="1" x14ac:dyDescent="0.2">
      <c r="E24" s="54"/>
    </row>
    <row r="25" spans="2:36" s="1" customFormat="1" ht="15.75" x14ac:dyDescent="0.25">
      <c r="B25" s="24" t="s">
        <v>72</v>
      </c>
      <c r="C25" s="24"/>
      <c r="D25" s="24"/>
      <c r="E25" s="54"/>
    </row>
    <row r="26" spans="2:36" s="1" customFormat="1" x14ac:dyDescent="0.2">
      <c r="B26" s="1" t="s">
        <v>116</v>
      </c>
      <c r="E26" s="54"/>
      <c r="F26" s="17"/>
      <c r="G26" s="276">
        <v>1</v>
      </c>
      <c r="H26" s="59">
        <f>G26*(1+IF(G$2&lt;=Inputs!$G$34,Inputs!$G$33,Inputs!$G$35))</f>
        <v>1.016</v>
      </c>
      <c r="I26" s="59">
        <f>H26*(1+IF(H$2&lt;=Inputs!$G$34,Inputs!$G$33,Inputs!$G$35))</f>
        <v>1.0322560000000001</v>
      </c>
      <c r="J26" s="59">
        <f>I26*(1+IF(I$2&lt;=Inputs!$G$34,Inputs!$G$33,Inputs!$G$35))</f>
        <v>1.048772096</v>
      </c>
      <c r="K26" s="59">
        <f>J26*(1+IF(J$2&lt;=Inputs!$G$34,Inputs!$G$33,Inputs!$G$35))</f>
        <v>1.065552449536</v>
      </c>
      <c r="L26" s="59">
        <f>K26*(1+IF(K$2&lt;=Inputs!$G$34,Inputs!$G$33,Inputs!$G$35))</f>
        <v>1.0826012887285761</v>
      </c>
      <c r="M26" s="59">
        <f>L26*(1+IF(L$2&lt;=Inputs!$G$34,Inputs!$G$33,Inputs!$G$35))</f>
        <v>1.0999229093482332</v>
      </c>
      <c r="N26" s="59">
        <f>M26*(1+IF(M$2&lt;=Inputs!$G$34,Inputs!$G$33,Inputs!$G$35))</f>
        <v>1.117521675897805</v>
      </c>
      <c r="O26" s="59">
        <f>N26*(1+IF(N$2&lt;=Inputs!$G$34,Inputs!$G$33,Inputs!$G$35))</f>
        <v>1.1354020227121699</v>
      </c>
      <c r="P26" s="59">
        <f>O26*(1+IF(O$2&lt;=Inputs!$G$34,Inputs!$G$33,Inputs!$G$35))</f>
        <v>1.1535684550755647</v>
      </c>
      <c r="Q26" s="59">
        <f>P26*(1+IF(P$2&lt;=Inputs!$G$34,Inputs!$G$33,Inputs!$G$35))</f>
        <v>1.1720255503567738</v>
      </c>
      <c r="R26" s="59">
        <f>Q26*(1+IF(Q$2&lt;=Inputs!$G$34,Inputs!$G$33,Inputs!$G$35))</f>
        <v>1.1907779591624823</v>
      </c>
      <c r="S26" s="59">
        <f>R26*(1+IF(R$2&lt;=Inputs!$G$34,Inputs!$G$33,Inputs!$G$35))</f>
        <v>1.2098304065090821</v>
      </c>
      <c r="T26" s="59">
        <f>S26*(1+IF(S$2&lt;=Inputs!$G$34,Inputs!$G$33,Inputs!$G$35))</f>
        <v>1.2291876930132275</v>
      </c>
      <c r="U26" s="59">
        <f>T26*(1+IF(T$2&lt;=Inputs!$G$34,Inputs!$G$33,Inputs!$G$35))</f>
        <v>1.2488546961014391</v>
      </c>
      <c r="V26" s="59">
        <f>U26*(1+IF(U$2&lt;=Inputs!$G$34,Inputs!$G$33,Inputs!$G$35))</f>
        <v>1.268836371239062</v>
      </c>
      <c r="W26" s="59">
        <f>V26*(1+IF(V$2&lt;=Inputs!$G$34,Inputs!$G$33,Inputs!$G$35))</f>
        <v>1.289137753178887</v>
      </c>
      <c r="X26" s="59">
        <f>W26*(1+IF(W$2&lt;=Inputs!$G$34,Inputs!$G$33,Inputs!$G$35))</f>
        <v>1.3097639572297493</v>
      </c>
      <c r="Y26" s="59">
        <f>X26*(1+IF(X$2&lt;=Inputs!$G$34,Inputs!$G$33,Inputs!$G$35))</f>
        <v>1.3307201805454252</v>
      </c>
      <c r="Z26" s="59">
        <f>Y26*(1+IF(Y$2&lt;=Inputs!$G$34,Inputs!$G$33,Inputs!$G$35))</f>
        <v>1.3520117034341521</v>
      </c>
      <c r="AA26" s="59">
        <f>Z26*(1+IF(Z$2&lt;=Inputs!$G$34,Inputs!$G$33,Inputs!$G$35))</f>
        <v>1.3736438906890986</v>
      </c>
      <c r="AB26" s="59">
        <f>AA26*(1+IF(AA$2&lt;=Inputs!$G$34,Inputs!$G$33,Inputs!$G$35))</f>
        <v>1.3956221929401242</v>
      </c>
      <c r="AC26" s="59">
        <f>AB26*(1+IF(AB$2&lt;=Inputs!$G$34,Inputs!$G$33,Inputs!$G$35))</f>
        <v>1.4179521480271662</v>
      </c>
      <c r="AD26" s="59">
        <f>AC26*(1+IF(AC$2&lt;=Inputs!$G$34,Inputs!$G$33,Inputs!$G$35))</f>
        <v>1.440639382395601</v>
      </c>
      <c r="AE26" s="59">
        <f>AD26*(1+IF(AD$2&lt;=Inputs!$G$34,Inputs!$G$33,Inputs!$G$35))</f>
        <v>1.4636896125139307</v>
      </c>
      <c r="AF26" s="59">
        <f>AE26*(1+IF(AE$2&lt;=Inputs!$G$34,Inputs!$G$33,Inputs!$G$35))</f>
        <v>1.4871086463141536</v>
      </c>
      <c r="AG26" s="59">
        <f>AF26*(1+IF(AF$2&lt;=Inputs!$G$34,Inputs!$G$33,Inputs!$G$35))</f>
        <v>1.5109023846551801</v>
      </c>
      <c r="AH26" s="59">
        <f>AG26*(1+IF(AG$2&lt;=Inputs!$G$34,Inputs!$G$33,Inputs!$G$35))</f>
        <v>1.535076822809663</v>
      </c>
      <c r="AI26" s="59">
        <f>AH26*(1+IF(AH$2&lt;=Inputs!$G$34,Inputs!$G$33,Inputs!$G$35))</f>
        <v>1.5596380519746176</v>
      </c>
      <c r="AJ26" s="59">
        <f>AI26*(1+IF(AI$2&lt;=Inputs!$G$34,Inputs!$G$33,Inputs!$G$35))</f>
        <v>1.5845922608062115</v>
      </c>
    </row>
    <row r="27" spans="2:36" s="1" customFormat="1" ht="15.75" x14ac:dyDescent="0.25">
      <c r="E27" s="54"/>
      <c r="F27" s="17"/>
      <c r="G27" s="63"/>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row>
    <row r="28" spans="2:36" s="1" customFormat="1" x14ac:dyDescent="0.2">
      <c r="B28" s="1" t="s">
        <v>117</v>
      </c>
      <c r="E28" s="54" t="s">
        <v>0</v>
      </c>
      <c r="F28" s="17"/>
      <c r="G28" s="29">
        <f>-IF(G$2&gt;Inputs!$G$15,0,Inputs!$G$31*Inputs!$G$8*G$26)</f>
        <v>-11000</v>
      </c>
      <c r="H28" s="29">
        <f>-IF(H$2&gt;Inputs!$G$15,0,Inputs!$G$31*Inputs!$G$8*H$26)</f>
        <v>-11176</v>
      </c>
      <c r="I28" s="29">
        <f>-IF(I$2&gt;Inputs!$G$15,0,Inputs!$G$31*Inputs!$G$8*I$26)</f>
        <v>-11354.816000000001</v>
      </c>
      <c r="J28" s="29">
        <f>-IF(J$2&gt;Inputs!$G$15,0,Inputs!$G$31*Inputs!$G$8*J$26)</f>
        <v>-11536.493055999999</v>
      </c>
      <c r="K28" s="29">
        <f>-IF(K$2&gt;Inputs!$G$15,0,Inputs!$G$31*Inputs!$G$8*K$26)</f>
        <v>-11721.076944896</v>
      </c>
      <c r="L28" s="29">
        <f>-IF(L$2&gt;Inputs!$G$15,0,Inputs!$G$31*Inputs!$G$8*L$26)</f>
        <v>-11908.614176014336</v>
      </c>
      <c r="M28" s="29">
        <f>-IF(M$2&gt;Inputs!$G$15,0,Inputs!$G$31*Inputs!$G$8*M$26)</f>
        <v>-12099.152002830566</v>
      </c>
      <c r="N28" s="29">
        <f>-IF(N$2&gt;Inputs!$G$15,0,Inputs!$G$31*Inputs!$G$8*N$26)</f>
        <v>-12292.738434875855</v>
      </c>
      <c r="O28" s="29">
        <f>-IF(O$2&gt;Inputs!$G$15,0,Inputs!$G$31*Inputs!$G$8*O$26)</f>
        <v>-12489.42224983387</v>
      </c>
      <c r="P28" s="29">
        <f>-IF(P$2&gt;Inputs!$G$15,0,Inputs!$G$31*Inputs!$G$8*P$26)</f>
        <v>-12689.253005831211</v>
      </c>
      <c r="Q28" s="29">
        <f>-IF(Q$2&gt;Inputs!$G$15,0,Inputs!$G$31*Inputs!$G$8*Q$26)</f>
        <v>-12892.281053924511</v>
      </c>
      <c r="R28" s="29">
        <f>-IF(R$2&gt;Inputs!$G$15,0,Inputs!$G$31*Inputs!$G$8*R$26)</f>
        <v>-13098.557550787305</v>
      </c>
      <c r="S28" s="29">
        <f>-IF(S$2&gt;Inputs!$G$15,0,Inputs!$G$31*Inputs!$G$8*S$26)</f>
        <v>-13308.134471599904</v>
      </c>
      <c r="T28" s="29">
        <f>-IF(T$2&gt;Inputs!$G$15,0,Inputs!$G$31*Inputs!$G$8*T$26)</f>
        <v>-13521.064623145503</v>
      </c>
      <c r="U28" s="29">
        <f>-IF(U$2&gt;Inputs!$G$15,0,Inputs!$G$31*Inputs!$G$8*U$26)</f>
        <v>-13737.40165711583</v>
      </c>
      <c r="V28" s="29">
        <f>-IF(V$2&gt;Inputs!$G$15,0,Inputs!$G$31*Inputs!$G$8*V$26)</f>
        <v>-13957.200083629683</v>
      </c>
      <c r="W28" s="29">
        <f>-IF(W$2&gt;Inputs!$G$15,0,Inputs!$G$31*Inputs!$G$8*W$26)</f>
        <v>-14180.515284967758</v>
      </c>
      <c r="X28" s="29">
        <f>-IF(X$2&gt;Inputs!$G$15,0,Inputs!$G$31*Inputs!$G$8*X$26)</f>
        <v>-14407.403529527242</v>
      </c>
      <c r="Y28" s="29">
        <f>-IF(Y$2&gt;Inputs!$G$15,0,Inputs!$G$31*Inputs!$G$8*Y$26)</f>
        <v>-14637.921985999677</v>
      </c>
      <c r="Z28" s="29">
        <f>-IF(Z$2&gt;Inputs!$G$15,0,Inputs!$G$31*Inputs!$G$8*Z$26)</f>
        <v>-14872.128737775673</v>
      </c>
      <c r="AA28" s="29">
        <f>-IF(AA$2&gt;Inputs!$G$15,0,Inputs!$G$31*Inputs!$G$8*AA$26)</f>
        <v>-15110.082797580086</v>
      </c>
      <c r="AB28" s="29">
        <f>-IF(AB$2&gt;Inputs!$G$15,0,Inputs!$G$31*Inputs!$G$8*AB$26)</f>
        <v>-15351.844122341367</v>
      </c>
      <c r="AC28" s="29">
        <f>-IF(AC$2&gt;Inputs!$G$15,0,Inputs!$G$31*Inputs!$G$8*AC$26)</f>
        <v>-15597.473628298829</v>
      </c>
      <c r="AD28" s="29">
        <f>-IF(AD$2&gt;Inputs!$G$15,0,Inputs!$G$31*Inputs!$G$8*AD$26)</f>
        <v>-15847.033206351611</v>
      </c>
      <c r="AE28" s="29">
        <f>-IF(AE$2&gt;Inputs!$G$15,0,Inputs!$G$31*Inputs!$G$8*AE$26)</f>
        <v>-16100.585737653239</v>
      </c>
      <c r="AF28" s="29">
        <f>-IF(AF$2&gt;Inputs!$G$15,0,Inputs!$G$31*Inputs!$G$8*AF$26)</f>
        <v>0</v>
      </c>
      <c r="AG28" s="29">
        <f>-IF(AG$2&gt;Inputs!$G$15,0,Inputs!$G$31*Inputs!$G$8*AG$26)</f>
        <v>0</v>
      </c>
      <c r="AH28" s="29">
        <f>-IF(AH$2&gt;Inputs!$G$15,0,Inputs!$G$31*Inputs!$G$8*AH$26)</f>
        <v>0</v>
      </c>
      <c r="AI28" s="29">
        <f>-IF(AI$2&gt;Inputs!$G$15,0,Inputs!$G$31*Inputs!$G$8*AI$26)</f>
        <v>0</v>
      </c>
      <c r="AJ28" s="29">
        <f>-IF(AJ$2&gt;Inputs!$G$15,0,Inputs!$G$31*Inputs!$G$8*AJ$26)</f>
        <v>0</v>
      </c>
    </row>
    <row r="29" spans="2:36" s="1" customFormat="1" x14ac:dyDescent="0.2">
      <c r="B29" s="1" t="s">
        <v>118</v>
      </c>
      <c r="E29" s="54" t="s">
        <v>0</v>
      </c>
      <c r="G29" s="29">
        <f>-IF(G$2&gt;Inputs!$G$15,0,Inputs!$G$32/100*G$5*G$26)</f>
        <v>-347.77568650000006</v>
      </c>
      <c r="H29" s="29">
        <f>-IF(H$2&gt;Inputs!$G$15,0,Inputs!$G$32/100*H$5*H$26)</f>
        <v>-351.57339699658002</v>
      </c>
      <c r="I29" s="29">
        <f>-IF(I$2&gt;Inputs!$G$15,0,Inputs!$G$32/100*I$5*I$26)</f>
        <v>-355.41257849178277</v>
      </c>
      <c r="J29" s="29">
        <f>-IF(J$2&gt;Inputs!$G$15,0,Inputs!$G$32/100*J$5*J$26)</f>
        <v>-359.29368384891302</v>
      </c>
      <c r="K29" s="29">
        <f>-IF(K$2&gt;Inputs!$G$15,0,Inputs!$G$32/100*K$5*K$26)</f>
        <v>-363.21717087654315</v>
      </c>
      <c r="L29" s="29">
        <f>-IF(L$2&gt;Inputs!$G$15,0,Inputs!$G$32/100*L$5*L$26)</f>
        <v>-367.18350238251503</v>
      </c>
      <c r="M29" s="29">
        <f>-IF(M$2&gt;Inputs!$G$15,0,Inputs!$G$32/100*M$5*M$26)</f>
        <v>-371.19314622853204</v>
      </c>
      <c r="N29" s="29">
        <f>-IF(N$2&gt;Inputs!$G$15,0,Inputs!$G$32/100*N$5*N$26)</f>
        <v>-375.24657538534763</v>
      </c>
      <c r="O29" s="29">
        <f>-IF(O$2&gt;Inputs!$G$15,0,Inputs!$G$32/100*O$5*O$26)</f>
        <v>-379.3442679885556</v>
      </c>
      <c r="P29" s="29">
        <f>-IF(P$2&gt;Inputs!$G$15,0,Inputs!$G$32/100*P$5*P$26)</f>
        <v>-383.48670739499062</v>
      </c>
      <c r="Q29" s="29">
        <f>-IF(Q$2&gt;Inputs!$G$15,0,Inputs!$G$32/100*Q$5*Q$26)</f>
        <v>-387.67438223974398</v>
      </c>
      <c r="R29" s="29">
        <f>-IF(R$2&gt;Inputs!$G$15,0,Inputs!$G$32/100*R$5*R$26)</f>
        <v>-391.90778649380201</v>
      </c>
      <c r="S29" s="29">
        <f>-IF(S$2&gt;Inputs!$G$15,0,Inputs!$G$32/100*S$5*S$26)</f>
        <v>-396.18741952231431</v>
      </c>
      <c r="T29" s="29">
        <f>-IF(T$2&gt;Inputs!$G$15,0,Inputs!$G$32/100*T$5*T$26)</f>
        <v>-400.51378614349801</v>
      </c>
      <c r="U29" s="29">
        <f>-IF(U$2&gt;Inputs!$G$15,0,Inputs!$G$32/100*U$5*U$26)</f>
        <v>-404.88739668818505</v>
      </c>
      <c r="V29" s="29">
        <f>-IF(V$2&gt;Inputs!$G$15,0,Inputs!$G$32/100*V$5*V$26)</f>
        <v>-409.30876706001999</v>
      </c>
      <c r="W29" s="29">
        <f>-IF(W$2&gt;Inputs!$G$15,0,Inputs!$G$32/100*W$5*W$26)</f>
        <v>-413.77841879631535</v>
      </c>
      <c r="X29" s="29">
        <f>-IF(X$2&gt;Inputs!$G$15,0,Inputs!$G$32/100*X$5*X$26)</f>
        <v>-418.2968791295711</v>
      </c>
      <c r="Y29" s="29">
        <f>-IF(Y$2&gt;Inputs!$G$15,0,Inputs!$G$32/100*Y$5*Y$26)</f>
        <v>-422.86468104966605</v>
      </c>
      <c r="Z29" s="29">
        <f>-IF(Z$2&gt;Inputs!$G$15,0,Inputs!$G$32/100*Z$5*Z$26)</f>
        <v>-427.48236336672841</v>
      </c>
      <c r="AA29" s="29">
        <f>-IF(AA$2&gt;Inputs!$G$15,0,Inputs!$G$32/100*AA$5*AA$26)</f>
        <v>-432.15047077469308</v>
      </c>
      <c r="AB29" s="29">
        <f>-IF(AB$2&gt;Inputs!$G$15,0,Inputs!$G$32/100*AB$5*AB$26)</f>
        <v>-436.86955391555284</v>
      </c>
      <c r="AC29" s="29">
        <f>-IF(AC$2&gt;Inputs!$G$15,0,Inputs!$G$32/100*AC$5*AC$26)</f>
        <v>-441.64016944431063</v>
      </c>
      <c r="AD29" s="29">
        <f>-IF(AD$2&gt;Inputs!$G$15,0,Inputs!$G$32/100*AD$5*AD$26)</f>
        <v>-446.46288009464251</v>
      </c>
      <c r="AE29" s="29">
        <f>-IF(AE$2&gt;Inputs!$G$15,0,Inputs!$G$32/100*AE$5*AE$26)</f>
        <v>-451.33825474527606</v>
      </c>
      <c r="AF29" s="29">
        <f>-IF(AF$2&gt;Inputs!$G$15,0,Inputs!$G$32/100*AF$5*AF$26)</f>
        <v>0</v>
      </c>
      <c r="AG29" s="29">
        <f>-IF(AG$2&gt;Inputs!$G$15,0,Inputs!$G$32/100*AG$5*AG$26)</f>
        <v>0</v>
      </c>
      <c r="AH29" s="29">
        <f>-IF(AH$2&gt;Inputs!$G$15,0,Inputs!$G$32/100*AH$5*AH$26)</f>
        <v>0</v>
      </c>
      <c r="AI29" s="29">
        <f>-IF(AI$2&gt;Inputs!$G$15,0,Inputs!$G$32/100*AI$5*AI$26)</f>
        <v>0</v>
      </c>
      <c r="AJ29" s="29">
        <f>-IF(AJ$2&gt;Inputs!$G$15,0,Inputs!$G$32/100*AJ$5*AJ$26)</f>
        <v>0</v>
      </c>
    </row>
    <row r="30" spans="2:36" s="1" customFormat="1" x14ac:dyDescent="0.2">
      <c r="B30" s="1" t="s">
        <v>74</v>
      </c>
      <c r="E30" s="54" t="s">
        <v>0</v>
      </c>
      <c r="G30" s="29">
        <f>-IF(Inputs!$G$30="simple",0,IF(G$2&gt;Inputs!$G$15,0,Inputs!$G$37*G$26))</f>
        <v>-27500</v>
      </c>
      <c r="H30" s="29">
        <f>-IF(Inputs!$G$30="simple",0,IF(H$2&gt;Inputs!$G$15,0,Inputs!$G$37*H$26))</f>
        <v>-27940</v>
      </c>
      <c r="I30" s="29">
        <f>-IF(Inputs!$G$30="simple",0,IF(I$2&gt;Inputs!$G$15,0,Inputs!$G$37*I$26))</f>
        <v>-28387.040000000001</v>
      </c>
      <c r="J30" s="29">
        <f>-IF(Inputs!$G$30="simple",0,IF(J$2&gt;Inputs!$G$15,0,Inputs!$G$37*J$26))</f>
        <v>-28841.232639999998</v>
      </c>
      <c r="K30" s="29">
        <f>-IF(Inputs!$G$30="simple",0,IF(K$2&gt;Inputs!$G$15,0,Inputs!$G$37*K$26))</f>
        <v>-29302.692362240003</v>
      </c>
      <c r="L30" s="29">
        <f>-IF(Inputs!$G$30="simple",0,IF(L$2&gt;Inputs!$G$15,0,Inputs!$G$37*L$26))</f>
        <v>-29771.535440035841</v>
      </c>
      <c r="M30" s="29">
        <f>-IF(Inputs!$G$30="simple",0,IF(M$2&gt;Inputs!$G$15,0,Inputs!$G$37*M$26))</f>
        <v>-30247.880007076412</v>
      </c>
      <c r="N30" s="29">
        <f>-IF(Inputs!$G$30="simple",0,IF(N$2&gt;Inputs!$G$15,0,Inputs!$G$37*N$26))</f>
        <v>-30731.846087189639</v>
      </c>
      <c r="O30" s="29">
        <f>-IF(Inputs!$G$30="simple",0,IF(O$2&gt;Inputs!$G$15,0,Inputs!$G$37*O$26))</f>
        <v>-31223.555624584675</v>
      </c>
      <c r="P30" s="29">
        <f>-IF(Inputs!$G$30="simple",0,IF(P$2&gt;Inputs!$G$15,0,Inputs!$G$37*P$26))</f>
        <v>-31723.132514578028</v>
      </c>
      <c r="Q30" s="29">
        <f>-IF(Inputs!$G$30="simple",0,IF(Q$2&gt;Inputs!$G$15,0,Inputs!$G$37*Q$26))</f>
        <v>-32230.702634811281</v>
      </c>
      <c r="R30" s="29">
        <f>-IF(Inputs!$G$30="simple",0,IF(R$2&gt;Inputs!$G$15,0,Inputs!$G$37*R$26))</f>
        <v>-32746.393876968265</v>
      </c>
      <c r="S30" s="29">
        <f>-IF(Inputs!$G$30="simple",0,IF(S$2&gt;Inputs!$G$15,0,Inputs!$G$37*S$26))</f>
        <v>-33270.336178999758</v>
      </c>
      <c r="T30" s="29">
        <f>-IF(Inputs!$G$30="simple",0,IF(T$2&gt;Inputs!$G$15,0,Inputs!$G$37*T$26))</f>
        <v>-33802.661557863757</v>
      </c>
      <c r="U30" s="29">
        <f>-IF(Inputs!$G$30="simple",0,IF(U$2&gt;Inputs!$G$15,0,Inputs!$G$37*U$26))</f>
        <v>-34343.504142789578</v>
      </c>
      <c r="V30" s="29">
        <f>-IF(Inputs!$G$30="simple",0,IF(V$2&gt;Inputs!$G$15,0,Inputs!$G$37*V$26))</f>
        <v>-34893.000209074205</v>
      </c>
      <c r="W30" s="29">
        <f>-IF(Inputs!$G$30="simple",0,IF(W$2&gt;Inputs!$G$15,0,Inputs!$G$37*W$26))</f>
        <v>-35451.288212419393</v>
      </c>
      <c r="X30" s="29">
        <f>-IF(Inputs!$G$30="simple",0,IF(X$2&gt;Inputs!$G$15,0,Inputs!$G$37*X$26))</f>
        <v>-36018.508823818105</v>
      </c>
      <c r="Y30" s="29">
        <f>-IF(Inputs!$G$30="simple",0,IF(Y$2&gt;Inputs!$G$15,0,Inputs!$G$37*Y$26))</f>
        <v>-36594.804964999195</v>
      </c>
      <c r="Z30" s="29">
        <f>-IF(Inputs!$G$30="simple",0,IF(Z$2&gt;Inputs!$G$15,0,Inputs!$G$37*Z$26))</f>
        <v>-37180.321844439182</v>
      </c>
      <c r="AA30" s="29">
        <f>-IF(Inputs!$G$30="simple",0,IF(AA$2&gt;Inputs!$G$15,0,Inputs!$G$37*AA$26))</f>
        <v>-37775.206993950211</v>
      </c>
      <c r="AB30" s="29">
        <f>-IF(Inputs!$G$30="simple",0,IF(AB$2&gt;Inputs!$G$15,0,Inputs!$G$37*AB$26))</f>
        <v>-38379.610305853414</v>
      </c>
      <c r="AC30" s="29">
        <f>-IF(Inputs!$G$30="simple",0,IF(AC$2&gt;Inputs!$G$15,0,Inputs!$G$37*AC$26))</f>
        <v>-38993.684070747069</v>
      </c>
      <c r="AD30" s="29">
        <f>-IF(Inputs!$G$30="simple",0,IF(AD$2&gt;Inputs!$G$15,0,Inputs!$G$37*AD$26))</f>
        <v>-39617.583015879027</v>
      </c>
      <c r="AE30" s="29">
        <f>-IF(Inputs!$G$30="simple",0,IF(AE$2&gt;Inputs!$G$15,0,Inputs!$G$37*AE$26))</f>
        <v>-40251.464344133092</v>
      </c>
      <c r="AF30" s="29">
        <f>-IF(Inputs!$G$30="simple",0,IF(AF$2&gt;Inputs!$G$15,0,Inputs!$G$37*AF$26))</f>
        <v>0</v>
      </c>
      <c r="AG30" s="29">
        <f>-IF(Inputs!$G$30="simple",0,IF(AG$2&gt;Inputs!$G$15,0,Inputs!$G$37*AG$26))</f>
        <v>0</v>
      </c>
      <c r="AH30" s="29">
        <f>-IF(Inputs!$G$30="simple",0,IF(AH$2&gt;Inputs!$G$15,0,Inputs!$G$37*AH$26))</f>
        <v>0</v>
      </c>
      <c r="AI30" s="29">
        <f>-IF(Inputs!$G$30="simple",0,IF(AI$2&gt;Inputs!$G$15,0,Inputs!$G$37*AI$26))</f>
        <v>0</v>
      </c>
      <c r="AJ30" s="29">
        <f>-IF(Inputs!$G$30="simple",0,IF(AJ$2&gt;Inputs!$G$15,0,Inputs!$G$37*AJ$26))</f>
        <v>0</v>
      </c>
    </row>
    <row r="31" spans="2:36" s="1" customFormat="1" x14ac:dyDescent="0.2">
      <c r="B31" s="1" t="s">
        <v>73</v>
      </c>
      <c r="E31" s="54" t="s">
        <v>0</v>
      </c>
      <c r="G31" s="29">
        <f>-IF(Inputs!$G$30="simple",0,IF(G$2&gt;Inputs!$G$15,0,Inputs!$G$38*G$26))</f>
        <v>-50000</v>
      </c>
      <c r="H31" s="29">
        <f>-IF(Inputs!$G$30="simple",0,IF(H$2&gt;Inputs!$G$15,0,Inputs!$G$38*H$26))</f>
        <v>-50800</v>
      </c>
      <c r="I31" s="29">
        <f>-IF(Inputs!$G$30="simple",0,IF(I$2&gt;Inputs!$G$15,0,Inputs!$G$38*I$26))</f>
        <v>-51612.800000000003</v>
      </c>
      <c r="J31" s="29">
        <f>-IF(Inputs!$G$30="simple",0,IF(J$2&gt;Inputs!$G$15,0,Inputs!$G$38*J$26))</f>
        <v>-52438.604800000001</v>
      </c>
      <c r="K31" s="29">
        <f>-IF(Inputs!$G$30="simple",0,IF(K$2&gt;Inputs!$G$15,0,Inputs!$G$38*K$26))</f>
        <v>-53277.622476800003</v>
      </c>
      <c r="L31" s="29">
        <f>-IF(Inputs!$G$30="simple",0,IF(L$2&gt;Inputs!$G$15,0,Inputs!$G$38*L$26))</f>
        <v>-54130.064436428802</v>
      </c>
      <c r="M31" s="29">
        <f>-IF(Inputs!$G$30="simple",0,IF(M$2&gt;Inputs!$G$15,0,Inputs!$G$38*M$26))</f>
        <v>-54996.145467411661</v>
      </c>
      <c r="N31" s="29">
        <f>-IF(Inputs!$G$30="simple",0,IF(N$2&gt;Inputs!$G$15,0,Inputs!$G$38*N$26))</f>
        <v>-55876.083794890255</v>
      </c>
      <c r="O31" s="29">
        <f>-IF(Inputs!$G$30="simple",0,IF(O$2&gt;Inputs!$G$15,0,Inputs!$G$38*O$26))</f>
        <v>-56770.1011356085</v>
      </c>
      <c r="P31" s="29">
        <f>-IF(Inputs!$G$30="simple",0,IF(P$2&gt;Inputs!$G$15,0,Inputs!$G$38*P$26))</f>
        <v>-57678.422753778235</v>
      </c>
      <c r="Q31" s="29">
        <f>-IF(Inputs!$G$30="simple",0,IF(Q$2&gt;Inputs!$G$15,0,Inputs!$G$38*Q$26))</f>
        <v>-58601.277517838687</v>
      </c>
      <c r="R31" s="29">
        <f>-IF(Inputs!$G$30="simple",0,IF(R$2&gt;Inputs!$G$15,0,Inputs!$G$38*R$26))</f>
        <v>-59538.897958124115</v>
      </c>
      <c r="S31" s="29">
        <f>-IF(Inputs!$G$30="simple",0,IF(S$2&gt;Inputs!$G$15,0,Inputs!$G$38*S$26))</f>
        <v>-60491.520325454105</v>
      </c>
      <c r="T31" s="29">
        <f>-IF(Inputs!$G$30="simple",0,IF(T$2&gt;Inputs!$G$15,0,Inputs!$G$38*T$26))</f>
        <v>-61459.384650661377</v>
      </c>
      <c r="U31" s="29">
        <f>-IF(Inputs!$G$30="simple",0,IF(U$2&gt;Inputs!$G$15,0,Inputs!$G$38*U$26))</f>
        <v>-62442.734805071952</v>
      </c>
      <c r="V31" s="29">
        <f>-IF(Inputs!$G$30="simple",0,IF(V$2&gt;Inputs!$G$15,0,Inputs!$G$38*V$26))</f>
        <v>-63441.8185619531</v>
      </c>
      <c r="W31" s="29">
        <f>-IF(Inputs!$G$30="simple",0,IF(W$2&gt;Inputs!$G$15,0,Inputs!$G$38*W$26))</f>
        <v>-64456.887658944353</v>
      </c>
      <c r="X31" s="29">
        <f>-IF(Inputs!$G$30="simple",0,IF(X$2&gt;Inputs!$G$15,0,Inputs!$G$38*X$26))</f>
        <v>-65488.197861487461</v>
      </c>
      <c r="Y31" s="29">
        <f>-IF(Inputs!$G$30="simple",0,IF(Y$2&gt;Inputs!$G$15,0,Inputs!$G$38*Y$26))</f>
        <v>-66536.009027271255</v>
      </c>
      <c r="Z31" s="29">
        <f>-IF(Inputs!$G$30="simple",0,IF(Z$2&gt;Inputs!$G$15,0,Inputs!$G$38*Z$26))</f>
        <v>-67600.5851717076</v>
      </c>
      <c r="AA31" s="29">
        <f>-IF(Inputs!$G$30="simple",0,IF(AA$2&gt;Inputs!$G$15,0,Inputs!$G$38*AA$26))</f>
        <v>-68682.194534454931</v>
      </c>
      <c r="AB31" s="29">
        <f>-IF(Inputs!$G$30="simple",0,IF(AB$2&gt;Inputs!$G$15,0,Inputs!$G$38*AB$26))</f>
        <v>-69781.109647006218</v>
      </c>
      <c r="AC31" s="29">
        <f>-IF(Inputs!$G$30="simple",0,IF(AC$2&gt;Inputs!$G$15,0,Inputs!$G$38*AC$26))</f>
        <v>-70897.607401358313</v>
      </c>
      <c r="AD31" s="29">
        <f>-IF(Inputs!$G$30="simple",0,IF(AD$2&gt;Inputs!$G$15,0,Inputs!$G$38*AD$26))</f>
        <v>-72031.969119780042</v>
      </c>
      <c r="AE31" s="29">
        <f>-IF(Inputs!$G$30="simple",0,IF(AE$2&gt;Inputs!$G$15,0,Inputs!$G$38*AE$26))</f>
        <v>-73184.480625696538</v>
      </c>
      <c r="AF31" s="29">
        <f>-IF(Inputs!$G$30="simple",0,IF(AF$2&gt;Inputs!$G$15,0,Inputs!$G$38*AF$26))</f>
        <v>0</v>
      </c>
      <c r="AG31" s="29">
        <f>-IF(Inputs!$G$30="simple",0,IF(AG$2&gt;Inputs!$G$15,0,Inputs!$G$38*AG$26))</f>
        <v>0</v>
      </c>
      <c r="AH31" s="29">
        <f>-IF(Inputs!$G$30="simple",0,IF(AH$2&gt;Inputs!$G$15,0,Inputs!$G$38*AH$26))</f>
        <v>0</v>
      </c>
      <c r="AI31" s="29">
        <f>-IF(Inputs!$G$30="simple",0,IF(AI$2&gt;Inputs!$G$15,0,Inputs!$G$38*AI$26))</f>
        <v>0</v>
      </c>
      <c r="AJ31" s="29">
        <f>-IF(Inputs!$G$30="simple",0,IF(AJ$2&gt;Inputs!$G$15,0,Inputs!$G$38*AJ$26))</f>
        <v>0</v>
      </c>
    </row>
    <row r="32" spans="2:36" s="1" customFormat="1" x14ac:dyDescent="0.2">
      <c r="B32" s="1" t="s">
        <v>119</v>
      </c>
      <c r="E32" s="54" t="s">
        <v>0</v>
      </c>
      <c r="G32" s="29">
        <f>IF(Inputs!$G$30="simple",0,IF(G$2&gt;Inputs!$G$15,0,-Inputs!$G$39))</f>
        <v>-50000</v>
      </c>
      <c r="H32" s="29">
        <f>IF(Inputs!$G$30="simple",0,IF(H$2&gt;Inputs!$G$15,0,G32*(1+Inputs!$G$40)))</f>
        <v>-45000</v>
      </c>
      <c r="I32" s="29">
        <f>IF(Inputs!$G$30="simple",0,IF(I$2&gt;Inputs!$G$15,0,H32*(1+Inputs!$G$40)))</f>
        <v>-40500</v>
      </c>
      <c r="J32" s="29">
        <f>IF(Inputs!$G$30="simple",0,IF(J$2&gt;Inputs!$G$15,0,I32*(1+Inputs!$G$40)))</f>
        <v>-36450</v>
      </c>
      <c r="K32" s="29">
        <f>IF(Inputs!$G$30="simple",0,IF(K$2&gt;Inputs!$G$15,0,J32*(1+Inputs!$G$40)))</f>
        <v>-32805</v>
      </c>
      <c r="L32" s="29">
        <f>IF(Inputs!$G$30="simple",0,IF(L$2&gt;Inputs!$G$15,0,K32*(1+Inputs!$G$40)))</f>
        <v>-29524.5</v>
      </c>
      <c r="M32" s="29">
        <f>IF(Inputs!$G$30="simple",0,IF(M$2&gt;Inputs!$G$15,0,L32*(1+Inputs!$G$40)))</f>
        <v>-26572.05</v>
      </c>
      <c r="N32" s="29">
        <f>IF(Inputs!$G$30="simple",0,IF(N$2&gt;Inputs!$G$15,0,M32*(1+Inputs!$G$40)))</f>
        <v>-23914.845000000001</v>
      </c>
      <c r="O32" s="29">
        <f>IF(Inputs!$G$30="simple",0,IF(O$2&gt;Inputs!$G$15,0,N32*(1+Inputs!$G$40)))</f>
        <v>-21523.360500000003</v>
      </c>
      <c r="P32" s="29">
        <f>IF(Inputs!$G$30="simple",0,IF(P$2&gt;Inputs!$G$15,0,O32*(1+Inputs!$G$40)))</f>
        <v>-19371.024450000004</v>
      </c>
      <c r="Q32" s="29">
        <f>IF(Inputs!$G$30="simple",0,IF(Q$2&gt;Inputs!$G$15,0,P32*(1+Inputs!$G$40)))</f>
        <v>-17433.922005000004</v>
      </c>
      <c r="R32" s="29">
        <f>IF(Inputs!$G$30="simple",0,IF(R$2&gt;Inputs!$G$15,0,Q32*(1+Inputs!$G$40)))</f>
        <v>-15690.529804500004</v>
      </c>
      <c r="S32" s="29">
        <f>IF(Inputs!$G$30="simple",0,IF(S$2&gt;Inputs!$G$15,0,R32*(1+Inputs!$G$40)))</f>
        <v>-14121.476824050003</v>
      </c>
      <c r="T32" s="29">
        <f>IF(Inputs!$G$30="simple",0,IF(T$2&gt;Inputs!$G$15,0,S32*(1+Inputs!$G$40)))</f>
        <v>-12709.329141645003</v>
      </c>
      <c r="U32" s="29">
        <f>IF(Inputs!$G$30="simple",0,IF(U$2&gt;Inputs!$G$15,0,T32*(1+Inputs!$G$40)))</f>
        <v>-11438.396227480504</v>
      </c>
      <c r="V32" s="29">
        <f>IF(Inputs!$G$30="simple",0,IF(V$2&gt;Inputs!$G$15,0,U32*(1+Inputs!$G$40)))</f>
        <v>-10294.556604732454</v>
      </c>
      <c r="W32" s="29">
        <f>IF(Inputs!$G$30="simple",0,IF(W$2&gt;Inputs!$G$15,0,V32*(1+Inputs!$G$40)))</f>
        <v>-9265.1009442592094</v>
      </c>
      <c r="X32" s="29">
        <f>IF(Inputs!$G$30="simple",0,IF(X$2&gt;Inputs!$G$15,0,W32*(1+Inputs!$G$40)))</f>
        <v>-8338.5908498332883</v>
      </c>
      <c r="Y32" s="29">
        <f>IF(Inputs!$G$30="simple",0,IF(Y$2&gt;Inputs!$G$15,0,X32*(1+Inputs!$G$40)))</f>
        <v>-7504.7317648499593</v>
      </c>
      <c r="Z32" s="29">
        <f>IF(Inputs!$G$30="simple",0,IF(Z$2&gt;Inputs!$G$15,0,Y32*(1+Inputs!$G$40)))</f>
        <v>-6754.2585883649635</v>
      </c>
      <c r="AA32" s="29">
        <f>IF(Inputs!$G$30="simple",0,IF(AA$2&gt;Inputs!$G$15,0,Z32*(1+Inputs!$G$40)))</f>
        <v>-6078.8327295284671</v>
      </c>
      <c r="AB32" s="29">
        <f>IF(Inputs!$G$30="simple",0,IF(AB$2&gt;Inputs!$G$15,0,AA32*(1+Inputs!$G$40)))</f>
        <v>-5470.9494565756204</v>
      </c>
      <c r="AC32" s="29">
        <f>IF(Inputs!$G$30="simple",0,IF(AC$2&gt;Inputs!$G$15,0,AB32*(1+Inputs!$G$40)))</f>
        <v>-4923.8545109180586</v>
      </c>
      <c r="AD32" s="29">
        <f>IF(Inputs!$G$30="simple",0,IF(AD$2&gt;Inputs!$G$15,0,AC32*(1+Inputs!$G$40)))</f>
        <v>-4431.4690598262532</v>
      </c>
      <c r="AE32" s="29">
        <f>IF(Inputs!$G$30="simple",0,IF(AE$2&gt;Inputs!$G$15,0,AD32*(1+Inputs!$G$40)))</f>
        <v>-3988.3221538436278</v>
      </c>
      <c r="AF32" s="29">
        <f>IF(Inputs!$G$30="simple",0,IF(AF$2&gt;Inputs!$G$15,0,AE32*(1+Inputs!$G$40)))</f>
        <v>0</v>
      </c>
      <c r="AG32" s="29">
        <f>IF(Inputs!$G$30="simple",0,IF(AG$2&gt;Inputs!$G$15,0,AF32*(1+Inputs!$G$40)))</f>
        <v>0</v>
      </c>
      <c r="AH32" s="29">
        <f>IF(Inputs!$G$30="simple",0,IF(AH$2&gt;Inputs!$G$15,0,AG32*(1+Inputs!$G$40)))</f>
        <v>0</v>
      </c>
      <c r="AI32" s="29">
        <f>IF(Inputs!$G$30="simple",0,IF(AI$2&gt;Inputs!$G$15,0,AH32*(1+Inputs!$G$40)))</f>
        <v>0</v>
      </c>
      <c r="AJ32" s="29">
        <f>IF(Inputs!$G$30="simple",0,IF(AJ$2&gt;Inputs!$G$15,0,AI32*(1+Inputs!$G$40)))</f>
        <v>0</v>
      </c>
    </row>
    <row r="33" spans="2:36" s="1" customFormat="1" x14ac:dyDescent="0.2">
      <c r="B33" s="1" t="s">
        <v>355</v>
      </c>
      <c r="E33" s="54" t="s">
        <v>0</v>
      </c>
      <c r="G33" s="29">
        <f>IF(Inputs!$G$30="simple",0,IF(G$2&gt;Inputs!$G$15,0,-Inputs!$G$41*G$26))</f>
        <v>-5000</v>
      </c>
      <c r="H33" s="29">
        <f>IF(Inputs!$G$30="simple",0,IF(H$2&gt;Inputs!$G$15,0,-Inputs!$G$41*H$26))</f>
        <v>-5080</v>
      </c>
      <c r="I33" s="29">
        <f>IF(Inputs!$G$30="simple",0,IF(I$2&gt;Inputs!$G$15,0,-Inputs!$G$41*I$26))</f>
        <v>-5161.2800000000007</v>
      </c>
      <c r="J33" s="29">
        <f>IF(Inputs!$G$30="simple",0,IF(J$2&gt;Inputs!$G$15,0,-Inputs!$G$41*J$26))</f>
        <v>-5243.8604800000003</v>
      </c>
      <c r="K33" s="29">
        <f>IF(Inputs!$G$30="simple",0,IF(K$2&gt;Inputs!$G$15,0,-Inputs!$G$41*K$26))</f>
        <v>-5327.7622476799997</v>
      </c>
      <c r="L33" s="29">
        <f>IF(Inputs!$G$30="simple",0,IF(L$2&gt;Inputs!$G$15,0,-Inputs!$G$41*L$26))</f>
        <v>-5413.0064436428802</v>
      </c>
      <c r="M33" s="29">
        <f>IF(Inputs!$G$30="simple",0,IF(M$2&gt;Inputs!$G$15,0,-Inputs!$G$41*M$26))</f>
        <v>-5499.6145467411661</v>
      </c>
      <c r="N33" s="29">
        <f>IF(Inputs!$G$30="simple",0,IF(N$2&gt;Inputs!$G$15,0,-Inputs!$G$41*N$26))</f>
        <v>-5587.6083794890255</v>
      </c>
      <c r="O33" s="29">
        <f>IF(Inputs!$G$30="simple",0,IF(O$2&gt;Inputs!$G$15,0,-Inputs!$G$41*O$26))</f>
        <v>-5677.0101135608493</v>
      </c>
      <c r="P33" s="29">
        <f>IF(Inputs!$G$30="simple",0,IF(P$2&gt;Inputs!$G$15,0,-Inputs!$G$41*P$26))</f>
        <v>-5767.8422753778232</v>
      </c>
      <c r="Q33" s="29">
        <f>IF(Inputs!$G$30="simple",0,IF(Q$2&gt;Inputs!$G$15,0,-Inputs!$G$41*Q$26))</f>
        <v>-5860.1277517838689</v>
      </c>
      <c r="R33" s="29">
        <f>IF(Inputs!$G$30="simple",0,IF(R$2&gt;Inputs!$G$15,0,-Inputs!$G$41*R$26))</f>
        <v>-5953.8897958124116</v>
      </c>
      <c r="S33" s="29">
        <f>IF(Inputs!$G$30="simple",0,IF(S$2&gt;Inputs!$G$15,0,-Inputs!$G$41*S$26))</f>
        <v>-6049.1520325454103</v>
      </c>
      <c r="T33" s="29">
        <f>IF(Inputs!$G$30="simple",0,IF(T$2&gt;Inputs!$G$15,0,-Inputs!$G$41*T$26))</f>
        <v>-6145.9384650661377</v>
      </c>
      <c r="U33" s="29">
        <f>IF(Inputs!$G$30="simple",0,IF(U$2&gt;Inputs!$G$15,0,-Inputs!$G$41*U$26))</f>
        <v>-6244.273480507195</v>
      </c>
      <c r="V33" s="29">
        <f>IF(Inputs!$G$30="simple",0,IF(V$2&gt;Inputs!$G$15,0,-Inputs!$G$41*V$26))</f>
        <v>-6344.1818561953105</v>
      </c>
      <c r="W33" s="29">
        <f>IF(Inputs!$G$30="simple",0,IF(W$2&gt;Inputs!$G$15,0,-Inputs!$G$41*W$26))</f>
        <v>-6445.6887658944352</v>
      </c>
      <c r="X33" s="29">
        <f>IF(Inputs!$G$30="simple",0,IF(X$2&gt;Inputs!$G$15,0,-Inputs!$G$41*X$26))</f>
        <v>-6548.8197861487461</v>
      </c>
      <c r="Y33" s="29">
        <f>IF(Inputs!$G$30="simple",0,IF(Y$2&gt;Inputs!$G$15,0,-Inputs!$G$41*Y$26))</f>
        <v>-6653.6009027271257</v>
      </c>
      <c r="Z33" s="29">
        <f>IF(Inputs!$G$30="simple",0,IF(Z$2&gt;Inputs!$G$15,0,-Inputs!$G$41*Z$26))</f>
        <v>-6760.0585171707608</v>
      </c>
      <c r="AA33" s="29">
        <f>IF(Inputs!$G$30="simple",0,IF(AA$2&gt;Inputs!$G$15,0,-Inputs!$G$41*AA$26))</f>
        <v>-6868.2194534454929</v>
      </c>
      <c r="AB33" s="29">
        <f>IF(Inputs!$G$30="simple",0,IF(AB$2&gt;Inputs!$G$15,0,-Inputs!$G$41*AB$26))</f>
        <v>-6978.1109647006215</v>
      </c>
      <c r="AC33" s="29">
        <f>IF(Inputs!$G$30="simple",0,IF(AC$2&gt;Inputs!$G$15,0,-Inputs!$G$41*AC$26))</f>
        <v>-7089.7607401358309</v>
      </c>
      <c r="AD33" s="29">
        <f>IF(Inputs!$G$30="simple",0,IF(AD$2&gt;Inputs!$G$15,0,-Inputs!$G$41*AD$26))</f>
        <v>-7203.1969119780051</v>
      </c>
      <c r="AE33" s="29">
        <f>IF(Inputs!$G$30="simple",0,IF(AE$2&gt;Inputs!$G$15,0,-Inputs!$G$41*AE$26))</f>
        <v>-7318.4480625696533</v>
      </c>
      <c r="AF33" s="29">
        <f>IF(Inputs!$G$30="simple",0,IF(AF$2&gt;Inputs!$G$15,0,-Inputs!$G$41*AF$26))</f>
        <v>0</v>
      </c>
      <c r="AG33" s="29">
        <f>IF(Inputs!$G$30="simple",0,IF(AG$2&gt;Inputs!$G$15,0,-Inputs!$G$41*AG$26))</f>
        <v>0</v>
      </c>
      <c r="AH33" s="29">
        <f>IF(Inputs!$G$30="simple",0,IF(AH$2&gt;Inputs!$G$15,0,-Inputs!$G$41*AH$26))</f>
        <v>0</v>
      </c>
      <c r="AI33" s="29">
        <f>IF(Inputs!$G$30="simple",0,IF(AI$2&gt;Inputs!$G$15,0,-Inputs!$G$41*AI$26))</f>
        <v>0</v>
      </c>
      <c r="AJ33" s="29">
        <f>IF(Inputs!$G$30="simple",0,IF(AJ$2&gt;Inputs!$G$15,0,-Inputs!$G$41*AJ$26))</f>
        <v>0</v>
      </c>
    </row>
    <row r="34" spans="2:36" s="1" customFormat="1" x14ac:dyDescent="0.2">
      <c r="B34" s="27" t="s">
        <v>120</v>
      </c>
      <c r="C34" s="27"/>
      <c r="D34" s="27"/>
      <c r="E34" s="57" t="s">
        <v>0</v>
      </c>
      <c r="F34" s="27"/>
      <c r="G34" s="30">
        <f>-IF(Inputs!$G$30="simple",0,IF(G$2&gt;Inputs!$G$15,0,Inputs!$G$42*(G$15+G$17+G$19+G$21)))</f>
        <v>-29056.658607075016</v>
      </c>
      <c r="H34" s="30">
        <f>-IF(Inputs!$G$30="simple",0,IF(H$2&gt;Inputs!$G$15,0,Inputs!$G$42*(H$15+H$17+H$19+H$21)))</f>
        <v>-29489.602820320433</v>
      </c>
      <c r="I34" s="30">
        <f>-IF(Inputs!$G$30="simple",0,IF(I$2&gt;Inputs!$G$15,0,Inputs!$G$42*(I$15+I$17+I$19+I$21)))</f>
        <v>-29928.99790234321</v>
      </c>
      <c r="J34" s="30">
        <f>-IF(Inputs!$G$30="simple",0,IF(J$2&gt;Inputs!$G$15,0,Inputs!$G$42*(J$15+J$17+J$19+J$21)))</f>
        <v>-30374.939971088123</v>
      </c>
      <c r="K34" s="30">
        <f>-IF(Inputs!$G$30="simple",0,IF(K$2&gt;Inputs!$G$15,0,Inputs!$G$42*(K$15+K$17+K$19+K$21)))</f>
        <v>-30827.526576657332</v>
      </c>
      <c r="L34" s="30">
        <f>-IF(Inputs!$G$30="simple",0,IF(L$2&gt;Inputs!$G$15,0,Inputs!$G$42*(L$15+L$17+L$19+L$21)))</f>
        <v>-31286.856722649529</v>
      </c>
      <c r="M34" s="30">
        <f>-IF(Inputs!$G$30="simple",0,IF(M$2&gt;Inputs!$G$15,0,Inputs!$G$42*(M$15+M$17+M$19+M$21)))</f>
        <v>-31753.030887817014</v>
      </c>
      <c r="N34" s="30">
        <f>-IF(Inputs!$G$30="simple",0,IF(N$2&gt;Inputs!$G$15,0,Inputs!$G$42*(N$15+N$17+N$19+N$21)))</f>
        <v>-32226.151048045482</v>
      </c>
      <c r="O34" s="30">
        <f>-IF(Inputs!$G$30="simple",0,IF(O$2&gt;Inputs!$G$15,0,Inputs!$G$42*(O$15+O$17+O$19+O$21)))</f>
        <v>-32706.320698661359</v>
      </c>
      <c r="P34" s="30">
        <f>-IF(Inputs!$G$30="simple",0,IF(P$2&gt;Inputs!$G$15,0,Inputs!$G$42*(P$15+P$17+P$19+P$21)))</f>
        <v>-33193.644877071412</v>
      </c>
      <c r="Q34" s="30">
        <f>-IF(Inputs!$G$30="simple",0,IF(Q$2&gt;Inputs!$G$15,0,Inputs!$G$42*(Q$15+Q$17+Q$19+Q$21)))</f>
        <v>-33688.230185739769</v>
      </c>
      <c r="R34" s="30">
        <f>-IF(Inputs!$G$30="simple",0,IF(R$2&gt;Inputs!$G$15,0,Inputs!$G$42*(R$15+R$17+R$19+R$21)))</f>
        <v>-34190.184815507295</v>
      </c>
      <c r="S34" s="30">
        <f>-IF(Inputs!$G$30="simple",0,IF(S$2&gt;Inputs!$G$15,0,Inputs!$G$42*(S$15+S$17+S$19+S$21)))</f>
        <v>-34699.61856925836</v>
      </c>
      <c r="T34" s="30">
        <f>-IF(Inputs!$G$30="simple",0,IF(T$2&gt;Inputs!$G$15,0,Inputs!$G$42*(T$15+T$17+T$19+T$21)))</f>
        <v>-35216.642885940317</v>
      </c>
      <c r="U34" s="30">
        <f>-IF(Inputs!$G$30="simple",0,IF(U$2&gt;Inputs!$G$15,0,Inputs!$G$42*(U$15+U$17+U$19+U$21)))</f>
        <v>-35741.370864940822</v>
      </c>
      <c r="V34" s="30">
        <f>-IF(Inputs!$G$30="simple",0,IF(V$2&gt;Inputs!$G$15,0,Inputs!$G$42*(V$15+V$17+V$19+V$21)))</f>
        <v>-36273.917290828445</v>
      </c>
      <c r="W34" s="30">
        <f>-IF(Inputs!$G$30="simple",0,IF(W$2&gt;Inputs!$G$15,0,Inputs!$G$42*(W$15+W$17+W$19+W$21)))</f>
        <v>-36814.398658461789</v>
      </c>
      <c r="X34" s="30">
        <f>-IF(Inputs!$G$30="simple",0,IF(X$2&gt;Inputs!$G$15,0,Inputs!$G$42*(X$15+X$17+X$19+X$21)))</f>
        <v>-37362.933198472863</v>
      </c>
      <c r="Y34" s="30">
        <f>-IF(Inputs!$G$30="simple",0,IF(Y$2&gt;Inputs!$G$15,0,Inputs!$G$42*(Y$15+Y$17+Y$19+Y$21)))</f>
        <v>-37919.640903130115</v>
      </c>
      <c r="Z34" s="30">
        <f>-IF(Inputs!$G$30="simple",0,IF(Z$2&gt;Inputs!$G$15,0,Inputs!$G$42*(Z$15+Z$17+Z$19+Z$21)))</f>
        <v>-38484.643552586749</v>
      </c>
      <c r="AA34" s="30">
        <f>-IF(Inputs!$G$30="simple",0,IF(AA$2&gt;Inputs!$G$15,0,Inputs!$G$42*(AA$15+AA$17+AA$19+AA$21)))</f>
        <v>-8523.0803881306547</v>
      </c>
      <c r="AB34" s="30">
        <f>-IF(Inputs!$G$30="simple",0,IF(AB$2&gt;Inputs!$G$15,0,Inputs!$G$42*(AB$15+AB$17+AB$19+AB$21)))</f>
        <v>-8734.8789357757032</v>
      </c>
      <c r="AC34" s="30">
        <f>-IF(Inputs!$G$30="simple",0,IF(AC$2&gt;Inputs!$G$15,0,Inputs!$G$42*(AC$15+AC$17+AC$19+AC$21)))</f>
        <v>-8951.9406773297269</v>
      </c>
      <c r="AD34" s="30">
        <f>-IF(Inputs!$G$30="simple",0,IF(AD$2&gt;Inputs!$G$15,0,Inputs!$G$42*(AD$15+AD$17+AD$19+AD$21)))</f>
        <v>-9174.3964031613723</v>
      </c>
      <c r="AE34" s="30">
        <f>-IF(Inputs!$G$30="simple",0,IF(AE$2&gt;Inputs!$G$15,0,Inputs!$G$42*(AE$15+AE$17+AE$19+AE$21)))</f>
        <v>-9402.3801537799336</v>
      </c>
      <c r="AF34" s="30">
        <f>-IF(Inputs!$G$30="simple",0,IF(AF$2&gt;Inputs!$G$15,0,Inputs!$G$42*(AF$15+AF$17+AF$19+AF$21)))</f>
        <v>0</v>
      </c>
      <c r="AG34" s="30">
        <f>-IF(Inputs!$G$30="simple",0,IF(AG$2&gt;Inputs!$G$15,0,Inputs!$G$42*(AG$15+AG$17+AG$19+AG$21)))</f>
        <v>0</v>
      </c>
      <c r="AH34" s="30">
        <f>-IF(Inputs!$G$30="simple",0,IF(AH$2&gt;Inputs!$G$15,0,Inputs!$G$42*(AH$15+AH$17+AH$19+AH$21)))</f>
        <v>0</v>
      </c>
      <c r="AI34" s="30">
        <f>-IF(Inputs!$G$30="simple",0,IF(AI$2&gt;Inputs!$G$15,0,Inputs!$G$42*(AI$15+AI$17+AI$19+AI$21)))</f>
        <v>0</v>
      </c>
      <c r="AJ34" s="30">
        <f>-IF(Inputs!$G$30="simple",0,IF(AJ$2&gt;Inputs!$G$15,0,Inputs!$G$42*(AJ$15+AJ$17+AJ$19+AJ$21)))</f>
        <v>0</v>
      </c>
    </row>
    <row r="35" spans="2:36" s="1" customFormat="1" ht="15.75" x14ac:dyDescent="0.25">
      <c r="B35" s="24" t="s">
        <v>123</v>
      </c>
      <c r="C35" s="24"/>
      <c r="D35" s="24"/>
      <c r="E35" s="58" t="s">
        <v>0</v>
      </c>
      <c r="F35" s="24"/>
      <c r="G35" s="31">
        <f>SUM(G28:G34)</f>
        <v>-172904.43429357503</v>
      </c>
      <c r="H35" s="31">
        <f t="shared" ref="H35:AJ35" si="5">SUM(H28:H34)</f>
        <v>-169837.17621731703</v>
      </c>
      <c r="I35" s="31">
        <f t="shared" si="5"/>
        <v>-167300.346480835</v>
      </c>
      <c r="J35" s="31">
        <f t="shared" si="5"/>
        <v>-165244.42463093702</v>
      </c>
      <c r="K35" s="31">
        <f t="shared" si="5"/>
        <v>-163624.89777914988</v>
      </c>
      <c r="L35" s="31">
        <f t="shared" si="5"/>
        <v>-162401.76072115393</v>
      </c>
      <c r="M35" s="31">
        <f t="shared" si="5"/>
        <v>-161539.06605810535</v>
      </c>
      <c r="N35" s="31">
        <f t="shared" si="5"/>
        <v>-161004.5193198756</v>
      </c>
      <c r="O35" s="31">
        <f t="shared" si="5"/>
        <v>-160769.11459023782</v>
      </c>
      <c r="P35" s="31">
        <f t="shared" si="5"/>
        <v>-160806.8065840317</v>
      </c>
      <c r="Q35" s="31">
        <f t="shared" si="5"/>
        <v>-161094.21553133789</v>
      </c>
      <c r="R35" s="31">
        <f t="shared" si="5"/>
        <v>-161610.36158819322</v>
      </c>
      <c r="S35" s="31">
        <f t="shared" si="5"/>
        <v>-162336.42582142985</v>
      </c>
      <c r="T35" s="31">
        <f t="shared" si="5"/>
        <v>-163255.5351104656</v>
      </c>
      <c r="U35" s="31">
        <f t="shared" si="5"/>
        <v>-164352.56857459407</v>
      </c>
      <c r="V35" s="31">
        <f t="shared" si="5"/>
        <v>-165613.98337347322</v>
      </c>
      <c r="W35" s="31">
        <f t="shared" si="5"/>
        <v>-167027.65794374325</v>
      </c>
      <c r="X35" s="31">
        <f t="shared" si="5"/>
        <v>-168582.75092841728</v>
      </c>
      <c r="Y35" s="31">
        <f t="shared" si="5"/>
        <v>-170269.57423002701</v>
      </c>
      <c r="Z35" s="31">
        <f t="shared" si="5"/>
        <v>-172079.47877541164</v>
      </c>
      <c r="AA35" s="31">
        <f t="shared" si="5"/>
        <v>-143469.76736786455</v>
      </c>
      <c r="AB35" s="31">
        <f t="shared" si="5"/>
        <v>-145133.37298616848</v>
      </c>
      <c r="AC35" s="31">
        <f t="shared" si="5"/>
        <v>-146895.96119823214</v>
      </c>
      <c r="AD35" s="31">
        <f t="shared" si="5"/>
        <v>-148752.11059707098</v>
      </c>
      <c r="AE35" s="31">
        <f t="shared" si="5"/>
        <v>-150697.01933242136</v>
      </c>
      <c r="AF35" s="31">
        <f t="shared" si="5"/>
        <v>0</v>
      </c>
      <c r="AG35" s="31">
        <f t="shared" si="5"/>
        <v>0</v>
      </c>
      <c r="AH35" s="31">
        <f t="shared" si="5"/>
        <v>0</v>
      </c>
      <c r="AI35" s="31">
        <f t="shared" si="5"/>
        <v>0</v>
      </c>
      <c r="AJ35" s="31">
        <f t="shared" si="5"/>
        <v>0</v>
      </c>
    </row>
    <row r="36" spans="2:36" s="1" customFormat="1" ht="15.75" hidden="1" x14ac:dyDescent="0.25">
      <c r="B36" s="24"/>
      <c r="C36" s="24"/>
      <c r="D36" s="24"/>
      <c r="E36" s="58"/>
      <c r="F36" s="24"/>
      <c r="G36" s="31">
        <f>IF(G35=0,"",G35)</f>
        <v>-172904.43429357503</v>
      </c>
      <c r="H36" s="31">
        <f t="shared" ref="H36:AJ36" si="6">IF(H35=0,"",H35)</f>
        <v>-169837.17621731703</v>
      </c>
      <c r="I36" s="31">
        <f t="shared" si="6"/>
        <v>-167300.346480835</v>
      </c>
      <c r="J36" s="31">
        <f t="shared" si="6"/>
        <v>-165244.42463093702</v>
      </c>
      <c r="K36" s="31">
        <f t="shared" si="6"/>
        <v>-163624.89777914988</v>
      </c>
      <c r="L36" s="31">
        <f t="shared" si="6"/>
        <v>-162401.76072115393</v>
      </c>
      <c r="M36" s="31">
        <f t="shared" si="6"/>
        <v>-161539.06605810535</v>
      </c>
      <c r="N36" s="31">
        <f t="shared" si="6"/>
        <v>-161004.5193198756</v>
      </c>
      <c r="O36" s="31">
        <f t="shared" si="6"/>
        <v>-160769.11459023782</v>
      </c>
      <c r="P36" s="31">
        <f t="shared" si="6"/>
        <v>-160806.8065840317</v>
      </c>
      <c r="Q36" s="31">
        <f t="shared" si="6"/>
        <v>-161094.21553133789</v>
      </c>
      <c r="R36" s="31">
        <f t="shared" si="6"/>
        <v>-161610.36158819322</v>
      </c>
      <c r="S36" s="31">
        <f t="shared" si="6"/>
        <v>-162336.42582142985</v>
      </c>
      <c r="T36" s="31">
        <f t="shared" si="6"/>
        <v>-163255.5351104656</v>
      </c>
      <c r="U36" s="31">
        <f t="shared" si="6"/>
        <v>-164352.56857459407</v>
      </c>
      <c r="V36" s="31">
        <f t="shared" si="6"/>
        <v>-165613.98337347322</v>
      </c>
      <c r="W36" s="31">
        <f t="shared" si="6"/>
        <v>-167027.65794374325</v>
      </c>
      <c r="X36" s="31">
        <f t="shared" si="6"/>
        <v>-168582.75092841728</v>
      </c>
      <c r="Y36" s="31">
        <f t="shared" si="6"/>
        <v>-170269.57423002701</v>
      </c>
      <c r="Z36" s="31">
        <f t="shared" si="6"/>
        <v>-172079.47877541164</v>
      </c>
      <c r="AA36" s="31">
        <f t="shared" si="6"/>
        <v>-143469.76736786455</v>
      </c>
      <c r="AB36" s="31">
        <f t="shared" si="6"/>
        <v>-145133.37298616848</v>
      </c>
      <c r="AC36" s="31">
        <f t="shared" si="6"/>
        <v>-146895.96119823214</v>
      </c>
      <c r="AD36" s="31">
        <f t="shared" si="6"/>
        <v>-148752.11059707098</v>
      </c>
      <c r="AE36" s="31">
        <f t="shared" si="6"/>
        <v>-150697.01933242136</v>
      </c>
      <c r="AF36" s="31" t="str">
        <f t="shared" si="6"/>
        <v/>
      </c>
      <c r="AG36" s="31" t="str">
        <f t="shared" si="6"/>
        <v/>
      </c>
      <c r="AH36" s="31" t="str">
        <f t="shared" si="6"/>
        <v/>
      </c>
      <c r="AI36" s="31" t="str">
        <f t="shared" si="6"/>
        <v/>
      </c>
      <c r="AJ36" s="31" t="str">
        <f t="shared" si="6"/>
        <v/>
      </c>
    </row>
    <row r="37" spans="2:36" s="1" customFormat="1" x14ac:dyDescent="0.2">
      <c r="B37" s="32" t="s">
        <v>476</v>
      </c>
      <c r="C37" s="32"/>
      <c r="D37" s="32"/>
      <c r="E37" s="54" t="s">
        <v>56</v>
      </c>
      <c r="F37" s="32"/>
      <c r="G37" s="33">
        <f>IF(G$2&gt;Inputs!$G$15,0,G35*100/G5)</f>
        <v>-4.97172289511317</v>
      </c>
      <c r="H37" s="33">
        <f>IF(H$2&gt;Inputs!$G$15,0,H35*100/H5)</f>
        <v>-4.9080667795371511</v>
      </c>
      <c r="I37" s="33">
        <f>IF(I$2&gt;Inputs!$G$15,0,I35*100/I5)</f>
        <v>-4.8590510552488411</v>
      </c>
      <c r="J37" s="33">
        <f>IF(J$2&gt;Inputs!$G$15,0,J35*100/J5)</f>
        <v>-4.8234563913285493</v>
      </c>
      <c r="K37" s="33">
        <f>IF(K$2&gt;Inputs!$G$15,0,K35*100/K5)</f>
        <v>-4.8001835985037271</v>
      </c>
      <c r="L37" s="33">
        <f>IF(L$2&gt;Inputs!$G$15,0,L35*100/L5)</f>
        <v>-4.7882422360401602</v>
      </c>
      <c r="M37" s="33">
        <f>IF(M$2&gt;Inputs!$G$15,0,M35*100/M5)</f>
        <v>-4.7867403080399367</v>
      </c>
      <c r="N37" s="33">
        <f>IF(N$2&gt;Inputs!$G$15,0,N35*100/N5)</f>
        <v>-4.7948749451663497</v>
      </c>
      <c r="O37" s="33">
        <f>IF(O$2&gt;Inputs!$G$15,0,O35*100/O5)</f>
        <v>-4.8119239777443426</v>
      </c>
      <c r="P37" s="33">
        <f>IF(P$2&gt;Inputs!$G$15,0,P35*100/P5)</f>
        <v>-4.8372383151656466</v>
      </c>
      <c r="Q37" s="33">
        <f>IF(Q$2&gt;Inputs!$G$15,0,Q35*100/Q5)</f>
        <v>-4.8702350546507898</v>
      </c>
      <c r="R37" s="33">
        <f>IF(R$2&gt;Inputs!$G$15,0,R35*100/R5)</f>
        <v>-4.9103912497677058</v>
      </c>
      <c r="S37" s="33">
        <f>IF(S$2&gt;Inputs!$G$15,0,S35*100/S5)</f>
        <v>-4.9572382757527258</v>
      </c>
      <c r="T37" s="33">
        <f>IF(T$2&gt;Inputs!$G$15,0,T35*100/T5)</f>
        <v>-5.0103567346911637</v>
      </c>
      <c r="U37" s="33">
        <f>IF(U$2&gt;Inputs!$G$15,0,U35*100/U5)</f>
        <v>-5.069371849052299</v>
      </c>
      <c r="V37" s="33">
        <f>IF(V$2&gt;Inputs!$G$15,0,V35*100/V5)</f>
        <v>-5.1339492969919744</v>
      </c>
      <c r="W37" s="33">
        <f>IF(W$2&gt;Inputs!$G$15,0,W35*100/W5)</f>
        <v>-5.2037914472847868</v>
      </c>
      <c r="X37" s="33">
        <f>IF(X$2&gt;Inputs!$G$15,0,X35*100/X5)</f>
        <v>-5.2786339557720003</v>
      </c>
      <c r="Y37" s="33">
        <f>IF(Y$2&gt;Inputs!$G$15,0,Y35*100/Y5)</f>
        <v>-5.3582426888511394</v>
      </c>
      <c r="Z37" s="33">
        <f>IF(Z$2&gt;Inputs!$G$15,0,Z35*100/Z5)</f>
        <v>-5.4424109428256502</v>
      </c>
      <c r="AA37" s="33">
        <f>IF(AA$2&gt;Inputs!$G$15,0,AA35*100/AA5)</f>
        <v>-4.5603645667715007</v>
      </c>
      <c r="AB37" s="33">
        <f>IF(AB$2&gt;Inputs!$G$15,0,AB35*100/AB5)</f>
        <v>-4.6364264678171363</v>
      </c>
      <c r="AC37" s="33">
        <f>IF(AC$2&gt;Inputs!$G$15,0,AC35*100/AC5)</f>
        <v>-4.7163156372217951</v>
      </c>
      <c r="AD37" s="33">
        <f>IF(AD$2&gt;Inputs!$G$15,0,AD35*100/AD5)</f>
        <v>-4.799909651955363</v>
      </c>
      <c r="AE37" s="33">
        <f>IF(AE$2&gt;Inputs!$G$15,0,AE35*100/AE5)</f>
        <v>-4.887103176267706</v>
      </c>
      <c r="AF37" s="33">
        <f>IF(AF$2&gt;Inputs!$G$15,0,AF35*100/AF5)</f>
        <v>0</v>
      </c>
      <c r="AG37" s="33">
        <f>IF(AG$2&gt;Inputs!$G$15,0,AG35*100/AG5)</f>
        <v>0</v>
      </c>
      <c r="AH37" s="33">
        <f>IF(AH$2&gt;Inputs!$G$15,0,AH35*100/AH5)</f>
        <v>0</v>
      </c>
      <c r="AI37" s="33">
        <f>IF(AI$2&gt;Inputs!$G$15,0,AI35*100/AI5)</f>
        <v>0</v>
      </c>
      <c r="AJ37" s="33">
        <f>IF(AJ$2&gt;Inputs!$G$15,0,AJ35*100/AJ5)</f>
        <v>0</v>
      </c>
    </row>
    <row r="38" spans="2:36" s="1" customFormat="1" x14ac:dyDescent="0.2">
      <c r="E38" s="54"/>
    </row>
    <row r="39" spans="2:36" s="1" customFormat="1" ht="15.75" x14ac:dyDescent="0.25">
      <c r="B39" s="24" t="s">
        <v>124</v>
      </c>
      <c r="C39" s="24"/>
      <c r="D39" s="24"/>
      <c r="E39" s="54" t="s">
        <v>0</v>
      </c>
      <c r="G39" s="31">
        <f t="shared" ref="G39:AJ39" si="7">G23+G35</f>
        <v>800297.49245782953</v>
      </c>
      <c r="H39" s="31">
        <f t="shared" si="7"/>
        <v>818945.11319782364</v>
      </c>
      <c r="I39" s="31">
        <f t="shared" si="7"/>
        <v>837277.33455728728</v>
      </c>
      <c r="J39" s="31">
        <f t="shared" si="7"/>
        <v>855346.88092090446</v>
      </c>
      <c r="K39" s="31">
        <f t="shared" si="7"/>
        <v>873201.51684722095</v>
      </c>
      <c r="L39" s="31">
        <f t="shared" si="7"/>
        <v>890884.54766051227</v>
      </c>
      <c r="M39" s="31">
        <f t="shared" si="7"/>
        <v>908435.27005136572</v>
      </c>
      <c r="N39" s="31">
        <f t="shared" si="7"/>
        <v>925889.37768610008</v>
      </c>
      <c r="O39" s="31">
        <f t="shared" si="7"/>
        <v>943279.32632515603</v>
      </c>
      <c r="P39" s="31">
        <f t="shared" si="7"/>
        <v>954890.21805614152</v>
      </c>
      <c r="Q39" s="31">
        <f t="shared" si="7"/>
        <v>966517.8749533362</v>
      </c>
      <c r="R39" s="31">
        <f t="shared" si="7"/>
        <v>983931.32766650955</v>
      </c>
      <c r="S39" s="31">
        <f t="shared" si="7"/>
        <v>1001384.1663360861</v>
      </c>
      <c r="T39" s="31">
        <f t="shared" si="7"/>
        <v>1018896.9787142266</v>
      </c>
      <c r="U39" s="31">
        <f t="shared" si="7"/>
        <v>1036488.6556612263</v>
      </c>
      <c r="V39" s="31">
        <f t="shared" si="7"/>
        <v>1054176.5661697125</v>
      </c>
      <c r="W39" s="31">
        <f t="shared" si="7"/>
        <v>1071976.7149649982</v>
      </c>
      <c r="X39" s="31">
        <f t="shared" si="7"/>
        <v>1089903.8844251379</v>
      </c>
      <c r="Y39" s="31">
        <f t="shared" si="7"/>
        <v>1106742.985353658</v>
      </c>
      <c r="Z39" s="31">
        <f t="shared" si="7"/>
        <v>1117746.6143094937</v>
      </c>
      <c r="AA39" s="31">
        <f t="shared" si="7"/>
        <v>142247.55356850429</v>
      </c>
      <c r="AB39" s="31">
        <f t="shared" si="7"/>
        <v>147643.89953836863</v>
      </c>
      <c r="AC39" s="31">
        <f t="shared" si="7"/>
        <v>153116.70271143911</v>
      </c>
      <c r="AD39" s="31">
        <f t="shared" si="7"/>
        <v>158675.74417365508</v>
      </c>
      <c r="AE39" s="31">
        <f t="shared" si="7"/>
        <v>163522.97312624991</v>
      </c>
      <c r="AF39" s="31">
        <f t="shared" si="7"/>
        <v>1.4551915228366852E-13</v>
      </c>
      <c r="AG39" s="31">
        <f t="shared" si="7"/>
        <v>0</v>
      </c>
      <c r="AH39" s="31">
        <f t="shared" si="7"/>
        <v>0</v>
      </c>
      <c r="AI39" s="31">
        <f t="shared" si="7"/>
        <v>0</v>
      </c>
      <c r="AJ39" s="31">
        <f t="shared" si="7"/>
        <v>0</v>
      </c>
    </row>
    <row r="40" spans="2:36" s="1" customFormat="1" ht="15.75" x14ac:dyDescent="0.25">
      <c r="B40" s="24"/>
      <c r="C40" s="24"/>
      <c r="D40" s="24"/>
      <c r="E40" s="54" t="s">
        <v>282</v>
      </c>
      <c r="F40" s="54" t="s">
        <v>217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row>
    <row r="41" spans="2:36" s="1" customFormat="1" x14ac:dyDescent="0.2">
      <c r="B41" s="32" t="s">
        <v>154</v>
      </c>
      <c r="C41" s="32"/>
      <c r="D41" s="32"/>
      <c r="E41" s="33">
        <f>IF(OR(Inputs!$G$51=0,Inputs!$G$51=""),"N/A",AVERAGE(G41:AJ41))</f>
        <v>3.6250162340342618</v>
      </c>
      <c r="F41" s="33">
        <f>IF(OR(Inputs!$G$51=0,Inputs!$G$51=""),"N/A",MIN(G41:AJ41))</f>
        <v>3.0227332791666264</v>
      </c>
      <c r="G41" s="33">
        <f>IF(OR(Inputs!$G$51=0,Inputs!$G$51=""),"N/A",IF(G$2&gt;Inputs!$G$52,"N/A",(G39+SUM(G47:G48))/-G85))</f>
        <v>3.0227332791666264</v>
      </c>
      <c r="H41" s="33">
        <f>IF(OR(Inputs!$G$51=0,Inputs!$G$51=""),"N/A",IF(H$2&gt;Inputs!$G$52,"N/A",(H39+SUM(H47:H48))/-H85))</f>
        <v>3.0986120602240641</v>
      </c>
      <c r="I41" s="33">
        <f>IF(OR(Inputs!$G$51=0,Inputs!$G$51=""),"N/A",IF(I$2&gt;Inputs!$G$52,"N/A",(I39+SUM(I47:I48))/-I85))</f>
        <v>3.1732074539328097</v>
      </c>
      <c r="J41" s="33">
        <f>IF(OR(Inputs!$G$51=0,Inputs!$G$51=""),"N/A",IF(J$2&gt;Inputs!$G$52,"N/A",(J39+SUM(J47:J48))/-J85))</f>
        <v>3.246734000372673</v>
      </c>
      <c r="K41" s="33">
        <f>IF(OR(Inputs!$G$51=0,Inputs!$G$51=""),"N/A",IF(K$2&gt;Inputs!$G$52,"N/A",(K39+SUM(K47:K48))/-K85))</f>
        <v>3.3193860576620819</v>
      </c>
      <c r="L41" s="33">
        <f>IF(OR(Inputs!$G$51=0,Inputs!$G$51=""),"N/A",IF(L$2&gt;Inputs!$G$52,"N/A",(L39+SUM(L47:L48))/-L85))</f>
        <v>3.3913398389096776</v>
      </c>
      <c r="M41" s="33">
        <f>IF(OR(Inputs!$G$51=0,Inputs!$G$51=""),"N/A",IF(M$2&gt;Inputs!$G$52,"N/A",(M39+SUM(M47:M48))/-M85))</f>
        <v>3.4627552457470352</v>
      </c>
      <c r="N41" s="33">
        <f>IF(OR(Inputs!$G$51=0,Inputs!$G$51=""),"N/A",IF(N$2&gt;Inputs!$G$52,"N/A",(N39+SUM(N47:N48))/-N85))</f>
        <v>3.5337775187884697</v>
      </c>
      <c r="O41" s="33">
        <f>IF(OR(Inputs!$G$51=0,Inputs!$G$51=""),"N/A",IF(O$2&gt;Inputs!$G$52,"N/A",(O39+SUM(O47:O48))/-O85))</f>
        <v>3.6045387233293251</v>
      </c>
      <c r="P41" s="33">
        <f>IF(OR(Inputs!$G$51=0,Inputs!$G$51=""),"N/A",IF(P$2&gt;Inputs!$G$52,"N/A",(P39+SUM(P47:P48))/-P85))</f>
        <v>3.8855308567260098</v>
      </c>
      <c r="Q41" s="33">
        <f>IF(OR(Inputs!$G$51=0,Inputs!$G$51=""),"N/A",IF(Q$2&gt;Inputs!$G$52,"N/A",(Q39+SUM(Q47:Q48))/-Q85))</f>
        <v>3.6891517311035131</v>
      </c>
      <c r="R41" s="33">
        <f>IF(OR(Inputs!$G$51=0,Inputs!$G$51=""),"N/A",IF(R$2&gt;Inputs!$G$52,"N/A",(R39+SUM(R47:R48))/-R85))</f>
        <v>3.7600085757541053</v>
      </c>
      <c r="S41" s="33">
        <f>IF(OR(Inputs!$G$51=0,Inputs!$G$51=""),"N/A",IF(S$2&gt;Inputs!$G$52,"N/A",(S39+SUM(S47:S48))/-S85))</f>
        <v>3.8310256852665976</v>
      </c>
      <c r="T41" s="33">
        <f>IF(OR(Inputs!$G$51=0,Inputs!$G$51=""),"N/A",IF(T$2&gt;Inputs!$G$52,"N/A",(T39+SUM(T47:T48))/-T85))</f>
        <v>3.9022868329845415</v>
      </c>
      <c r="U41" s="33">
        <f>IF(OR(Inputs!$G$51=0,Inputs!$G$51=""),"N/A",IF(U$2&gt;Inputs!$G$52,"N/A",(U39+SUM(U47:U48))/-U85))</f>
        <v>3.9738688874517742</v>
      </c>
      <c r="V41" s="33">
        <f>IF(OR(Inputs!$G$51=0,Inputs!$G$51=""),"N/A",IF(V$2&gt;Inputs!$G$52,"N/A",(V39+SUM(V47:V48))/-V85))</f>
        <v>4.0458425246010146</v>
      </c>
      <c r="W41" s="33">
        <f>IF(OR(Inputs!$G$51=0,Inputs!$G$51=""),"N/A",IF(W$2&gt;Inputs!$G$52,"N/A",(W39+SUM(W47:W48))/-W85))</f>
        <v>4.1182728690433228</v>
      </c>
      <c r="X41" s="33">
        <f>IF(OR(Inputs!$G$51=0,Inputs!$G$51=""),"N/A",IF(X$2&gt;Inputs!$G$52,"N/A",(X39+SUM(X47:X48))/-X85))</f>
        <v>4.1912200715530812</v>
      </c>
      <c r="Y41" s="33" t="str">
        <f>IF(OR(Inputs!$G$51=0,Inputs!$G$51=""),"N/A",IF(Y$2&gt;Inputs!$G$52,"N/A",(Y39+SUM(Y47:Y48))/-Y85))</f>
        <v>N/A</v>
      </c>
      <c r="Z41" s="33" t="str">
        <f>IF(OR(Inputs!$G$51=0,Inputs!$G$51=""),"N/A",IF(Z$2&gt;Inputs!$G$52,"N/A",(Z39+SUM(Z47:Z48))/-Z85))</f>
        <v>N/A</v>
      </c>
      <c r="AA41" s="33" t="str">
        <f>IF(OR(Inputs!$G$51=0,Inputs!$G$51=""),"N/A",IF(AA$2&gt;Inputs!$G$52,"N/A",(AA39+SUM(AA47:AA48))/-AA85))</f>
        <v>N/A</v>
      </c>
      <c r="AB41" s="33" t="str">
        <f>IF(OR(Inputs!$G$51=0,Inputs!$G$51=""),"N/A",IF(AB$2&gt;Inputs!$G$52,"N/A",(AB39+SUM(AB47:AB48))/-AB85))</f>
        <v>N/A</v>
      </c>
      <c r="AC41" s="33" t="str">
        <f>IF(OR(Inputs!$G$51=0,Inputs!$G$51=""),"N/A",IF(AC$2&gt;Inputs!$G$52,"N/A",(AC39+SUM(AC47:AC48))/-AC85))</f>
        <v>N/A</v>
      </c>
      <c r="AD41" s="33" t="str">
        <f>IF(OR(Inputs!$G$51=0,Inputs!$G$51=""),"N/A",IF(AD$2&gt;Inputs!$G$52,"N/A",(AD39+SUM(AD47:AD48))/-AD85))</f>
        <v>N/A</v>
      </c>
      <c r="AE41" s="33" t="str">
        <f>IF(OR(Inputs!$G$51=0,Inputs!$G$51=""),"N/A",IF(AE$2&gt;Inputs!$G$52,"N/A",(AE39+SUM(AE47:AE48))/-AE85))</f>
        <v>N/A</v>
      </c>
      <c r="AF41" s="33" t="str">
        <f>IF(OR(Inputs!$G$51=0,Inputs!$G$51=""),"N/A",IF(AF$2&gt;Inputs!$G$52,"N/A",(AF39+SUM(AF47:AF48))/-AF85))</f>
        <v>N/A</v>
      </c>
      <c r="AG41" s="33" t="str">
        <f>IF(OR(Inputs!$G$51=0,Inputs!$G$51=""),"N/A",IF(AG$2&gt;Inputs!$G$52,"N/A",(AG39+SUM(AG47:AG48))/-AG85))</f>
        <v>N/A</v>
      </c>
      <c r="AH41" s="33" t="str">
        <f>IF(OR(Inputs!$G$51=0,Inputs!$G$51=""),"N/A",IF(AH$2&gt;Inputs!$G$52,"N/A",(AH39+SUM(AH47:AH48))/-AH85))</f>
        <v>N/A</v>
      </c>
      <c r="AI41" s="33" t="str">
        <f>IF(OR(Inputs!$G$51=0,Inputs!$G$51=""),"N/A",IF(AI$2&gt;Inputs!$G$52,"N/A",(AI39+SUM(AI47:AI48))/-AI85))</f>
        <v>N/A</v>
      </c>
      <c r="AJ41" s="33" t="str">
        <f>IF(OR(Inputs!$G$51=0,Inputs!$G$51=""),"N/A",IF(AJ$2&gt;Inputs!$G$52,"N/A",(AJ39+SUM(AJ47:AJ48))/-AJ85))</f>
        <v>N/A</v>
      </c>
    </row>
    <row r="42" spans="2:36" s="1" customFormat="1" x14ac:dyDescent="0.2">
      <c r="B42" s="32" t="s">
        <v>312</v>
      </c>
      <c r="C42" s="32"/>
      <c r="D42" s="32"/>
      <c r="E42" s="54"/>
      <c r="F42" s="33"/>
      <c r="G42" s="374">
        <f>IF(G41=$F$41,G2,"")</f>
        <v>1</v>
      </c>
      <c r="H42" s="374" t="str">
        <f t="shared" ref="H42:AJ42" si="8">IF(H41=$F$41,H2,"")</f>
        <v/>
      </c>
      <c r="I42" s="374" t="str">
        <f t="shared" si="8"/>
        <v/>
      </c>
      <c r="J42" s="374" t="str">
        <f t="shared" si="8"/>
        <v/>
      </c>
      <c r="K42" s="374" t="str">
        <f t="shared" si="8"/>
        <v/>
      </c>
      <c r="L42" s="374" t="str">
        <f t="shared" si="8"/>
        <v/>
      </c>
      <c r="M42" s="374" t="str">
        <f t="shared" si="8"/>
        <v/>
      </c>
      <c r="N42" s="374" t="str">
        <f t="shared" si="8"/>
        <v/>
      </c>
      <c r="O42" s="374" t="str">
        <f t="shared" si="8"/>
        <v/>
      </c>
      <c r="P42" s="374" t="str">
        <f t="shared" si="8"/>
        <v/>
      </c>
      <c r="Q42" s="374" t="str">
        <f t="shared" si="8"/>
        <v/>
      </c>
      <c r="R42" s="374" t="str">
        <f t="shared" si="8"/>
        <v/>
      </c>
      <c r="S42" s="374" t="str">
        <f t="shared" si="8"/>
        <v/>
      </c>
      <c r="T42" s="374" t="str">
        <f t="shared" si="8"/>
        <v/>
      </c>
      <c r="U42" s="374" t="str">
        <f t="shared" si="8"/>
        <v/>
      </c>
      <c r="V42" s="374" t="str">
        <f t="shared" si="8"/>
        <v/>
      </c>
      <c r="W42" s="374" t="str">
        <f t="shared" si="8"/>
        <v/>
      </c>
      <c r="X42" s="374" t="str">
        <f t="shared" si="8"/>
        <v/>
      </c>
      <c r="Y42" s="374" t="str">
        <f t="shared" si="8"/>
        <v/>
      </c>
      <c r="Z42" s="374" t="str">
        <f t="shared" si="8"/>
        <v/>
      </c>
      <c r="AA42" s="374" t="str">
        <f t="shared" si="8"/>
        <v/>
      </c>
      <c r="AB42" s="374" t="str">
        <f t="shared" si="8"/>
        <v/>
      </c>
      <c r="AC42" s="374" t="str">
        <f t="shared" si="8"/>
        <v/>
      </c>
      <c r="AD42" s="374" t="str">
        <f t="shared" si="8"/>
        <v/>
      </c>
      <c r="AE42" s="374" t="str">
        <f t="shared" si="8"/>
        <v/>
      </c>
      <c r="AF42" s="374" t="str">
        <f t="shared" si="8"/>
        <v/>
      </c>
      <c r="AG42" s="374" t="str">
        <f t="shared" si="8"/>
        <v/>
      </c>
      <c r="AH42" s="374" t="str">
        <f t="shared" si="8"/>
        <v/>
      </c>
      <c r="AI42" s="374" t="str">
        <f t="shared" si="8"/>
        <v/>
      </c>
      <c r="AJ42" s="374" t="str">
        <f t="shared" si="8"/>
        <v/>
      </c>
    </row>
    <row r="43" spans="2:36" s="1" customFormat="1" x14ac:dyDescent="0.2">
      <c r="B43" s="27" t="s">
        <v>129</v>
      </c>
      <c r="C43" s="27"/>
      <c r="D43" s="27"/>
      <c r="E43" s="57"/>
      <c r="F43" s="27"/>
      <c r="G43" s="30">
        <f>G86</f>
        <v>-173045.25000000003</v>
      </c>
      <c r="H43" s="30">
        <f t="shared" ref="H43:AJ43" si="9">H86</f>
        <v>-167955.53899287834</v>
      </c>
      <c r="I43" s="30">
        <f t="shared" si="9"/>
        <v>-162509.54821525814</v>
      </c>
      <c r="J43" s="30">
        <f t="shared" si="9"/>
        <v>-156682.33808320452</v>
      </c>
      <c r="K43" s="30">
        <f t="shared" si="9"/>
        <v>-150447.22324190722</v>
      </c>
      <c r="L43" s="30">
        <f t="shared" si="9"/>
        <v>-143775.65036171905</v>
      </c>
      <c r="M43" s="30">
        <f t="shared" si="9"/>
        <v>-136637.06737991775</v>
      </c>
      <c r="N43" s="30">
        <f t="shared" si="9"/>
        <v>-128998.78358939025</v>
      </c>
      <c r="O43" s="30">
        <f t="shared" si="9"/>
        <v>-120825.81993352593</v>
      </c>
      <c r="P43" s="30">
        <f t="shared" si="9"/>
        <v>-112080.7488217511</v>
      </c>
      <c r="Q43" s="30">
        <f t="shared" si="9"/>
        <v>-102723.52273215201</v>
      </c>
      <c r="R43" s="30">
        <f t="shared" si="9"/>
        <v>-92711.290816280962</v>
      </c>
      <c r="S43" s="30">
        <f t="shared" si="9"/>
        <v>-81998.202666298981</v>
      </c>
      <c r="T43" s="30">
        <f t="shared" si="9"/>
        <v>-70535.198345818222</v>
      </c>
      <c r="U43" s="30">
        <f t="shared" si="9"/>
        <v>-58269.783722903834</v>
      </c>
      <c r="V43" s="30">
        <f t="shared" si="9"/>
        <v>-45145.790076385441</v>
      </c>
      <c r="W43" s="30">
        <f t="shared" si="9"/>
        <v>-31103.116874610754</v>
      </c>
      <c r="X43" s="30">
        <f t="shared" si="9"/>
        <v>-16077.45654871184</v>
      </c>
      <c r="Y43" s="30">
        <f t="shared" si="9"/>
        <v>0</v>
      </c>
      <c r="Z43" s="30">
        <f t="shared" si="9"/>
        <v>0</v>
      </c>
      <c r="AA43" s="30">
        <f t="shared" si="9"/>
        <v>0</v>
      </c>
      <c r="AB43" s="30">
        <f t="shared" si="9"/>
        <v>0</v>
      </c>
      <c r="AC43" s="30">
        <f t="shared" si="9"/>
        <v>0</v>
      </c>
      <c r="AD43" s="30">
        <f t="shared" si="9"/>
        <v>0</v>
      </c>
      <c r="AE43" s="30">
        <f t="shared" si="9"/>
        <v>0</v>
      </c>
      <c r="AF43" s="30">
        <f t="shared" si="9"/>
        <v>0</v>
      </c>
      <c r="AG43" s="30">
        <f t="shared" si="9"/>
        <v>0</v>
      </c>
      <c r="AH43" s="30">
        <f t="shared" si="9"/>
        <v>0</v>
      </c>
      <c r="AI43" s="30">
        <f t="shared" si="9"/>
        <v>0</v>
      </c>
      <c r="AJ43" s="30">
        <f t="shared" si="9"/>
        <v>0</v>
      </c>
    </row>
    <row r="44" spans="2:36" s="1" customFormat="1" ht="15.75" x14ac:dyDescent="0.25">
      <c r="B44" s="24" t="s">
        <v>76</v>
      </c>
      <c r="C44" s="24"/>
      <c r="D44" s="24"/>
      <c r="E44" s="54"/>
      <c r="F44" s="24"/>
      <c r="G44" s="31">
        <f>G39+G43</f>
        <v>627252.24245782953</v>
      </c>
      <c r="H44" s="31">
        <f t="shared" ref="H44:AJ44" si="10">H39+H43</f>
        <v>650989.57420494524</v>
      </c>
      <c r="I44" s="31">
        <f t="shared" si="10"/>
        <v>674767.78634202911</v>
      </c>
      <c r="J44" s="31">
        <f t="shared" si="10"/>
        <v>698664.54283769988</v>
      </c>
      <c r="K44" s="31">
        <f t="shared" si="10"/>
        <v>722754.29360531375</v>
      </c>
      <c r="L44" s="31">
        <f t="shared" si="10"/>
        <v>747108.89729879319</v>
      </c>
      <c r="M44" s="31">
        <f t="shared" si="10"/>
        <v>771798.202671448</v>
      </c>
      <c r="N44" s="31">
        <f t="shared" si="10"/>
        <v>796890.59409670986</v>
      </c>
      <c r="O44" s="31">
        <f t="shared" si="10"/>
        <v>822453.50639163004</v>
      </c>
      <c r="P44" s="31">
        <f t="shared" si="10"/>
        <v>842809.46923439042</v>
      </c>
      <c r="Q44" s="31">
        <f t="shared" si="10"/>
        <v>863794.35222118418</v>
      </c>
      <c r="R44" s="31">
        <f t="shared" si="10"/>
        <v>891220.03685022856</v>
      </c>
      <c r="S44" s="31">
        <f t="shared" si="10"/>
        <v>919385.96366978716</v>
      </c>
      <c r="T44" s="31">
        <f t="shared" si="10"/>
        <v>948361.78036840842</v>
      </c>
      <c r="U44" s="31">
        <f t="shared" si="10"/>
        <v>978218.87193832244</v>
      </c>
      <c r="V44" s="31">
        <f t="shared" si="10"/>
        <v>1009030.776093327</v>
      </c>
      <c r="W44" s="31">
        <f t="shared" si="10"/>
        <v>1040873.5980903874</v>
      </c>
      <c r="X44" s="31">
        <f t="shared" si="10"/>
        <v>1073826.4278764261</v>
      </c>
      <c r="Y44" s="31">
        <f t="shared" si="10"/>
        <v>1106742.985353658</v>
      </c>
      <c r="Z44" s="31">
        <f t="shared" si="10"/>
        <v>1117746.6143094937</v>
      </c>
      <c r="AA44" s="31">
        <f t="shared" si="10"/>
        <v>142247.55356850429</v>
      </c>
      <c r="AB44" s="31">
        <f t="shared" si="10"/>
        <v>147643.89953836863</v>
      </c>
      <c r="AC44" s="31">
        <f t="shared" si="10"/>
        <v>153116.70271143911</v>
      </c>
      <c r="AD44" s="31">
        <f t="shared" si="10"/>
        <v>158675.74417365508</v>
      </c>
      <c r="AE44" s="31">
        <f t="shared" si="10"/>
        <v>163522.97312624991</v>
      </c>
      <c r="AF44" s="31">
        <f t="shared" si="10"/>
        <v>1.4551915228366852E-13</v>
      </c>
      <c r="AG44" s="31">
        <f t="shared" si="10"/>
        <v>0</v>
      </c>
      <c r="AH44" s="31">
        <f t="shared" si="10"/>
        <v>0</v>
      </c>
      <c r="AI44" s="31">
        <f t="shared" si="10"/>
        <v>0</v>
      </c>
      <c r="AJ44" s="31">
        <f t="shared" si="10"/>
        <v>0</v>
      </c>
    </row>
    <row r="45" spans="2:36" s="1" customFormat="1" x14ac:dyDescent="0.2">
      <c r="E45" s="54"/>
    </row>
    <row r="46" spans="2:36" s="1" customFormat="1" x14ac:dyDescent="0.2">
      <c r="B46" s="1" t="s">
        <v>128</v>
      </c>
      <c r="E46" s="54"/>
      <c r="G46" s="29">
        <f>G87</f>
        <v>-72710.157244595219</v>
      </c>
      <c r="H46" s="29">
        <f t="shared" ref="H46:AJ46" si="11">H87</f>
        <v>-77799.868251716893</v>
      </c>
      <c r="I46" s="29">
        <f t="shared" si="11"/>
        <v>-83245.85902933708</v>
      </c>
      <c r="J46" s="29">
        <f t="shared" si="11"/>
        <v>-89073.069161390682</v>
      </c>
      <c r="K46" s="29">
        <f t="shared" si="11"/>
        <v>-95308.184002688024</v>
      </c>
      <c r="L46" s="29">
        <f t="shared" si="11"/>
        <v>-101979.75688287617</v>
      </c>
      <c r="M46" s="29">
        <f t="shared" si="11"/>
        <v>-109118.33986467752</v>
      </c>
      <c r="N46" s="29">
        <f t="shared" si="11"/>
        <v>-116756.62365520495</v>
      </c>
      <c r="O46" s="29">
        <f t="shared" si="11"/>
        <v>-124929.58731106928</v>
      </c>
      <c r="P46" s="29">
        <f t="shared" si="11"/>
        <v>-133674.65842284414</v>
      </c>
      <c r="Q46" s="29">
        <f t="shared" si="11"/>
        <v>-143031.88451244324</v>
      </c>
      <c r="R46" s="29">
        <f t="shared" si="11"/>
        <v>-153044.11642831427</v>
      </c>
      <c r="S46" s="29">
        <f t="shared" si="11"/>
        <v>-163757.20457829625</v>
      </c>
      <c r="T46" s="29">
        <f t="shared" si="11"/>
        <v>-175220.208898777</v>
      </c>
      <c r="U46" s="29">
        <f t="shared" si="11"/>
        <v>-187485.62352169139</v>
      </c>
      <c r="V46" s="29">
        <f t="shared" si="11"/>
        <v>-200609.61716820978</v>
      </c>
      <c r="W46" s="29">
        <f t="shared" si="11"/>
        <v>-214652.29036998449</v>
      </c>
      <c r="X46" s="29">
        <f t="shared" si="11"/>
        <v>-229677.9506958834</v>
      </c>
      <c r="Y46" s="29">
        <f t="shared" si="11"/>
        <v>0</v>
      </c>
      <c r="Z46" s="29">
        <f t="shared" si="11"/>
        <v>0</v>
      </c>
      <c r="AA46" s="29">
        <f t="shared" si="11"/>
        <v>0</v>
      </c>
      <c r="AB46" s="29">
        <f t="shared" si="11"/>
        <v>0</v>
      </c>
      <c r="AC46" s="29">
        <f t="shared" si="11"/>
        <v>0</v>
      </c>
      <c r="AD46" s="29">
        <f t="shared" si="11"/>
        <v>0</v>
      </c>
      <c r="AE46" s="29">
        <f t="shared" si="11"/>
        <v>0</v>
      </c>
      <c r="AF46" s="29">
        <f t="shared" si="11"/>
        <v>0</v>
      </c>
      <c r="AG46" s="29">
        <f t="shared" si="11"/>
        <v>0</v>
      </c>
      <c r="AH46" s="29">
        <f t="shared" si="11"/>
        <v>0</v>
      </c>
      <c r="AI46" s="29">
        <f t="shared" si="11"/>
        <v>0</v>
      </c>
      <c r="AJ46" s="29">
        <f t="shared" si="11"/>
        <v>0</v>
      </c>
    </row>
    <row r="47" spans="2:36" s="1" customFormat="1" x14ac:dyDescent="0.2">
      <c r="B47" s="1" t="s">
        <v>210</v>
      </c>
      <c r="E47" s="54"/>
      <c r="G47" s="29">
        <f>-G200</f>
        <v>-57444.444444444445</v>
      </c>
      <c r="H47" s="29">
        <f t="shared" ref="H47:AJ47" si="12">-H200</f>
        <v>-57444.444444444445</v>
      </c>
      <c r="I47" s="29">
        <f t="shared" si="12"/>
        <v>-57444.444444444445</v>
      </c>
      <c r="J47" s="29">
        <f t="shared" si="12"/>
        <v>-57444.444444444445</v>
      </c>
      <c r="K47" s="29">
        <f t="shared" si="12"/>
        <v>-57444.444444444445</v>
      </c>
      <c r="L47" s="29">
        <f t="shared" si="12"/>
        <v>-57444.444444444445</v>
      </c>
      <c r="M47" s="29">
        <f t="shared" si="12"/>
        <v>-57444.444444444445</v>
      </c>
      <c r="N47" s="29">
        <f t="shared" si="12"/>
        <v>-57444.444444444445</v>
      </c>
      <c r="O47" s="29">
        <f t="shared" si="12"/>
        <v>-57444.444444444445</v>
      </c>
      <c r="P47" s="29">
        <f t="shared" si="12"/>
        <v>517000</v>
      </c>
      <c r="Q47" s="29">
        <f t="shared" si="12"/>
        <v>-59888.888888888891</v>
      </c>
      <c r="R47" s="29">
        <f t="shared" si="12"/>
        <v>-59888.888888888891</v>
      </c>
      <c r="S47" s="29">
        <f t="shared" si="12"/>
        <v>-59888.888888888891</v>
      </c>
      <c r="T47" s="29">
        <f t="shared" si="12"/>
        <v>-59888.888888888891</v>
      </c>
      <c r="U47" s="29">
        <f t="shared" si="12"/>
        <v>-59888.888888888891</v>
      </c>
      <c r="V47" s="29">
        <f t="shared" si="12"/>
        <v>-59888.888888888891</v>
      </c>
      <c r="W47" s="29">
        <f t="shared" si="12"/>
        <v>-59888.888888888891</v>
      </c>
      <c r="X47" s="29">
        <f t="shared" si="12"/>
        <v>-59888.888888888891</v>
      </c>
      <c r="Y47" s="29">
        <f t="shared" si="12"/>
        <v>62988.814733408726</v>
      </c>
      <c r="Z47" s="29">
        <f t="shared" si="12"/>
        <v>539000</v>
      </c>
      <c r="AA47" s="29">
        <f t="shared" si="12"/>
        <v>0</v>
      </c>
      <c r="AB47" s="29">
        <f t="shared" si="12"/>
        <v>0</v>
      </c>
      <c r="AC47" s="29">
        <f t="shared" si="12"/>
        <v>0</v>
      </c>
      <c r="AD47" s="29">
        <f t="shared" si="12"/>
        <v>0</v>
      </c>
      <c r="AE47" s="29">
        <f t="shared" si="12"/>
        <v>80732.066600681384</v>
      </c>
      <c r="AF47" s="29">
        <f t="shared" si="12"/>
        <v>0</v>
      </c>
      <c r="AG47" s="29">
        <f t="shared" si="12"/>
        <v>0</v>
      </c>
      <c r="AH47" s="29">
        <f t="shared" si="12"/>
        <v>0</v>
      </c>
      <c r="AI47" s="29">
        <f t="shared" si="12"/>
        <v>0</v>
      </c>
      <c r="AJ47" s="29">
        <f t="shared" si="12"/>
        <v>0</v>
      </c>
    </row>
    <row r="48" spans="2:36" s="1" customFormat="1" x14ac:dyDescent="0.2">
      <c r="B48" s="27" t="s">
        <v>211</v>
      </c>
      <c r="C48" s="27"/>
      <c r="D48" s="27"/>
      <c r="E48" s="57"/>
      <c r="F48" s="27"/>
      <c r="G48" s="30">
        <f>MIN(G195,0)</f>
        <v>0</v>
      </c>
      <c r="H48" s="30">
        <f t="shared" ref="H48:AJ48" si="13">MIN(H195,0)</f>
        <v>0</v>
      </c>
      <c r="I48" s="30">
        <f t="shared" si="13"/>
        <v>0</v>
      </c>
      <c r="J48" s="30">
        <f t="shared" si="13"/>
        <v>0</v>
      </c>
      <c r="K48" s="30">
        <f t="shared" si="13"/>
        <v>0</v>
      </c>
      <c r="L48" s="30">
        <f t="shared" si="13"/>
        <v>0</v>
      </c>
      <c r="M48" s="30">
        <f t="shared" si="13"/>
        <v>0</v>
      </c>
      <c r="N48" s="30">
        <f t="shared" si="13"/>
        <v>0</v>
      </c>
      <c r="O48" s="30">
        <f t="shared" si="13"/>
        <v>0</v>
      </c>
      <c r="P48" s="30">
        <f t="shared" si="13"/>
        <v>-517000</v>
      </c>
      <c r="Q48" s="30">
        <f t="shared" si="13"/>
        <v>0</v>
      </c>
      <c r="R48" s="30">
        <f t="shared" si="13"/>
        <v>0</v>
      </c>
      <c r="S48" s="30">
        <f t="shared" si="13"/>
        <v>0</v>
      </c>
      <c r="T48" s="30">
        <f t="shared" si="13"/>
        <v>0</v>
      </c>
      <c r="U48" s="30">
        <f t="shared" si="13"/>
        <v>0</v>
      </c>
      <c r="V48" s="30">
        <f t="shared" si="13"/>
        <v>0</v>
      </c>
      <c r="W48" s="30">
        <f t="shared" si="13"/>
        <v>0</v>
      </c>
      <c r="X48" s="30">
        <f t="shared" si="13"/>
        <v>0</v>
      </c>
      <c r="Y48" s="30">
        <f t="shared" si="13"/>
        <v>0</v>
      </c>
      <c r="Z48" s="30">
        <f t="shared" si="13"/>
        <v>-539000</v>
      </c>
      <c r="AA48" s="30">
        <f t="shared" si="13"/>
        <v>0</v>
      </c>
      <c r="AB48" s="30">
        <f t="shared" si="13"/>
        <v>0</v>
      </c>
      <c r="AC48" s="30">
        <f t="shared" si="13"/>
        <v>0</v>
      </c>
      <c r="AD48" s="30">
        <f t="shared" si="13"/>
        <v>0</v>
      </c>
      <c r="AE48" s="30">
        <f t="shared" si="13"/>
        <v>0</v>
      </c>
      <c r="AF48" s="30">
        <f t="shared" si="13"/>
        <v>0</v>
      </c>
      <c r="AG48" s="30">
        <f t="shared" si="13"/>
        <v>0</v>
      </c>
      <c r="AH48" s="30">
        <f t="shared" si="13"/>
        <v>0</v>
      </c>
      <c r="AI48" s="30">
        <f t="shared" si="13"/>
        <v>0</v>
      </c>
      <c r="AJ48" s="30">
        <f t="shared" si="13"/>
        <v>0</v>
      </c>
    </row>
    <row r="49" spans="2:36" s="1" customFormat="1" ht="15.75" x14ac:dyDescent="0.25">
      <c r="B49" s="34" t="s">
        <v>77</v>
      </c>
      <c r="C49" s="34"/>
      <c r="D49" s="34"/>
      <c r="E49" s="289"/>
      <c r="F49" s="289"/>
      <c r="G49" s="31">
        <f>G44+SUM(G46:G48)</f>
        <v>497097.64076878986</v>
      </c>
      <c r="H49" s="31">
        <f t="shared" ref="H49:AJ49" si="14">H44+SUM(H46:H48)</f>
        <v>515745.26150878391</v>
      </c>
      <c r="I49" s="31">
        <f t="shared" si="14"/>
        <v>534077.48286824755</v>
      </c>
      <c r="J49" s="31">
        <f t="shared" si="14"/>
        <v>552147.02923186473</v>
      </c>
      <c r="K49" s="31">
        <f t="shared" si="14"/>
        <v>570001.66515818122</v>
      </c>
      <c r="L49" s="31">
        <f t="shared" si="14"/>
        <v>587684.69597147254</v>
      </c>
      <c r="M49" s="31">
        <f t="shared" si="14"/>
        <v>605235.41836232599</v>
      </c>
      <c r="N49" s="31">
        <f t="shared" si="14"/>
        <v>622689.52599706047</v>
      </c>
      <c r="O49" s="31">
        <f t="shared" si="14"/>
        <v>640079.4746361163</v>
      </c>
      <c r="P49" s="31">
        <f t="shared" si="14"/>
        <v>709134.81081154628</v>
      </c>
      <c r="Q49" s="31">
        <f t="shared" si="14"/>
        <v>660873.57881985209</v>
      </c>
      <c r="R49" s="31">
        <f t="shared" si="14"/>
        <v>678287.03153302544</v>
      </c>
      <c r="S49" s="31">
        <f t="shared" si="14"/>
        <v>695739.870202602</v>
      </c>
      <c r="T49" s="31">
        <f t="shared" si="14"/>
        <v>713252.68258074252</v>
      </c>
      <c r="U49" s="31">
        <f t="shared" si="14"/>
        <v>730844.35952774214</v>
      </c>
      <c r="V49" s="31">
        <f t="shared" si="14"/>
        <v>748532.27003622823</v>
      </c>
      <c r="W49" s="31">
        <f t="shared" si="14"/>
        <v>766332.41883151396</v>
      </c>
      <c r="X49" s="31">
        <f t="shared" si="14"/>
        <v>784259.5882916539</v>
      </c>
      <c r="Y49" s="31">
        <f t="shared" si="14"/>
        <v>1169731.8000870666</v>
      </c>
      <c r="Z49" s="31">
        <f t="shared" si="14"/>
        <v>1117746.6143094937</v>
      </c>
      <c r="AA49" s="31">
        <f t="shared" si="14"/>
        <v>142247.55356850429</v>
      </c>
      <c r="AB49" s="31">
        <f t="shared" si="14"/>
        <v>147643.89953836863</v>
      </c>
      <c r="AC49" s="31">
        <f t="shared" si="14"/>
        <v>153116.70271143911</v>
      </c>
      <c r="AD49" s="31">
        <f t="shared" si="14"/>
        <v>158675.74417365508</v>
      </c>
      <c r="AE49" s="31">
        <f t="shared" si="14"/>
        <v>244255.03972693131</v>
      </c>
      <c r="AF49" s="31">
        <f t="shared" si="14"/>
        <v>1.4551915228366852E-13</v>
      </c>
      <c r="AG49" s="31">
        <f t="shared" si="14"/>
        <v>0</v>
      </c>
      <c r="AH49" s="31">
        <f t="shared" si="14"/>
        <v>0</v>
      </c>
      <c r="AI49" s="31">
        <f t="shared" si="14"/>
        <v>0</v>
      </c>
      <c r="AJ49" s="31">
        <f t="shared" si="14"/>
        <v>0</v>
      </c>
    </row>
    <row r="50" spans="2:36" s="1" customFormat="1" ht="15.75" x14ac:dyDescent="0.25">
      <c r="B50" s="24"/>
      <c r="C50" s="24"/>
      <c r="D50" s="24"/>
      <c r="G50" s="29"/>
    </row>
    <row r="51" spans="2:36" s="1" customFormat="1" ht="15.75" x14ac:dyDescent="0.25">
      <c r="B51" s="15" t="s">
        <v>78</v>
      </c>
      <c r="C51" s="15"/>
      <c r="D51" s="15"/>
      <c r="F51" s="62"/>
      <c r="G51" s="29"/>
    </row>
    <row r="52" spans="2:36" s="1" customFormat="1" x14ac:dyDescent="0.2">
      <c r="B52" s="1" t="s">
        <v>286</v>
      </c>
      <c r="F52" s="29">
        <f>-(Inputs!$G$26-Inputs!G69-$F$82)</f>
        <v>-3368034.7702229787</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row>
    <row r="53" spans="2:36" s="1" customFormat="1" x14ac:dyDescent="0.2">
      <c r="B53" s="27" t="s">
        <v>77</v>
      </c>
      <c r="C53" s="27"/>
      <c r="D53" s="27"/>
      <c r="E53" s="27"/>
      <c r="F53" s="27"/>
      <c r="G53" s="30">
        <f>G49</f>
        <v>497097.64076878986</v>
      </c>
      <c r="H53" s="30">
        <f t="shared" ref="H53:AJ53" si="15">H49</f>
        <v>515745.26150878391</v>
      </c>
      <c r="I53" s="30">
        <f t="shared" si="15"/>
        <v>534077.48286824755</v>
      </c>
      <c r="J53" s="30">
        <f t="shared" si="15"/>
        <v>552147.02923186473</v>
      </c>
      <c r="K53" s="30">
        <f t="shared" si="15"/>
        <v>570001.66515818122</v>
      </c>
      <c r="L53" s="30">
        <f t="shared" si="15"/>
        <v>587684.69597147254</v>
      </c>
      <c r="M53" s="30">
        <f t="shared" si="15"/>
        <v>605235.41836232599</v>
      </c>
      <c r="N53" s="30">
        <f t="shared" si="15"/>
        <v>622689.52599706047</v>
      </c>
      <c r="O53" s="30">
        <f t="shared" si="15"/>
        <v>640079.4746361163</v>
      </c>
      <c r="P53" s="30">
        <f t="shared" si="15"/>
        <v>709134.81081154628</v>
      </c>
      <c r="Q53" s="30">
        <f t="shared" si="15"/>
        <v>660873.57881985209</v>
      </c>
      <c r="R53" s="30">
        <f t="shared" si="15"/>
        <v>678287.03153302544</v>
      </c>
      <c r="S53" s="30">
        <f t="shared" si="15"/>
        <v>695739.870202602</v>
      </c>
      <c r="T53" s="30">
        <f t="shared" si="15"/>
        <v>713252.68258074252</v>
      </c>
      <c r="U53" s="30">
        <f t="shared" si="15"/>
        <v>730844.35952774214</v>
      </c>
      <c r="V53" s="30">
        <f t="shared" si="15"/>
        <v>748532.27003622823</v>
      </c>
      <c r="W53" s="30">
        <f t="shared" si="15"/>
        <v>766332.41883151396</v>
      </c>
      <c r="X53" s="30">
        <f t="shared" si="15"/>
        <v>784259.5882916539</v>
      </c>
      <c r="Y53" s="30">
        <f t="shared" si="15"/>
        <v>1169731.8000870666</v>
      </c>
      <c r="Z53" s="30">
        <f t="shared" si="15"/>
        <v>1117746.6143094937</v>
      </c>
      <c r="AA53" s="30">
        <f t="shared" si="15"/>
        <v>142247.55356850429</v>
      </c>
      <c r="AB53" s="30">
        <f t="shared" si="15"/>
        <v>147643.89953836863</v>
      </c>
      <c r="AC53" s="30">
        <f t="shared" si="15"/>
        <v>153116.70271143911</v>
      </c>
      <c r="AD53" s="30">
        <f t="shared" si="15"/>
        <v>158675.74417365508</v>
      </c>
      <c r="AE53" s="30">
        <f t="shared" si="15"/>
        <v>244255.03972693131</v>
      </c>
      <c r="AF53" s="30">
        <f t="shared" si="15"/>
        <v>1.4551915228366852E-13</v>
      </c>
      <c r="AG53" s="30">
        <f t="shared" si="15"/>
        <v>0</v>
      </c>
      <c r="AH53" s="30">
        <f t="shared" si="15"/>
        <v>0</v>
      </c>
      <c r="AI53" s="30">
        <f t="shared" si="15"/>
        <v>0</v>
      </c>
      <c r="AJ53" s="30">
        <f t="shared" si="15"/>
        <v>0</v>
      </c>
    </row>
    <row r="54" spans="2:36" s="1" customFormat="1" ht="15.75" x14ac:dyDescent="0.25">
      <c r="B54" s="34" t="s">
        <v>130</v>
      </c>
      <c r="C54" s="34"/>
      <c r="D54" s="34"/>
      <c r="E54" s="348"/>
      <c r="F54" s="29">
        <f t="shared" ref="F54:AJ54" si="16">SUM(F52:F53)</f>
        <v>-3368034.7702229787</v>
      </c>
      <c r="G54" s="29">
        <f t="shared" si="16"/>
        <v>497097.64076878986</v>
      </c>
      <c r="H54" s="29">
        <f t="shared" si="16"/>
        <v>515745.26150878391</v>
      </c>
      <c r="I54" s="29">
        <f t="shared" si="16"/>
        <v>534077.48286824755</v>
      </c>
      <c r="J54" s="29">
        <f t="shared" si="16"/>
        <v>552147.02923186473</v>
      </c>
      <c r="K54" s="29">
        <f t="shared" si="16"/>
        <v>570001.66515818122</v>
      </c>
      <c r="L54" s="29">
        <f t="shared" si="16"/>
        <v>587684.69597147254</v>
      </c>
      <c r="M54" s="29">
        <f t="shared" si="16"/>
        <v>605235.41836232599</v>
      </c>
      <c r="N54" s="29">
        <f t="shared" si="16"/>
        <v>622689.52599706047</v>
      </c>
      <c r="O54" s="29">
        <f t="shared" si="16"/>
        <v>640079.4746361163</v>
      </c>
      <c r="P54" s="29">
        <f t="shared" si="16"/>
        <v>709134.81081154628</v>
      </c>
      <c r="Q54" s="29">
        <f t="shared" si="16"/>
        <v>660873.57881985209</v>
      </c>
      <c r="R54" s="29">
        <f t="shared" si="16"/>
        <v>678287.03153302544</v>
      </c>
      <c r="S54" s="29">
        <f t="shared" si="16"/>
        <v>695739.870202602</v>
      </c>
      <c r="T54" s="29">
        <f t="shared" si="16"/>
        <v>713252.68258074252</v>
      </c>
      <c r="U54" s="29">
        <f t="shared" si="16"/>
        <v>730844.35952774214</v>
      </c>
      <c r="V54" s="29">
        <f t="shared" si="16"/>
        <v>748532.27003622823</v>
      </c>
      <c r="W54" s="29">
        <f t="shared" si="16"/>
        <v>766332.41883151396</v>
      </c>
      <c r="X54" s="29">
        <f t="shared" si="16"/>
        <v>784259.5882916539</v>
      </c>
      <c r="Y54" s="29">
        <f t="shared" si="16"/>
        <v>1169731.8000870666</v>
      </c>
      <c r="Z54" s="29">
        <f t="shared" si="16"/>
        <v>1117746.6143094937</v>
      </c>
      <c r="AA54" s="29">
        <f t="shared" si="16"/>
        <v>142247.55356850429</v>
      </c>
      <c r="AB54" s="29">
        <f t="shared" si="16"/>
        <v>147643.89953836863</v>
      </c>
      <c r="AC54" s="29">
        <f t="shared" si="16"/>
        <v>153116.70271143911</v>
      </c>
      <c r="AD54" s="29">
        <f t="shared" si="16"/>
        <v>158675.74417365508</v>
      </c>
      <c r="AE54" s="29">
        <f t="shared" si="16"/>
        <v>244255.03972693131</v>
      </c>
      <c r="AF54" s="29">
        <f t="shared" si="16"/>
        <v>1.4551915228366852E-13</v>
      </c>
      <c r="AG54" s="29">
        <f t="shared" si="16"/>
        <v>0</v>
      </c>
      <c r="AH54" s="29">
        <f t="shared" si="16"/>
        <v>0</v>
      </c>
      <c r="AI54" s="29">
        <f t="shared" si="16"/>
        <v>0</v>
      </c>
      <c r="AJ54" s="29">
        <f t="shared" si="16"/>
        <v>0</v>
      </c>
    </row>
    <row r="55" spans="2:36" s="1" customFormat="1" x14ac:dyDescent="0.2">
      <c r="B55" s="35" t="s">
        <v>79</v>
      </c>
      <c r="C55" s="35"/>
      <c r="D55" s="35"/>
      <c r="E55" s="29"/>
      <c r="F55" s="60"/>
      <c r="G55" s="331">
        <f>IF(ISERROR(IRR($F54:G54)),"NA",IRR($F54:G54))</f>
        <v>-0.85240721231156413</v>
      </c>
      <c r="H55" s="331">
        <f>IF(ISERROR(IRR($F54:H54)),"NA",IRR($F54:H54))</f>
        <v>-0.5279884095981846</v>
      </c>
      <c r="I55" s="331">
        <f>IF(ISERROR(IRR($F54:I54)),"NA",IRR($F54:I54))</f>
        <v>-0.30446326341571517</v>
      </c>
      <c r="J55" s="331">
        <f>IF(ISERROR(IRR($F54:J54)),"NA",IRR($F54:J54))</f>
        <v>-0.16319244643850062</v>
      </c>
      <c r="K55" s="331">
        <f>IF(ISERROR(IRR($F54:K54)),"NA",IRR($F54:K54))</f>
        <v>-7.1358595184337292E-2</v>
      </c>
      <c r="L55" s="331">
        <f>IF(ISERROR(IRR($F54:L54)),"NA",IRR($F54:L54))</f>
        <v>-9.2618038208092113E-3</v>
      </c>
      <c r="M55" s="331">
        <f>IF(ISERROR(IRR($F54:M54)),"NA",IRR($F54:M54))</f>
        <v>3.4252682320411676E-2</v>
      </c>
      <c r="N55" s="331">
        <f>IF(ISERROR(IRR($F54:N54)),"NA",IRR($F54:N54))</f>
        <v>6.567607334303549E-2</v>
      </c>
      <c r="O55" s="331">
        <f>IF(ISERROR(IRR($F54:O54)),"NA",IRR($F54:O54))</f>
        <v>8.8941886551678007E-2</v>
      </c>
      <c r="P55" s="331">
        <f>IF(ISERROR(IRR($F54:P54)),"NA",IRR($F54:P54))</f>
        <v>0.10777377062035098</v>
      </c>
      <c r="Q55" s="331">
        <f>IF(ISERROR(IRR($F54:Q54)),"NA",IRR($F54:Q54))</f>
        <v>0.12086651524079239</v>
      </c>
      <c r="R55" s="331">
        <f>IF(ISERROR(IRR($F54:R54)),"NA",IRR($F54:R54))</f>
        <v>0.13113772494784137</v>
      </c>
      <c r="S55" s="331">
        <f>IF(ISERROR(IRR($F54:S54)),"NA",IRR($F54:S54))</f>
        <v>0.13928727085635373</v>
      </c>
      <c r="T55" s="331">
        <f>IF(ISERROR(IRR($F54:T54)),"NA",IRR($F54:T54))</f>
        <v>0.14581805871996956</v>
      </c>
      <c r="U55" s="331">
        <f>IF(ISERROR(IRR($F54:U54)),"NA",IRR($F54:U54))</f>
        <v>0.15109746059908336</v>
      </c>
      <c r="V55" s="331">
        <f>IF(ISERROR(IRR($F54:V54)),"NA",IRR($F54:V54))</f>
        <v>0.15539803281116193</v>
      </c>
      <c r="W55" s="331">
        <f>IF(ISERROR(IRR($F54:W54)),"NA",IRR($F54:W54))</f>
        <v>0.15892489197808479</v>
      </c>
      <c r="X55" s="331">
        <f>IF(ISERROR(IRR($F54:X54)),"NA",IRR($F54:X54))</f>
        <v>0.16183442156942163</v>
      </c>
      <c r="Y55" s="331">
        <f>IF(ISERROR(IRR($F54:Y54)),"NA",IRR($F54:Y54))</f>
        <v>0.16530860210171028</v>
      </c>
      <c r="Z55" s="331">
        <f>IF(ISERROR(IRR($F54:Z54)),"NA",IRR($F54:Z54))</f>
        <v>0.16795754215994441</v>
      </c>
      <c r="AA55" s="331">
        <f>IF(ISERROR(IRR($F54:AA54)),"NA",IRR($F54:AA54))</f>
        <v>0.1682360017179747</v>
      </c>
      <c r="AB55" s="331">
        <f>IF(ISERROR(IRR($F54:AB54)),"NA",IRR($F54:AB54))</f>
        <v>0.16848166972531242</v>
      </c>
      <c r="AC55" s="331">
        <f>IF(ISERROR(IRR($F54:AC54)),"NA",IRR($F54:AC54))</f>
        <v>0.16869827711035335</v>
      </c>
      <c r="AD55" s="331">
        <f>IF(ISERROR(IRR($F54:AD54)),"NA",IRR($F54:AD54))</f>
        <v>0.16888917006484538</v>
      </c>
      <c r="AE55" s="331">
        <f>IF(ISERROR(IRR($F54:AE54)),"NA",IRR($F54:AE54))</f>
        <v>0.16913879556974543</v>
      </c>
      <c r="AF55" s="331">
        <f>IF(ISERROR(IRR($F54:AF54)),"NA",IRR($F54:AF54))</f>
        <v>0.16913879556974543</v>
      </c>
      <c r="AG55" s="331">
        <f>IF(ISERROR(IRR($F54:AG54)),"NA",IRR($F54:AG54))</f>
        <v>0.16913879556974543</v>
      </c>
      <c r="AH55" s="331">
        <f>IF(ISERROR(IRR($F54:AH54)),"NA",IRR($F54:AH54))</f>
        <v>0.16913879556974543</v>
      </c>
      <c r="AI55" s="331">
        <f>IF(ISERROR(IRR($F54:AI54)),"NA",IRR($F54:AI54))</f>
        <v>0.16913879556974543</v>
      </c>
      <c r="AJ55" s="331">
        <f>IF(ISERROR(IRR($F54:AJ54)),"NA",IRR($F54:AJ54))</f>
        <v>0.16913879556974543</v>
      </c>
    </row>
    <row r="56" spans="2:36" s="1" customFormat="1" x14ac:dyDescent="0.2">
      <c r="B56" s="35"/>
      <c r="C56" s="35"/>
      <c r="D56" s="35"/>
      <c r="E56" s="29"/>
      <c r="F56" s="60"/>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row>
    <row r="57" spans="2:36" s="1" customFormat="1" x14ac:dyDescent="0.2">
      <c r="B57" s="340" t="s">
        <v>161</v>
      </c>
      <c r="C57" s="340"/>
      <c r="D57" s="340"/>
      <c r="E57" s="27"/>
      <c r="F57" s="296"/>
      <c r="G57" s="30">
        <f t="shared" ref="G57:AJ57" si="17">-G136</f>
        <v>-3329578.6961753829</v>
      </c>
      <c r="H57" s="30">
        <f t="shared" si="17"/>
        <v>-662450.12212778721</v>
      </c>
      <c r="I57" s="30">
        <f t="shared" si="17"/>
        <v>-421805.12212778721</v>
      </c>
      <c r="J57" s="30">
        <f t="shared" si="17"/>
        <v>-276662.12212778721</v>
      </c>
      <c r="K57" s="30">
        <f t="shared" si="17"/>
        <v>-274583.12212778721</v>
      </c>
      <c r="L57" s="30">
        <f t="shared" si="17"/>
        <v>-165557.12212778724</v>
      </c>
      <c r="M57" s="30">
        <f t="shared" si="17"/>
        <v>-57530.122127787239</v>
      </c>
      <c r="N57" s="30">
        <f t="shared" si="17"/>
        <v>-57530.122127787239</v>
      </c>
      <c r="O57" s="30">
        <f t="shared" si="17"/>
        <v>-57557.122127787239</v>
      </c>
      <c r="P57" s="30">
        <f t="shared" si="17"/>
        <v>-160930.12212778724</v>
      </c>
      <c r="Q57" s="30">
        <f t="shared" si="17"/>
        <v>-222997.12212778724</v>
      </c>
      <c r="R57" s="30">
        <f t="shared" si="17"/>
        <v>-156741.62212778724</v>
      </c>
      <c r="S57" s="30">
        <f t="shared" si="17"/>
        <v>-117063.02212778723</v>
      </c>
      <c r="T57" s="30">
        <f t="shared" si="17"/>
        <v>-117036.02212778723</v>
      </c>
      <c r="U57" s="30">
        <f t="shared" si="17"/>
        <v>-87283.822127787236</v>
      </c>
      <c r="V57" s="30">
        <f t="shared" si="17"/>
        <v>-32030.122127787239</v>
      </c>
      <c r="W57" s="30">
        <f t="shared" si="17"/>
        <v>-6582.6221277872382</v>
      </c>
      <c r="X57" s="30">
        <f t="shared" si="17"/>
        <v>-6582.6221277872382</v>
      </c>
      <c r="Y57" s="30">
        <f t="shared" si="17"/>
        <v>-6582.6221277872382</v>
      </c>
      <c r="Z57" s="30">
        <f t="shared" si="17"/>
        <v>-114382.62212778724</v>
      </c>
      <c r="AA57" s="30">
        <f t="shared" si="17"/>
        <v>-175771.31106389361</v>
      </c>
      <c r="AB57" s="30">
        <f t="shared" si="17"/>
        <v>-103488</v>
      </c>
      <c r="AC57" s="30">
        <f t="shared" si="17"/>
        <v>-62092.799999999996</v>
      </c>
      <c r="AD57" s="30">
        <f t="shared" si="17"/>
        <v>-62092.799999999996</v>
      </c>
      <c r="AE57" s="30">
        <f t="shared" si="17"/>
        <v>-31046.399999999998</v>
      </c>
      <c r="AF57" s="30">
        <f t="shared" si="17"/>
        <v>0</v>
      </c>
      <c r="AG57" s="30">
        <f t="shared" si="17"/>
        <v>0</v>
      </c>
      <c r="AH57" s="30">
        <f t="shared" si="17"/>
        <v>0</v>
      </c>
      <c r="AI57" s="30">
        <f t="shared" si="17"/>
        <v>0</v>
      </c>
      <c r="AJ57" s="30">
        <f t="shared" si="17"/>
        <v>0</v>
      </c>
    </row>
    <row r="58" spans="2:36" s="1" customFormat="1" ht="15.75" x14ac:dyDescent="0.25">
      <c r="B58" s="24" t="s">
        <v>307</v>
      </c>
      <c r="C58" s="24"/>
      <c r="D58" s="24"/>
      <c r="F58" s="61"/>
      <c r="G58" s="29">
        <f>IF(Inputs!$G$73="No",0,(G$44+G$57))</f>
        <v>-2702326.4537175535</v>
      </c>
      <c r="H58" s="29">
        <f>IF(Inputs!$G$73="No",0,(H$44+H$57))</f>
        <v>-11460.547922841972</v>
      </c>
      <c r="I58" s="29">
        <f>IF(Inputs!$G$73="No",0,(I$44+I$57))</f>
        <v>252962.6642142419</v>
      </c>
      <c r="J58" s="29">
        <f>IF(Inputs!$G$73="No",0,(J$44+J$57))</f>
        <v>422002.42070991267</v>
      </c>
      <c r="K58" s="29">
        <f>IF(Inputs!$G$73="No",0,(K$44+K$57))</f>
        <v>448171.17147752654</v>
      </c>
      <c r="L58" s="29">
        <f>IF(Inputs!$G$73="No",0,(L$44+L$57))</f>
        <v>581551.77517100598</v>
      </c>
      <c r="M58" s="29">
        <f>IF(Inputs!$G$73="No",0,(M$44+M$57))</f>
        <v>714268.08054366079</v>
      </c>
      <c r="N58" s="29">
        <f>IF(Inputs!$G$73="No",0,(N$44+N$57))</f>
        <v>739360.47196892265</v>
      </c>
      <c r="O58" s="29">
        <f>IF(Inputs!$G$73="No",0,(O$44+O$57))</f>
        <v>764896.38426384283</v>
      </c>
      <c r="P58" s="29">
        <f>IF(Inputs!$G$73="No",0,(P$44+P$57))</f>
        <v>681879.34710660321</v>
      </c>
      <c r="Q58" s="29">
        <f>IF(Inputs!$G$73="No",0,(Q$44+Q$57))</f>
        <v>640797.23009339697</v>
      </c>
      <c r="R58" s="29">
        <f>IF(Inputs!$G$73="No",0,(R$44+R$57))</f>
        <v>734478.41472244135</v>
      </c>
      <c r="S58" s="29">
        <f>IF(Inputs!$G$73="No",0,(S$44+S$57))</f>
        <v>802322.94154199993</v>
      </c>
      <c r="T58" s="29">
        <f>IF(Inputs!$G$73="No",0,(T$44+T$57))</f>
        <v>831325.75824062119</v>
      </c>
      <c r="U58" s="29">
        <f>IF(Inputs!$G$73="No",0,(U$44+U$57))</f>
        <v>890935.04981053516</v>
      </c>
      <c r="V58" s="29">
        <f>IF(Inputs!$G$73="No",0,(V$44+V$57))</f>
        <v>977000.65396553976</v>
      </c>
      <c r="W58" s="29">
        <f>IF(Inputs!$G$73="No",0,(W$44+W$57))</f>
        <v>1034290.9759626002</v>
      </c>
      <c r="X58" s="29">
        <f>IF(Inputs!$G$73="No",0,(X$44+X$57))</f>
        <v>1067243.8057486389</v>
      </c>
      <c r="Y58" s="29">
        <f>IF(Inputs!$G$73="No",0,(Y$44+Y$57))</f>
        <v>1100160.3632258708</v>
      </c>
      <c r="Z58" s="29">
        <f>IF(Inputs!$G$73="No",0,(Z$44+Z$57))</f>
        <v>1003363.9921817065</v>
      </c>
      <c r="AA58" s="29">
        <f>IF(Inputs!$G$73="No",0,(AA$44+AA$57))</f>
        <v>-33523.75749538932</v>
      </c>
      <c r="AB58" s="29">
        <f>IF(Inputs!$G$73="No",0,(AB$44+AB$57))</f>
        <v>44155.899538368627</v>
      </c>
      <c r="AC58" s="29">
        <f>IF(Inputs!$G$73="No",0,(AC$44+AC$57))</f>
        <v>91023.902711439121</v>
      </c>
      <c r="AD58" s="29">
        <f>IF(Inputs!$G$73="No",0,(AD$44+AD$57))</f>
        <v>96582.944173655094</v>
      </c>
      <c r="AE58" s="29">
        <f>IF(Inputs!$G$73="No",0,(AE$44+AE$57))</f>
        <v>132476.57312624992</v>
      </c>
      <c r="AF58" s="29">
        <f>IF(Inputs!$G$73="No",0,(AF$44+AF$57))</f>
        <v>1.4551915228366852E-13</v>
      </c>
      <c r="AG58" s="29">
        <f>IF(Inputs!$G$73="No",0,(AG$44+AG$57))</f>
        <v>0</v>
      </c>
      <c r="AH58" s="29">
        <f>IF(Inputs!$G$73="No",0,(AH$44+AH$57))</f>
        <v>0</v>
      </c>
      <c r="AI58" s="29">
        <f>IF(Inputs!$G$73="No",0,(AI$44+AI$57))</f>
        <v>0</v>
      </c>
      <c r="AJ58" s="29">
        <f>IF(Inputs!$G$73="No",0,(AJ$44+AJ$57))</f>
        <v>0</v>
      </c>
    </row>
    <row r="59" spans="2:36" s="1" customFormat="1" ht="15.75" x14ac:dyDescent="0.25">
      <c r="B59" s="34"/>
      <c r="C59" s="34"/>
      <c r="D59" s="34"/>
      <c r="F59" s="61"/>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row>
    <row r="60" spans="2:36" s="1" customFormat="1" ht="15.75" x14ac:dyDescent="0.25">
      <c r="B60" s="24" t="s">
        <v>369</v>
      </c>
      <c r="C60" s="24"/>
      <c r="D60" s="24"/>
      <c r="E60" s="215" t="s">
        <v>368</v>
      </c>
      <c r="F60" s="297" t="str">
        <f>Inputs!G75</f>
        <v>Carried Forward</v>
      </c>
      <c r="G60" s="29">
        <f t="shared" ref="G60:AJ60" si="18">IF($F$60="as generated",G$58,G$151)</f>
        <v>0</v>
      </c>
      <c r="H60" s="29">
        <f t="shared" si="18"/>
        <v>0</v>
      </c>
      <c r="I60" s="29">
        <f t="shared" si="18"/>
        <v>0</v>
      </c>
      <c r="J60" s="29">
        <f t="shared" si="18"/>
        <v>0</v>
      </c>
      <c r="K60" s="29">
        <f t="shared" si="18"/>
        <v>0</v>
      </c>
      <c r="L60" s="29">
        <f t="shared" si="18"/>
        <v>0</v>
      </c>
      <c r="M60" s="29">
        <f t="shared" si="18"/>
        <v>0</v>
      </c>
      <c r="N60" s="29">
        <f t="shared" si="18"/>
        <v>444529.58244487504</v>
      </c>
      <c r="O60" s="29">
        <f t="shared" si="18"/>
        <v>764896.38426384283</v>
      </c>
      <c r="P60" s="29">
        <f t="shared" si="18"/>
        <v>681879.34710660321</v>
      </c>
      <c r="Q60" s="29">
        <f t="shared" si="18"/>
        <v>640797.23009339697</v>
      </c>
      <c r="R60" s="29">
        <f t="shared" si="18"/>
        <v>734478.41472244135</v>
      </c>
      <c r="S60" s="29">
        <f t="shared" si="18"/>
        <v>802322.94154199993</v>
      </c>
      <c r="T60" s="29">
        <f t="shared" si="18"/>
        <v>831325.75824062119</v>
      </c>
      <c r="U60" s="29">
        <f t="shared" si="18"/>
        <v>890935.04981053516</v>
      </c>
      <c r="V60" s="29">
        <f t="shared" si="18"/>
        <v>977000.65396553976</v>
      </c>
      <c r="W60" s="29">
        <f t="shared" si="18"/>
        <v>1034290.9759626002</v>
      </c>
      <c r="X60" s="29">
        <f t="shared" si="18"/>
        <v>1067243.8057486389</v>
      </c>
      <c r="Y60" s="29">
        <f t="shared" si="18"/>
        <v>1100160.3632258708</v>
      </c>
      <c r="Z60" s="29">
        <f t="shared" si="18"/>
        <v>1003363.9921817065</v>
      </c>
      <c r="AA60" s="29">
        <f t="shared" si="18"/>
        <v>0</v>
      </c>
      <c r="AB60" s="29">
        <f t="shared" si="18"/>
        <v>10632.142042979307</v>
      </c>
      <c r="AC60" s="29">
        <f t="shared" si="18"/>
        <v>91023.902711439121</v>
      </c>
      <c r="AD60" s="29">
        <f t="shared" si="18"/>
        <v>96582.944173655094</v>
      </c>
      <c r="AE60" s="29">
        <f t="shared" si="18"/>
        <v>132476.57312624992</v>
      </c>
      <c r="AF60" s="29">
        <f t="shared" si="18"/>
        <v>1.4551915228366852E-13</v>
      </c>
      <c r="AG60" s="29">
        <f t="shared" si="18"/>
        <v>0</v>
      </c>
      <c r="AH60" s="29">
        <f t="shared" si="18"/>
        <v>0</v>
      </c>
      <c r="AI60" s="29">
        <f t="shared" si="18"/>
        <v>0</v>
      </c>
      <c r="AJ60" s="29">
        <f t="shared" si="18"/>
        <v>0</v>
      </c>
    </row>
    <row r="61" spans="2:36" s="1" customFormat="1" ht="15.75" x14ac:dyDescent="0.25">
      <c r="B61" s="24" t="s">
        <v>370</v>
      </c>
      <c r="C61" s="24"/>
      <c r="D61" s="24"/>
      <c r="E61" s="215" t="s">
        <v>368</v>
      </c>
      <c r="F61" s="297" t="str">
        <f>Inputs!G77</f>
        <v>Carried Forward</v>
      </c>
      <c r="G61" s="29">
        <f t="shared" ref="G61:AJ61" si="19">IF($F$61="as generated",G$58,G$159)</f>
        <v>0</v>
      </c>
      <c r="H61" s="29">
        <f t="shared" si="19"/>
        <v>0</v>
      </c>
      <c r="I61" s="29">
        <f t="shared" si="19"/>
        <v>0</v>
      </c>
      <c r="J61" s="29">
        <f t="shared" si="19"/>
        <v>0</v>
      </c>
      <c r="K61" s="29">
        <f t="shared" si="19"/>
        <v>0</v>
      </c>
      <c r="L61" s="29">
        <f t="shared" si="19"/>
        <v>0</v>
      </c>
      <c r="M61" s="29">
        <f t="shared" si="19"/>
        <v>0</v>
      </c>
      <c r="N61" s="29">
        <f t="shared" si="19"/>
        <v>444529.58244487504</v>
      </c>
      <c r="O61" s="29">
        <f t="shared" si="19"/>
        <v>764896.38426384283</v>
      </c>
      <c r="P61" s="29">
        <f t="shared" si="19"/>
        <v>681879.34710660321</v>
      </c>
      <c r="Q61" s="29">
        <f t="shared" si="19"/>
        <v>640797.23009339697</v>
      </c>
      <c r="R61" s="29">
        <f t="shared" si="19"/>
        <v>734478.41472244135</v>
      </c>
      <c r="S61" s="29">
        <f t="shared" si="19"/>
        <v>802322.94154199993</v>
      </c>
      <c r="T61" s="29">
        <f t="shared" si="19"/>
        <v>831325.75824062119</v>
      </c>
      <c r="U61" s="29">
        <f t="shared" si="19"/>
        <v>890935.04981053516</v>
      </c>
      <c r="V61" s="29">
        <f t="shared" si="19"/>
        <v>977000.65396553976</v>
      </c>
      <c r="W61" s="29">
        <f t="shared" si="19"/>
        <v>1034290.9759626002</v>
      </c>
      <c r="X61" s="29">
        <f t="shared" si="19"/>
        <v>1067243.8057486389</v>
      </c>
      <c r="Y61" s="29">
        <f t="shared" si="19"/>
        <v>1100160.3632258708</v>
      </c>
      <c r="Z61" s="29">
        <f t="shared" si="19"/>
        <v>1003363.9921817065</v>
      </c>
      <c r="AA61" s="29">
        <f t="shared" si="19"/>
        <v>0</v>
      </c>
      <c r="AB61" s="29">
        <f t="shared" si="19"/>
        <v>10632.142042979307</v>
      </c>
      <c r="AC61" s="29">
        <f t="shared" si="19"/>
        <v>91023.902711439121</v>
      </c>
      <c r="AD61" s="29">
        <f t="shared" si="19"/>
        <v>96582.944173655094</v>
      </c>
      <c r="AE61" s="29">
        <f t="shared" si="19"/>
        <v>132476.57312624992</v>
      </c>
      <c r="AF61" s="29">
        <f t="shared" si="19"/>
        <v>1.4551915228366852E-13</v>
      </c>
      <c r="AG61" s="29">
        <f t="shared" si="19"/>
        <v>0</v>
      </c>
      <c r="AH61" s="29">
        <f t="shared" si="19"/>
        <v>0</v>
      </c>
      <c r="AI61" s="29">
        <f t="shared" si="19"/>
        <v>0</v>
      </c>
      <c r="AJ61" s="29">
        <f t="shared" si="19"/>
        <v>0</v>
      </c>
    </row>
    <row r="62" spans="2:36" s="1" customFormat="1" x14ac:dyDescent="0.2">
      <c r="B62" s="295"/>
      <c r="C62" s="295"/>
      <c r="D62" s="295"/>
      <c r="F62" s="61"/>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row>
    <row r="63" spans="2:36" s="1" customFormat="1" x14ac:dyDescent="0.2">
      <c r="B63" s="1" t="s">
        <v>145</v>
      </c>
      <c r="E63" s="289"/>
      <c r="G63" s="29">
        <f>IF(Inputs!$G$73="No",0,-(G$60+G$64)*Inputs!$G$74)</f>
        <v>0</v>
      </c>
      <c r="H63" s="29">
        <f>IF(Inputs!$G$73="No",0,-(H$60+H$64)*Inputs!$G$74)</f>
        <v>0</v>
      </c>
      <c r="I63" s="29">
        <f>IF(Inputs!$G$73="No",0,-(I$60+I$64)*Inputs!$G$74)</f>
        <v>0</v>
      </c>
      <c r="J63" s="29">
        <f>IF(Inputs!$G$73="No",0,-(J$60+J$64)*Inputs!$G$74)</f>
        <v>0</v>
      </c>
      <c r="K63" s="29">
        <f>IF(Inputs!$G$73="No",0,-(K$60+K$64)*Inputs!$G$74)</f>
        <v>0</v>
      </c>
      <c r="L63" s="29">
        <f>IF(Inputs!$G$73="No",0,-(L$60+L$64)*Inputs!$G$74)</f>
        <v>0</v>
      </c>
      <c r="M63" s="29">
        <f>IF(Inputs!$G$73="No",0,-(M$60+M$64)*Inputs!$G$74)</f>
        <v>0</v>
      </c>
      <c r="N63" s="29">
        <f>IF(Inputs!$G$73="No",0,-(N$60+N$64)*Inputs!$G$74)</f>
        <v>-142360.59877797123</v>
      </c>
      <c r="O63" s="29">
        <f>IF(Inputs!$G$73="No",0,-(O$60+O$64)*Inputs!$G$74)</f>
        <v>-244958.06706049567</v>
      </c>
      <c r="P63" s="29">
        <f>IF(Inputs!$G$73="No",0,-(P$60+P$64)*Inputs!$G$74)</f>
        <v>-218371.86091088966</v>
      </c>
      <c r="Q63" s="29">
        <f>IF(Inputs!$G$73="No",0,-(Q$60+Q$64)*Inputs!$G$74)</f>
        <v>-205215.31293741034</v>
      </c>
      <c r="R63" s="29">
        <f>IF(Inputs!$G$73="No",0,-(R$60+R$64)*Inputs!$G$74)</f>
        <v>-235216.71231486183</v>
      </c>
      <c r="S63" s="29">
        <f>IF(Inputs!$G$73="No",0,-(S$60+S$64)*Inputs!$G$74)</f>
        <v>-256943.92202882544</v>
      </c>
      <c r="T63" s="29">
        <f>IF(Inputs!$G$73="No",0,-(T$60+T$64)*Inputs!$G$74)</f>
        <v>-266232.07407655893</v>
      </c>
      <c r="U63" s="29">
        <f>IF(Inputs!$G$73="No",0,-(U$60+U$64)*Inputs!$G$74)</f>
        <v>-285321.94970182382</v>
      </c>
      <c r="V63" s="29">
        <f>IF(Inputs!$G$73="No",0,-(V$60+V$64)*Inputs!$G$74)</f>
        <v>-312884.45943246409</v>
      </c>
      <c r="W63" s="29">
        <f>IF(Inputs!$G$73="No",0,-(W$60+W$64)*Inputs!$G$74)</f>
        <v>-331231.68505202269</v>
      </c>
      <c r="X63" s="29">
        <f>IF(Inputs!$G$73="No",0,-(X$60+X$64)*Inputs!$G$74)</f>
        <v>-341784.82879100158</v>
      </c>
      <c r="Y63" s="29">
        <f>IF(Inputs!$G$73="No",0,-(Y$60+Y$64)*Inputs!$G$74)</f>
        <v>-352326.35632308509</v>
      </c>
      <c r="Z63" s="29">
        <f>IF(Inputs!$G$73="No",0,-(Z$60+Z$64)*Inputs!$G$74)</f>
        <v>-321327.31849619147</v>
      </c>
      <c r="AA63" s="29">
        <f>IF(Inputs!$G$73="No",0,-(AA$60+AA$64)*Inputs!$G$74)</f>
        <v>0</v>
      </c>
      <c r="AB63" s="29">
        <f>IF(Inputs!$G$73="No",0,-(AB$60+AB$64)*Inputs!$G$74)</f>
        <v>-3404.9434892641225</v>
      </c>
      <c r="AC63" s="29">
        <f>IF(Inputs!$G$73="No",0,-(AC$60+AC$64)*Inputs!$G$74)</f>
        <v>-29150.404843338376</v>
      </c>
      <c r="AD63" s="29">
        <f>IF(Inputs!$G$73="No",0,-(AD$60+AD$64)*Inputs!$G$74)</f>
        <v>-30930.687871613041</v>
      </c>
      <c r="AE63" s="29">
        <f>IF(Inputs!$G$73="No",0,-(AE$60+AE$64)*Inputs!$G$74)</f>
        <v>-42425.622543681537</v>
      </c>
      <c r="AF63" s="29">
        <f>IF(Inputs!$G$73="No",0,-(AF$60+AF$64)*Inputs!$G$74)</f>
        <v>-4.6602508518844844E-14</v>
      </c>
      <c r="AG63" s="29">
        <f>IF(Inputs!$G$73="No",0,-(AG$60+AG$64)*Inputs!$G$74)</f>
        <v>0</v>
      </c>
      <c r="AH63" s="29">
        <f>IF(Inputs!$G$73="No",0,-(AH$60+AH$64)*Inputs!$G$74)</f>
        <v>0</v>
      </c>
      <c r="AI63" s="29">
        <f>IF(Inputs!$G$73="No",0,-(AI$60+AI$64)*Inputs!$G$74)</f>
        <v>0</v>
      </c>
      <c r="AJ63" s="29">
        <f>IF(Inputs!$G$73="No",0,-(AJ$60+AJ$64)*Inputs!$G$74)</f>
        <v>0</v>
      </c>
    </row>
    <row r="64" spans="2:36" s="1" customFormat="1" x14ac:dyDescent="0.2">
      <c r="B64" s="1" t="s">
        <v>202</v>
      </c>
      <c r="G64" s="29">
        <f>IF(Inputs!$G$73="No",0,-(G$61-IF(AND(Inputs!$Q$38="Cash",Inputs!$Q$40="No"),'Cash Flow'!G$21,0))*Inputs!$G$76)</f>
        <v>0</v>
      </c>
      <c r="H64" s="29">
        <f>IF(Inputs!$G$73="No",0,-(H$61-IF(AND(Inputs!$Q$38="Cash",Inputs!$Q$40="No"),'Cash Flow'!H$21,0))*Inputs!$G$76)</f>
        <v>0</v>
      </c>
      <c r="I64" s="29">
        <f>IF(Inputs!$G$73="No",0,-(I$61-IF(AND(Inputs!$Q$38="Cash",Inputs!$Q$40="No"),'Cash Flow'!I$21,0))*Inputs!$G$76)</f>
        <v>0</v>
      </c>
      <c r="J64" s="29">
        <f>IF(Inputs!$G$73="No",0,-(J$61-IF(AND(Inputs!$Q$38="Cash",Inputs!$Q$40="No"),'Cash Flow'!J$21,0))*Inputs!$G$76)</f>
        <v>0</v>
      </c>
      <c r="K64" s="29">
        <f>IF(Inputs!$G$73="No",0,-(K$61-IF(AND(Inputs!$Q$38="Cash",Inputs!$Q$40="No"),'Cash Flow'!K$21,0))*Inputs!$G$76)</f>
        <v>0</v>
      </c>
      <c r="L64" s="29">
        <f>IF(Inputs!$G$73="No",0,-(L$61-IF(AND(Inputs!$Q$38="Cash",Inputs!$Q$40="No"),'Cash Flow'!L$21,0))*Inputs!$G$76)</f>
        <v>0</v>
      </c>
      <c r="M64" s="29">
        <f>IF(Inputs!$G$73="No",0,-(M$61-IF(AND(Inputs!$Q$38="Cash",Inputs!$Q$40="No"),'Cash Flow'!M$21,0))*Inputs!$G$76)</f>
        <v>0</v>
      </c>
      <c r="N64" s="29">
        <f>IF(Inputs!$G$73="No",0,-(N$61-IF(AND(Inputs!$Q$38="Cash",Inputs!$Q$40="No"),'Cash Flow'!N$21,0))*Inputs!$G$76)</f>
        <v>-37785.014507814383</v>
      </c>
      <c r="O64" s="29">
        <f>IF(Inputs!$G$73="No",0,-(O$61-IF(AND(Inputs!$Q$38="Cash",Inputs!$Q$40="No"),'Cash Flow'!O$21,0))*Inputs!$G$76)</f>
        <v>-65016.192662426649</v>
      </c>
      <c r="P64" s="29">
        <f>IF(Inputs!$G$73="No",0,-(P$61-IF(AND(Inputs!$Q$38="Cash",Inputs!$Q$40="No"),'Cash Flow'!P$21,0))*Inputs!$G$76)</f>
        <v>-57959.74450406128</v>
      </c>
      <c r="Q64" s="29">
        <f>IF(Inputs!$G$73="No",0,-(Q$61-IF(AND(Inputs!$Q$38="Cash",Inputs!$Q$40="No"),'Cash Flow'!Q$21,0))*Inputs!$G$76)</f>
        <v>-54467.764557938746</v>
      </c>
      <c r="R64" s="29">
        <f>IF(Inputs!$G$73="No",0,-(R$61-IF(AND(Inputs!$Q$38="Cash",Inputs!$Q$40="No"),'Cash Flow'!R$21,0))*Inputs!$G$76)</f>
        <v>-62430.665251407518</v>
      </c>
      <c r="S64" s="29">
        <f>IF(Inputs!$G$73="No",0,-(S$61-IF(AND(Inputs!$Q$38="Cash",Inputs!$Q$40="No"),'Cash Flow'!S$21,0))*Inputs!$G$76)</f>
        <v>-68197.450031069995</v>
      </c>
      <c r="T64" s="29">
        <f>IF(Inputs!$G$73="No",0,-(T$61-IF(AND(Inputs!$Q$38="Cash",Inputs!$Q$40="No"),'Cash Flow'!T$21,0))*Inputs!$G$76)</f>
        <v>-70662.689450452803</v>
      </c>
      <c r="U64" s="29">
        <f>IF(Inputs!$G$73="No",0,-(U$61-IF(AND(Inputs!$Q$38="Cash",Inputs!$Q$40="No"),'Cash Flow'!U$21,0))*Inputs!$G$76)</f>
        <v>-75729.479233895487</v>
      </c>
      <c r="V64" s="29">
        <f>IF(Inputs!$G$73="No",0,-(V$61-IF(AND(Inputs!$Q$38="Cash",Inputs!$Q$40="No"),'Cash Flow'!V$21,0))*Inputs!$G$76)</f>
        <v>-83045.055587070892</v>
      </c>
      <c r="W64" s="29">
        <f>IF(Inputs!$G$73="No",0,-(W$61-IF(AND(Inputs!$Q$38="Cash",Inputs!$Q$40="No"),'Cash Flow'!W$21,0))*Inputs!$G$76)</f>
        <v>-87914.732956821026</v>
      </c>
      <c r="X64" s="29">
        <f>IF(Inputs!$G$73="No",0,-(X$61-IF(AND(Inputs!$Q$38="Cash",Inputs!$Q$40="No"),'Cash Flow'!X$21,0))*Inputs!$G$76)</f>
        <v>-90715.723488634321</v>
      </c>
      <c r="Y64" s="29">
        <f>IF(Inputs!$G$73="No",0,-(Y$61-IF(AND(Inputs!$Q$38="Cash",Inputs!$Q$40="No"),'Cash Flow'!Y$21,0))*Inputs!$G$76)</f>
        <v>-93513.630874199021</v>
      </c>
      <c r="Z64" s="29">
        <f>IF(Inputs!$G$73="No",0,-(Z$61-IF(AND(Inputs!$Q$38="Cash",Inputs!$Q$40="No"),'Cash Flow'!Z$21,0))*Inputs!$G$76)</f>
        <v>-85285.939335445059</v>
      </c>
      <c r="AA64" s="29">
        <f>IF(Inputs!$G$73="No",0,-(AA$61-IF(AND(Inputs!$Q$38="Cash",Inputs!$Q$40="No"),'Cash Flow'!AA$21,0))*Inputs!$G$76)</f>
        <v>0</v>
      </c>
      <c r="AB64" s="29">
        <f>IF(Inputs!$G$73="No",0,-(AB$61-IF(AND(Inputs!$Q$38="Cash",Inputs!$Q$40="No"),'Cash Flow'!AB$21,0))*Inputs!$G$76)</f>
        <v>-903.73207365324117</v>
      </c>
      <c r="AC64" s="29">
        <f>IF(Inputs!$G$73="No",0,-(AC$61-IF(AND(Inputs!$Q$38="Cash",Inputs!$Q$40="No"),'Cash Flow'!AC$21,0))*Inputs!$G$76)</f>
        <v>-7737.0317304723258</v>
      </c>
      <c r="AD64" s="29">
        <f>IF(Inputs!$G$73="No",0,-(AD$61-IF(AND(Inputs!$Q$38="Cash",Inputs!$Q$40="No"),'Cash Flow'!AD$21,0))*Inputs!$G$76)</f>
        <v>-8209.5502547606829</v>
      </c>
      <c r="AE64" s="29">
        <f>IF(Inputs!$G$73="No",0,-(AE$61-IF(AND(Inputs!$Q$38="Cash",Inputs!$Q$40="No"),'Cash Flow'!AE$21,0))*Inputs!$G$76)</f>
        <v>-11260.508715731245</v>
      </c>
      <c r="AF64" s="29">
        <f>IF(Inputs!$G$73="No",0,-(AF$61-IF(AND(Inputs!$Q$38="Cash",Inputs!$Q$40="No"),'Cash Flow'!AF$21,0))*Inputs!$G$76)</f>
        <v>-1.2369127944111825E-14</v>
      </c>
      <c r="AG64" s="29">
        <f>IF(Inputs!$G$73="No",0,-(AG$61-IF(AND(Inputs!$Q$38="Cash",Inputs!$Q$40="No"),'Cash Flow'!AG$21,0))*Inputs!$G$76)</f>
        <v>0</v>
      </c>
      <c r="AH64" s="29">
        <f>IF(Inputs!$G$73="No",0,-(AH$61-IF(AND(Inputs!$Q$38="Cash",Inputs!$Q$40="No"),'Cash Flow'!AH$21,0))*Inputs!$G$76)</f>
        <v>0</v>
      </c>
      <c r="AI64" s="29">
        <f>IF(Inputs!$G$73="No",0,-(AI$61-IF(AND(Inputs!$Q$38="Cash",Inputs!$Q$40="No"),'Cash Flow'!AI$21,0))*Inputs!$G$76)</f>
        <v>0</v>
      </c>
      <c r="AJ64" s="29">
        <f>IF(Inputs!$G$73="No",0,-(AJ$61-IF(AND(Inputs!$Q$38="Cash",Inputs!$Q$40="No"),'Cash Flow'!AJ$21,0))*Inputs!$G$76)</f>
        <v>0</v>
      </c>
    </row>
    <row r="65" spans="2:36" s="1" customFormat="1" x14ac:dyDescent="0.2">
      <c r="B65" s="1" t="s">
        <v>292</v>
      </c>
      <c r="E65" s="289"/>
      <c r="G65" s="29">
        <f>IF(AND(Inputs!$Q$19="Cost-Based",Inputs!$Q$20="Cash Grant",G$2=1),Inputs!$Q$23,IF(Inputs!$G$75="as generated",'Cash Flow'!G$166,-G$173))</f>
        <v>0</v>
      </c>
      <c r="H65" s="29">
        <f>IF(AND(Inputs!$Q$19="Cost-Based",Inputs!$Q$20="Cash Grant",H$2=1),Inputs!$Q$23,IF(Inputs!$G$75="as generated",'Cash Flow'!H$166,-H$173))</f>
        <v>0</v>
      </c>
      <c r="I65" s="29">
        <f>IF(AND(Inputs!$Q$19="Cost-Based",Inputs!$Q$20="Cash Grant",I$2=1),Inputs!$Q$23,IF(Inputs!$G$75="as generated",'Cash Flow'!I$166,-I$173))</f>
        <v>0</v>
      </c>
      <c r="J65" s="29">
        <f>IF(AND(Inputs!$Q$19="Cost-Based",Inputs!$Q$20="Cash Grant",J$2=1),Inputs!$Q$23,IF(Inputs!$G$75="as generated",'Cash Flow'!J$166,-J$173))</f>
        <v>0</v>
      </c>
      <c r="K65" s="29">
        <f>IF(AND(Inputs!$Q$19="Cost-Based",Inputs!$Q$20="Cash Grant",K$2=1),Inputs!$Q$23,IF(Inputs!$G$75="as generated",'Cash Flow'!K$166,-K$173))</f>
        <v>0</v>
      </c>
      <c r="L65" s="29">
        <f>IF(AND(Inputs!$Q$19="Cost-Based",Inputs!$Q$20="Cash Grant",L$2=1),Inputs!$Q$23,IF(Inputs!$G$75="as generated",'Cash Flow'!L$166,-L$173))</f>
        <v>0</v>
      </c>
      <c r="M65" s="29">
        <f>IF(AND(Inputs!$Q$19="Cost-Based",Inputs!$Q$20="Cash Grant",M$2=1),Inputs!$Q$23,IF(Inputs!$G$75="as generated",'Cash Flow'!M$166,-M$173))</f>
        <v>0</v>
      </c>
      <c r="N65" s="29">
        <f>IF(AND(Inputs!$Q$19="Cost-Based",Inputs!$Q$20="Cash Grant",N$2=1),Inputs!$Q$23,IF(Inputs!$G$75="as generated",'Cash Flow'!N$166,-N$173))</f>
        <v>142360.59877797123</v>
      </c>
      <c r="O65" s="29">
        <f>IF(AND(Inputs!$Q$19="Cost-Based",Inputs!$Q$20="Cash Grant",O$2=1),Inputs!$Q$23,IF(Inputs!$G$75="as generated",'Cash Flow'!O$166,-O$173))</f>
        <v>244958.06706049567</v>
      </c>
      <c r="P65" s="29">
        <f>IF(AND(Inputs!$Q$19="Cost-Based",Inputs!$Q$20="Cash Grant",P$2=1),Inputs!$Q$23,IF(Inputs!$G$75="as generated",'Cash Flow'!P$166,-P$173))</f>
        <v>218371.86091088966</v>
      </c>
      <c r="Q65" s="29">
        <f>IF(AND(Inputs!$Q$19="Cost-Based",Inputs!$Q$20="Cash Grant",Q$2=1),Inputs!$Q$23,IF(Inputs!$G$75="as generated",'Cash Flow'!Q$166,-Q$173))</f>
        <v>205215.31293741034</v>
      </c>
      <c r="R65" s="29">
        <f>IF(AND(Inputs!$Q$19="Cost-Based",Inputs!$Q$20="Cash Grant",R$2=1),Inputs!$Q$23,IF(Inputs!$G$75="as generated",'Cash Flow'!R$166,-R$173))</f>
        <v>43334.435533742071</v>
      </c>
      <c r="S65" s="29">
        <f>IF(AND(Inputs!$Q$19="Cost-Based",Inputs!$Q$20="Cash Grant",S$2=1),Inputs!$Q$23,IF(Inputs!$G$75="as generated",'Cash Flow'!S$166,-S$173))</f>
        <v>0</v>
      </c>
      <c r="T65" s="29">
        <f>IF(AND(Inputs!$Q$19="Cost-Based",Inputs!$Q$20="Cash Grant",T$2=1),Inputs!$Q$23,IF(Inputs!$G$75="as generated",'Cash Flow'!T$166,-T$173))</f>
        <v>0</v>
      </c>
      <c r="U65" s="29">
        <f>IF(AND(Inputs!$Q$19="Cost-Based",Inputs!$Q$20="Cash Grant",U$2=1),Inputs!$Q$23,IF(Inputs!$G$75="as generated",'Cash Flow'!U$166,-U$173))</f>
        <v>0</v>
      </c>
      <c r="V65" s="29">
        <f>IF(AND(Inputs!$Q$19="Cost-Based",Inputs!$Q$20="Cash Grant",V$2=1),Inputs!$Q$23,IF(Inputs!$G$75="as generated",'Cash Flow'!V$166,-V$173))</f>
        <v>0</v>
      </c>
      <c r="W65" s="29">
        <f>IF(AND(Inputs!$Q$19="Cost-Based",Inputs!$Q$20="Cash Grant",W$2=1),Inputs!$Q$23,IF(Inputs!$G$75="as generated",'Cash Flow'!W$166,-W$173))</f>
        <v>0</v>
      </c>
      <c r="X65" s="29">
        <f>IF(AND(Inputs!$Q$19="Cost-Based",Inputs!$Q$20="Cash Grant",X$2=1),Inputs!$Q$23,IF(Inputs!$G$75="as generated",'Cash Flow'!X$166,-X$173))</f>
        <v>0</v>
      </c>
      <c r="Y65" s="29">
        <f>IF(AND(Inputs!$Q$19="Cost-Based",Inputs!$Q$20="Cash Grant",Y$2=1),Inputs!$Q$23,IF(Inputs!$G$75="as generated",'Cash Flow'!Y$166,-Y$173))</f>
        <v>0</v>
      </c>
      <c r="Z65" s="29">
        <f>IF(AND(Inputs!$Q$19="Cost-Based",Inputs!$Q$20="Cash Grant",Z$2=1),Inputs!$Q$23,IF(Inputs!$G$75="as generated",'Cash Flow'!Z$166,-Z$173))</f>
        <v>0</v>
      </c>
      <c r="AA65" s="29">
        <f>IF(AND(Inputs!$Q$19="Cost-Based",Inputs!$Q$20="Cash Grant",AA$2=1),Inputs!$Q$23,IF(Inputs!$G$75="as generated",'Cash Flow'!AA$166,-AA$173))</f>
        <v>0</v>
      </c>
      <c r="AB65" s="29">
        <f>IF(AND(Inputs!$Q$19="Cost-Based",Inputs!$Q$20="Cash Grant",AB$2=1),Inputs!$Q$23,IF(Inputs!$G$75="as generated",'Cash Flow'!AB$166,-AB$173))</f>
        <v>0</v>
      </c>
      <c r="AC65" s="29">
        <f>IF(AND(Inputs!$Q$19="Cost-Based",Inputs!$Q$20="Cash Grant",AC$2=1),Inputs!$Q$23,IF(Inputs!$G$75="as generated",'Cash Flow'!AC$166,-AC$173))</f>
        <v>0</v>
      </c>
      <c r="AD65" s="29">
        <f>IF(AND(Inputs!$Q$19="Cost-Based",Inputs!$Q$20="Cash Grant",AD$2=1),Inputs!$Q$23,IF(Inputs!$G$75="as generated",'Cash Flow'!AD$166,-AD$173))</f>
        <v>0</v>
      </c>
      <c r="AE65" s="29">
        <f>IF(AND(Inputs!$Q$19="Cost-Based",Inputs!$Q$20="Cash Grant",AE$2=1),Inputs!$Q$23,IF(Inputs!$G$75="as generated",'Cash Flow'!AE$166,-AE$173))</f>
        <v>0</v>
      </c>
      <c r="AF65" s="29">
        <f>IF(AND(Inputs!$Q$19="Cost-Based",Inputs!$Q$20="Cash Grant",AF$2=1),Inputs!$Q$23,IF(Inputs!$G$75="as generated",'Cash Flow'!AF$166,-AF$173))</f>
        <v>0</v>
      </c>
      <c r="AG65" s="29">
        <f>IF(AND(Inputs!$Q$19="Cost-Based",Inputs!$Q$20="Cash Grant",AG$2=1),Inputs!$Q$23,IF(Inputs!$G$75="as generated",'Cash Flow'!AG$166,-AG$173))</f>
        <v>0</v>
      </c>
      <c r="AH65" s="29">
        <f>IF(AND(Inputs!$Q$19="Cost-Based",Inputs!$Q$20="Cash Grant",AH$2=1),Inputs!$Q$23,IF(Inputs!$G$75="as generated",'Cash Flow'!AH$166,-AH$173))</f>
        <v>0</v>
      </c>
      <c r="AI65" s="29">
        <f>IF(AND(Inputs!$Q$19="Cost-Based",Inputs!$Q$20="Cash Grant",AI$2=1),Inputs!$Q$23,IF(Inputs!$G$75="as generated",'Cash Flow'!AI$166,-AI$173))</f>
        <v>0</v>
      </c>
      <c r="AJ65" s="29">
        <f>IF(AND(Inputs!$Q$19="Cost-Based",Inputs!$Q$20="Cash Grant",AJ$2=1),Inputs!$Q$23,IF(Inputs!$G$75="as generated",'Cash Flow'!AJ$166,-AJ$173))</f>
        <v>0</v>
      </c>
    </row>
    <row r="66" spans="2:36" s="1" customFormat="1" x14ac:dyDescent="0.2">
      <c r="B66" s="27" t="s">
        <v>148</v>
      </c>
      <c r="C66" s="27"/>
      <c r="D66" s="27"/>
      <c r="E66" s="290"/>
      <c r="F66" s="27"/>
      <c r="G66" s="30">
        <f>IF(Inputs!$G$77="as generated",'Cash Flow'!G$180,-G$187)</f>
        <v>0</v>
      </c>
      <c r="H66" s="30">
        <f>IF(Inputs!$G$77="as generated",'Cash Flow'!H$180,-H$187)</f>
        <v>0</v>
      </c>
      <c r="I66" s="30">
        <f>IF(Inputs!$G$77="as generated",'Cash Flow'!I$180,-I$187)</f>
        <v>0</v>
      </c>
      <c r="J66" s="30">
        <f>IF(Inputs!$G$77="as generated",'Cash Flow'!J$180,-J$187)</f>
        <v>0</v>
      </c>
      <c r="K66" s="30">
        <f>IF(Inputs!$G$77="as generated",'Cash Flow'!K$180,-K$187)</f>
        <v>0</v>
      </c>
      <c r="L66" s="30">
        <f>IF(Inputs!$G$77="as generated",'Cash Flow'!L$180,-L$187)</f>
        <v>0</v>
      </c>
      <c r="M66" s="30">
        <f>IF(Inputs!$G$77="as generated",'Cash Flow'!M$180,-M$187)</f>
        <v>0</v>
      </c>
      <c r="N66" s="30">
        <f>IF(Inputs!$G$77="as generated",'Cash Flow'!N$180,-N$187)</f>
        <v>0</v>
      </c>
      <c r="O66" s="30">
        <f>IF(Inputs!$G$77="as generated",'Cash Flow'!O$180,-O$187)</f>
        <v>0</v>
      </c>
      <c r="P66" s="30">
        <f>IF(Inputs!$G$77="as generated",'Cash Flow'!P$180,-P$187)</f>
        <v>0</v>
      </c>
      <c r="Q66" s="30">
        <f>IF(Inputs!$G$77="as generated",'Cash Flow'!Q$180,-Q$187)</f>
        <v>0</v>
      </c>
      <c r="R66" s="30">
        <f>IF(Inputs!$G$77="as generated",'Cash Flow'!R$180,-R$187)</f>
        <v>0</v>
      </c>
      <c r="S66" s="30">
        <f>IF(Inputs!$G$77="as generated",'Cash Flow'!S$180,-S$187)</f>
        <v>0</v>
      </c>
      <c r="T66" s="30">
        <f>IF(Inputs!$G$77="as generated",'Cash Flow'!T$180,-T$187)</f>
        <v>0</v>
      </c>
      <c r="U66" s="30">
        <f>IF(Inputs!$G$77="as generated",'Cash Flow'!U$180,-U$187)</f>
        <v>0</v>
      </c>
      <c r="V66" s="30">
        <f>IF(Inputs!$G$77="as generated",'Cash Flow'!V$180,-V$187)</f>
        <v>0</v>
      </c>
      <c r="W66" s="30">
        <f>IF(Inputs!$G$77="as generated",'Cash Flow'!W$180,-W$187)</f>
        <v>0</v>
      </c>
      <c r="X66" s="30">
        <f>IF(Inputs!$G$77="as generated",'Cash Flow'!X$180,-X$187)</f>
        <v>0</v>
      </c>
      <c r="Y66" s="30">
        <f>IF(Inputs!$G$77="as generated",'Cash Flow'!Y$180,-Y$187)</f>
        <v>0</v>
      </c>
      <c r="Z66" s="30">
        <f>IF(Inputs!$G$77="as generated",'Cash Flow'!Z$180,-Z$187)</f>
        <v>0</v>
      </c>
      <c r="AA66" s="30">
        <f>IF(Inputs!$G$77="as generated",'Cash Flow'!AA$180,-AA$187)</f>
        <v>0</v>
      </c>
      <c r="AB66" s="30">
        <f>IF(Inputs!$G$77="as generated",'Cash Flow'!AB$180,-AB$187)</f>
        <v>0</v>
      </c>
      <c r="AC66" s="30">
        <f>IF(Inputs!$G$77="as generated",'Cash Flow'!AC$180,-AC$187)</f>
        <v>0</v>
      </c>
      <c r="AD66" s="30">
        <f>IF(Inputs!$G$77="as generated",'Cash Flow'!AD$180,-AD$187)</f>
        <v>0</v>
      </c>
      <c r="AE66" s="30">
        <f>IF(Inputs!$G$77="as generated",'Cash Flow'!AE$180,-AE$187)</f>
        <v>0</v>
      </c>
      <c r="AF66" s="30">
        <f>IF(Inputs!$G$77="as generated",'Cash Flow'!AF$180,-AF$187)</f>
        <v>0</v>
      </c>
      <c r="AG66" s="30">
        <f>IF(Inputs!$G$77="as generated",'Cash Flow'!AG$180,-AG$187)</f>
        <v>0</v>
      </c>
      <c r="AH66" s="30">
        <f>IF(Inputs!$G$77="as generated",'Cash Flow'!AH$180,-AH$187)</f>
        <v>0</v>
      </c>
      <c r="AI66" s="30">
        <f>IF(Inputs!$G$77="as generated",'Cash Flow'!AI$180,-AI$187)</f>
        <v>0</v>
      </c>
      <c r="AJ66" s="30">
        <f>IF(Inputs!$G$77="as generated",'Cash Flow'!AJ$180,-AJ$187)</f>
        <v>0</v>
      </c>
    </row>
    <row r="67" spans="2:36" s="1" customFormat="1" ht="15.75" x14ac:dyDescent="0.25">
      <c r="B67" s="24" t="s">
        <v>147</v>
      </c>
      <c r="C67" s="24"/>
      <c r="D67" s="24"/>
      <c r="E67" s="29"/>
      <c r="F67" s="31">
        <f t="shared" ref="F67:AJ67" si="20">F54+SUM(F63:F66)</f>
        <v>-3368034.7702229787</v>
      </c>
      <c r="G67" s="31">
        <f>G54+SUM(G63:G66)</f>
        <v>497097.64076878986</v>
      </c>
      <c r="H67" s="31">
        <f t="shared" si="20"/>
        <v>515745.26150878391</v>
      </c>
      <c r="I67" s="31">
        <f t="shared" si="20"/>
        <v>534077.48286824755</v>
      </c>
      <c r="J67" s="31">
        <f t="shared" si="20"/>
        <v>552147.02923186473</v>
      </c>
      <c r="K67" s="31">
        <f t="shared" si="20"/>
        <v>570001.66515818122</v>
      </c>
      <c r="L67" s="31">
        <f t="shared" si="20"/>
        <v>587684.69597147254</v>
      </c>
      <c r="M67" s="31">
        <f t="shared" si="20"/>
        <v>605235.41836232599</v>
      </c>
      <c r="N67" s="31">
        <f t="shared" si="20"/>
        <v>584904.51148924604</v>
      </c>
      <c r="O67" s="31">
        <f t="shared" si="20"/>
        <v>575063.28197368956</v>
      </c>
      <c r="P67" s="31">
        <f t="shared" si="20"/>
        <v>651175.06630748499</v>
      </c>
      <c r="Q67" s="31">
        <f t="shared" si="20"/>
        <v>606405.8142619133</v>
      </c>
      <c r="R67" s="31">
        <f t="shared" si="20"/>
        <v>423974.08950049814</v>
      </c>
      <c r="S67" s="31">
        <f t="shared" si="20"/>
        <v>370598.49814270658</v>
      </c>
      <c r="T67" s="31">
        <f t="shared" si="20"/>
        <v>376357.91905373079</v>
      </c>
      <c r="U67" s="31">
        <f t="shared" si="20"/>
        <v>369792.93059202284</v>
      </c>
      <c r="V67" s="31">
        <f t="shared" si="20"/>
        <v>352602.75501669326</v>
      </c>
      <c r="W67" s="31">
        <f t="shared" si="20"/>
        <v>347186.00082267023</v>
      </c>
      <c r="X67" s="31">
        <f t="shared" si="20"/>
        <v>351759.03601201798</v>
      </c>
      <c r="Y67" s="31">
        <f t="shared" si="20"/>
        <v>723891.81288978248</v>
      </c>
      <c r="Z67" s="31">
        <f t="shared" si="20"/>
        <v>711133.3564778571</v>
      </c>
      <c r="AA67" s="31">
        <f t="shared" si="20"/>
        <v>142247.55356850429</v>
      </c>
      <c r="AB67" s="31">
        <f t="shared" si="20"/>
        <v>143335.22397545126</v>
      </c>
      <c r="AC67" s="31">
        <f t="shared" si="20"/>
        <v>116229.26613762841</v>
      </c>
      <c r="AD67" s="31">
        <f t="shared" si="20"/>
        <v>119535.50604728135</v>
      </c>
      <c r="AE67" s="31">
        <f t="shared" si="20"/>
        <v>190568.90846751851</v>
      </c>
      <c r="AF67" s="31">
        <f t="shared" si="20"/>
        <v>8.6547515820711846E-14</v>
      </c>
      <c r="AG67" s="31">
        <f t="shared" si="20"/>
        <v>0</v>
      </c>
      <c r="AH67" s="31">
        <f t="shared" si="20"/>
        <v>0</v>
      </c>
      <c r="AI67" s="31">
        <f t="shared" si="20"/>
        <v>0</v>
      </c>
      <c r="AJ67" s="31">
        <f t="shared" si="20"/>
        <v>0</v>
      </c>
    </row>
    <row r="68" spans="2:36" s="1" customFormat="1" ht="15.75" x14ac:dyDescent="0.25">
      <c r="B68" s="35" t="s">
        <v>146</v>
      </c>
      <c r="C68" s="35"/>
      <c r="D68" s="35"/>
      <c r="E68" s="29"/>
      <c r="F68" s="31"/>
      <c r="G68" s="331">
        <f>IF(ISERROR(IRR($F67:G67)),"NA",IRR($F67:G67))</f>
        <v>-0.85240721231156413</v>
      </c>
      <c r="H68" s="331">
        <f>IF(ISERROR(IRR($F67:H67)),"NA",IRR($F67:H67))</f>
        <v>-0.5279884095981846</v>
      </c>
      <c r="I68" s="331">
        <f>IF(ISERROR(IRR($F67:I67)),"NA",IRR($F67:I67))</f>
        <v>-0.30446326341571517</v>
      </c>
      <c r="J68" s="331">
        <f>IF(ISERROR(IRR($F67:J67)),"NA",IRR($F67:J67))</f>
        <v>-0.16319244643850062</v>
      </c>
      <c r="K68" s="331">
        <f>IF(ISERROR(IRR($F67:K67)),"NA",IRR($F67:K67))</f>
        <v>-7.1358595184337292E-2</v>
      </c>
      <c r="L68" s="331">
        <f>IF(ISERROR(IRR($F67:L67)),"NA",IRR($F67:L67))</f>
        <v>-9.2618038208092113E-3</v>
      </c>
      <c r="M68" s="331">
        <f>IF(ISERROR(IRR($F67:M67)),"NA",IRR($F67:M67))</f>
        <v>3.4252682320411676E-2</v>
      </c>
      <c r="N68" s="331">
        <f>IF(ISERROR(IRR($F67:N67)),"NA",IRR($F67:N67))</f>
        <v>6.4005822545135427E-2</v>
      </c>
      <c r="O68" s="331">
        <f>IF(ISERROR(IRR($F67:O67)),"NA",IRR($F67:O67))</f>
        <v>8.5452935057940271E-2</v>
      </c>
      <c r="P68" s="331">
        <f>IF(ISERROR(IRR($F67:P67)),"NA",IRR($F67:P67))</f>
        <v>0.10347264512867027</v>
      </c>
      <c r="Q68" s="331">
        <f>IF(ISERROR(IRR($F67:Q67)),"NA",IRR($F67:Q67))</f>
        <v>0.1161139570877221</v>
      </c>
      <c r="R68" s="331">
        <f>IF(ISERROR(IRR($F67:R67)),"NA",IRR($F67:R67))</f>
        <v>0.1230714861780553</v>
      </c>
      <c r="S68" s="331">
        <f>IF(ISERROR(IRR($F67:S67)),"NA",IRR($F67:S67))</f>
        <v>0.1280313866564402</v>
      </c>
      <c r="T68" s="331">
        <f>IF(ISERROR(IRR($F67:T67)),"NA",IRR($F67:T67))</f>
        <v>0.1321778391413162</v>
      </c>
      <c r="U68" s="331">
        <f>IF(ISERROR(IRR($F67:U67)),"NA",IRR($F67:U67))</f>
        <v>0.13554464847208259</v>
      </c>
      <c r="V68" s="331">
        <f>IF(ISERROR(IRR($F67:V67)),"NA",IRR($F67:V67))</f>
        <v>0.13821284893648955</v>
      </c>
      <c r="W68" s="331">
        <f>IF(ISERROR(IRR($F67:W67)),"NA",IRR($F67:W67))</f>
        <v>0.14040787733882976</v>
      </c>
      <c r="X68" s="331">
        <f>IF(ISERROR(IRR($F67:X67)),"NA",IRR($F67:X67))</f>
        <v>0.14227214719425318</v>
      </c>
      <c r="Y68" s="331">
        <f>IF(ISERROR(IRR($F67:Y67)),"NA",IRR($F67:Y67))</f>
        <v>0.14543436351811012</v>
      </c>
      <c r="Z68" s="331">
        <f>IF(ISERROR(IRR($F67:Z67)),"NA",IRR($F67:Z67))</f>
        <v>0.14796073140620036</v>
      </c>
      <c r="AA68" s="331">
        <f>IF(ISERROR(IRR($F67:AA67)),"NA",IRR($F67:AA67))</f>
        <v>0.14838454170021298</v>
      </c>
      <c r="AB68" s="331">
        <f>IF(ISERROR(IRR($F67:AB67)),"NA",IRR($F67:AB67))</f>
        <v>0.14875231856974191</v>
      </c>
      <c r="AC68" s="331">
        <f>IF(ISERROR(IRR($F67:AC67)),"NA",IRR($F67:AC67))</f>
        <v>0.14900954229678409</v>
      </c>
      <c r="AD68" s="331">
        <f>IF(ISERROR(IRR($F67:AD67)),"NA",IRR($F67:AD67))</f>
        <v>0.14923803100303301</v>
      </c>
      <c r="AE68" s="331">
        <f>IF(ISERROR(IRR($F67:AE67)),"NA",IRR($F67:AE67))</f>
        <v>0.14955215307018221</v>
      </c>
      <c r="AF68" s="331">
        <f>IF(ISERROR(IRR($F67:AF67)),"NA",IRR($F67:AF67))</f>
        <v>0.14955215307018221</v>
      </c>
      <c r="AG68" s="331">
        <f>IF(ISERROR(IRR($F67:AG67)),"NA",IRR($F67:AG67))</f>
        <v>0.14955215307018221</v>
      </c>
      <c r="AH68" s="331">
        <f>IF(ISERROR(IRR($F67:AH67)),"NA",IRR($F67:AH67))</f>
        <v>0.14955215307018221</v>
      </c>
      <c r="AI68" s="331">
        <f>IF(ISERROR(IRR($F67:AI67)),"NA",IRR($F67:AI67))</f>
        <v>0.14955215307018221</v>
      </c>
      <c r="AJ68" s="331">
        <f>IF(ISERROR(IRR($F67:AJ67)),"NA",IRR($F67:AJ67))</f>
        <v>0.14955215307018221</v>
      </c>
    </row>
    <row r="69" spans="2:36" s="1" customFormat="1" ht="16.5" thickBot="1" x14ac:dyDescent="0.3">
      <c r="B69" s="24"/>
      <c r="C69" s="24"/>
      <c r="D69" s="24"/>
      <c r="E69" s="37"/>
      <c r="F69" s="347"/>
      <c r="G69" s="347"/>
      <c r="H69" s="347"/>
      <c r="I69" s="347"/>
      <c r="J69" s="347"/>
      <c r="K69" s="347"/>
      <c r="L69" s="347"/>
      <c r="M69" s="347"/>
      <c r="N69" s="31"/>
      <c r="O69" s="31"/>
      <c r="P69" s="31"/>
      <c r="Q69" s="31"/>
      <c r="R69" s="31"/>
      <c r="S69" s="31"/>
      <c r="T69" s="31"/>
      <c r="U69" s="31"/>
      <c r="V69" s="31"/>
      <c r="W69" s="31"/>
      <c r="X69" s="31"/>
      <c r="Y69" s="31"/>
      <c r="Z69" s="31"/>
      <c r="AA69" s="31"/>
      <c r="AB69" s="31"/>
      <c r="AC69" s="31"/>
      <c r="AD69" s="31"/>
      <c r="AE69" s="31"/>
      <c r="AF69" s="31"/>
      <c r="AG69" s="31"/>
      <c r="AH69" s="31"/>
      <c r="AI69" s="31"/>
      <c r="AJ69" s="31"/>
    </row>
    <row r="70" spans="2:36" s="1" customFormat="1" ht="16.5" thickBot="1" x14ac:dyDescent="0.3">
      <c r="B70" s="731" t="s">
        <v>383</v>
      </c>
      <c r="C70" s="732"/>
      <c r="D70" s="467">
        <f>IRR(F54:AJ54)</f>
        <v>0.16913879556974543</v>
      </c>
      <c r="F70" s="31"/>
      <c r="G70" s="411" t="s">
        <v>205</v>
      </c>
      <c r="H70" s="420"/>
      <c r="I70" s="420"/>
      <c r="J70" s="421"/>
      <c r="K70" s="420"/>
      <c r="L70" s="31"/>
      <c r="O70" s="31"/>
      <c r="P70" s="31"/>
      <c r="Q70" s="31"/>
      <c r="R70" s="31"/>
      <c r="S70" s="31"/>
      <c r="T70" s="31"/>
      <c r="U70" s="31"/>
      <c r="V70" s="31"/>
      <c r="W70" s="31"/>
      <c r="X70" s="31"/>
      <c r="Y70" s="31"/>
      <c r="Z70" s="31"/>
      <c r="AA70" s="31"/>
      <c r="AB70" s="31"/>
      <c r="AC70" s="31"/>
      <c r="AD70" s="31"/>
      <c r="AE70" s="31"/>
      <c r="AF70" s="31"/>
      <c r="AG70" s="31"/>
      <c r="AH70" s="31"/>
      <c r="AI70" s="31"/>
      <c r="AJ70" s="31"/>
    </row>
    <row r="71" spans="2:36" s="1" customFormat="1" ht="16.5" thickBot="1" x14ac:dyDescent="0.3">
      <c r="B71" s="468" t="s">
        <v>384</v>
      </c>
      <c r="C71" s="469"/>
      <c r="D71" s="467">
        <f>IRR(F67:AJ67)</f>
        <v>0.14955215307018221</v>
      </c>
      <c r="F71" s="31"/>
      <c r="G71" s="413" t="s">
        <v>297</v>
      </c>
      <c r="H71" s="422"/>
      <c r="I71" s="418"/>
      <c r="J71" s="419"/>
      <c r="K71" s="419"/>
      <c r="L71" s="31"/>
      <c r="O71" s="31"/>
      <c r="P71" s="31"/>
      <c r="Q71" s="31"/>
      <c r="R71" s="31"/>
      <c r="S71" s="31"/>
      <c r="T71" s="31"/>
      <c r="U71" s="31"/>
      <c r="V71" s="31"/>
      <c r="W71" s="31"/>
      <c r="X71" s="31"/>
      <c r="Y71" s="31"/>
      <c r="Z71" s="31"/>
      <c r="AA71" s="31"/>
      <c r="AB71" s="31"/>
      <c r="AC71" s="31"/>
      <c r="AD71" s="31"/>
      <c r="AE71" s="31"/>
      <c r="AF71" s="31"/>
      <c r="AG71" s="31"/>
      <c r="AH71" s="31"/>
      <c r="AI71" s="31"/>
      <c r="AJ71" s="31"/>
    </row>
    <row r="72" spans="2:36" s="1" customFormat="1" ht="16.5" thickBot="1" x14ac:dyDescent="0.3">
      <c r="B72" s="733">
        <f>Inputs!$G$62</f>
        <v>0.15</v>
      </c>
      <c r="C72" s="734"/>
      <c r="D72" s="470">
        <f>NPV(Inputs!$G$62,'Cash Flow'!F67:AJ67)</f>
        <v>-7270.0642853749205</v>
      </c>
      <c r="G72" s="412">
        <f>AVERAGE(R204:S204)</f>
        <v>27.850000000000012</v>
      </c>
      <c r="H72" s="422"/>
      <c r="I72" s="418"/>
      <c r="J72" s="423"/>
      <c r="K72" s="418"/>
    </row>
    <row r="73" spans="2:36" s="1" customFormat="1" ht="16.5" thickBot="1" x14ac:dyDescent="0.3">
      <c r="B73" s="38"/>
      <c r="C73" s="38"/>
      <c r="D73" s="38"/>
      <c r="E73" s="39"/>
      <c r="F73" s="302"/>
      <c r="G73" s="288"/>
      <c r="H73" s="302"/>
      <c r="I73" s="302"/>
      <c r="J73" s="302"/>
      <c r="K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row>
    <row r="74" spans="2:36" s="1" customFormat="1" ht="15.75" x14ac:dyDescent="0.25">
      <c r="B74" s="40"/>
      <c r="C74" s="40"/>
      <c r="D74" s="40"/>
      <c r="E74" s="41"/>
      <c r="F74" s="41"/>
      <c r="G74" s="42"/>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row>
    <row r="75" spans="2:36" s="1" customFormat="1" x14ac:dyDescent="0.2">
      <c r="B75" s="43" t="s">
        <v>80</v>
      </c>
      <c r="C75" s="43"/>
      <c r="D75" s="43"/>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row>
    <row r="76" spans="2:36" s="1" customFormat="1" ht="15.75" thickBot="1" x14ac:dyDescent="0.25">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row>
    <row r="77" spans="2:36" s="1" customFormat="1" ht="15.75" x14ac:dyDescent="0.25">
      <c r="B77" s="221"/>
      <c r="C77" s="221"/>
      <c r="D77" s="221"/>
      <c r="E77" s="221"/>
      <c r="F77" s="221"/>
      <c r="G77" s="244"/>
      <c r="H77" s="245"/>
      <c r="I77" s="221"/>
      <c r="J77" s="221"/>
      <c r="K77" s="221"/>
      <c r="L77" s="221"/>
      <c r="M77" s="221"/>
      <c r="N77" s="221"/>
      <c r="O77" s="221"/>
      <c r="P77" s="221"/>
      <c r="Q77" s="221"/>
      <c r="R77" s="221"/>
      <c r="S77" s="221"/>
      <c r="T77" s="221"/>
      <c r="U77" s="221"/>
      <c r="V77" s="221"/>
      <c r="W77" s="221"/>
      <c r="X77" s="221"/>
      <c r="Y77" s="221"/>
      <c r="Z77" s="221"/>
      <c r="AA77" s="221"/>
      <c r="AB77" s="221"/>
      <c r="AC77" s="221"/>
      <c r="AD77" s="221"/>
      <c r="AE77" s="221"/>
      <c r="AF77" s="221"/>
      <c r="AG77" s="221"/>
      <c r="AH77" s="221"/>
      <c r="AI77" s="221"/>
      <c r="AJ77" s="221"/>
    </row>
    <row r="78" spans="2:36" s="1" customFormat="1" ht="15.75" x14ac:dyDescent="0.25">
      <c r="B78" s="220" t="s">
        <v>88</v>
      </c>
      <c r="C78" s="220"/>
      <c r="D78" s="220"/>
      <c r="E78" s="221"/>
      <c r="F78" s="221"/>
      <c r="G78" s="221"/>
      <c r="H78" s="221"/>
      <c r="I78" s="221"/>
      <c r="J78" s="221"/>
      <c r="K78" s="221"/>
      <c r="L78" s="221"/>
      <c r="M78" s="221"/>
      <c r="N78" s="221"/>
      <c r="O78" s="221"/>
      <c r="P78" s="221"/>
      <c r="Q78" s="221"/>
      <c r="R78" s="221"/>
      <c r="S78" s="221"/>
      <c r="T78" s="221"/>
      <c r="U78" s="221"/>
      <c r="V78" s="221"/>
      <c r="W78" s="221"/>
      <c r="X78" s="221"/>
      <c r="Y78" s="221"/>
      <c r="Z78" s="221"/>
      <c r="AA78" s="221"/>
      <c r="AB78" s="221"/>
      <c r="AC78" s="221"/>
      <c r="AD78" s="221"/>
      <c r="AE78" s="221"/>
      <c r="AF78" s="221"/>
      <c r="AG78" s="221"/>
      <c r="AH78" s="221"/>
      <c r="AI78" s="221"/>
      <c r="AJ78" s="221"/>
    </row>
    <row r="79" spans="2:36" s="1" customFormat="1" ht="15.75" x14ac:dyDescent="0.25">
      <c r="B79" s="246" t="s">
        <v>90</v>
      </c>
      <c r="C79" s="246"/>
      <c r="D79" s="246"/>
      <c r="E79" s="247"/>
      <c r="F79" s="248"/>
      <c r="G79" s="249"/>
      <c r="H79" s="249"/>
      <c r="I79" s="249"/>
      <c r="J79" s="249"/>
      <c r="K79" s="249"/>
      <c r="L79" s="249"/>
      <c r="M79" s="249"/>
      <c r="N79" s="249"/>
      <c r="O79" s="249"/>
      <c r="P79" s="249"/>
      <c r="Q79" s="249"/>
      <c r="R79" s="249"/>
      <c r="S79" s="249"/>
      <c r="T79" s="249"/>
      <c r="U79" s="249"/>
      <c r="V79" s="249"/>
      <c r="W79" s="249"/>
      <c r="X79" s="249"/>
      <c r="Y79" s="249"/>
      <c r="Z79" s="249"/>
      <c r="AA79" s="249"/>
      <c r="AB79" s="249"/>
      <c r="AC79" s="249"/>
      <c r="AD79" s="249"/>
      <c r="AE79" s="249"/>
      <c r="AF79" s="249"/>
      <c r="AG79" s="249"/>
      <c r="AH79" s="249"/>
      <c r="AI79" s="249"/>
      <c r="AJ79" s="249"/>
    </row>
    <row r="80" spans="2:36" s="1" customFormat="1" x14ac:dyDescent="0.2">
      <c r="B80" s="247" t="s">
        <v>91</v>
      </c>
      <c r="C80" s="247"/>
      <c r="D80" s="247"/>
      <c r="E80" s="247"/>
      <c r="F80" s="248">
        <f>IF(Inputs!$G$18="Simple",Inputs!$G$26-Inputs!$G$69,IF(Inputs!$G$18="Intermediate",SUM(Inputs!G20:G23)-Inputs!G69,'Complex Inputs'!C26+'Complex Inputs'!C51+'Complex Inputs'!C76+'Complex Inputs'!C101))</f>
        <v>5493500</v>
      </c>
      <c r="G80" s="249"/>
      <c r="H80" s="249"/>
      <c r="I80" s="249"/>
      <c r="J80" s="249"/>
      <c r="K80" s="249"/>
      <c r="L80" s="249"/>
      <c r="M80" s="249"/>
      <c r="N80" s="249"/>
      <c r="O80" s="249"/>
      <c r="P80" s="249"/>
      <c r="Q80" s="249"/>
      <c r="R80" s="249"/>
      <c r="S80" s="249"/>
      <c r="T80" s="249"/>
      <c r="U80" s="249"/>
      <c r="V80" s="249"/>
      <c r="W80" s="249"/>
      <c r="X80" s="249"/>
      <c r="Y80" s="249"/>
      <c r="Z80" s="249"/>
      <c r="AA80" s="249"/>
      <c r="AB80" s="249"/>
      <c r="AC80" s="249"/>
      <c r="AD80" s="249"/>
      <c r="AE80" s="249"/>
      <c r="AF80" s="249"/>
      <c r="AG80" s="249"/>
      <c r="AH80" s="249"/>
      <c r="AI80" s="249"/>
      <c r="AJ80" s="249"/>
    </row>
    <row r="81" spans="2:36" s="1" customFormat="1" x14ac:dyDescent="0.2">
      <c r="B81" s="247" t="s">
        <v>92</v>
      </c>
      <c r="C81" s="247"/>
      <c r="D81" s="247"/>
      <c r="E81" s="247"/>
      <c r="F81" s="250">
        <f>Inputs!$G$51</f>
        <v>0.45</v>
      </c>
      <c r="G81" s="249"/>
      <c r="H81" s="249"/>
      <c r="I81" s="249"/>
      <c r="J81" s="249"/>
      <c r="K81" s="249"/>
      <c r="L81" s="249"/>
      <c r="M81" s="249"/>
      <c r="N81" s="249"/>
      <c r="O81" s="249"/>
      <c r="P81" s="249"/>
      <c r="Q81" s="249"/>
      <c r="R81" s="249"/>
      <c r="S81" s="249"/>
      <c r="T81" s="249"/>
      <c r="U81" s="249"/>
      <c r="V81" s="249"/>
      <c r="W81" s="249"/>
      <c r="X81" s="249"/>
      <c r="Y81" s="249"/>
      <c r="Z81" s="249"/>
      <c r="AA81" s="249"/>
      <c r="AB81" s="249"/>
      <c r="AC81" s="249"/>
      <c r="AD81" s="249"/>
      <c r="AE81" s="249"/>
      <c r="AF81" s="249"/>
      <c r="AG81" s="249"/>
      <c r="AH81" s="249"/>
      <c r="AI81" s="249"/>
      <c r="AJ81" s="249"/>
    </row>
    <row r="82" spans="2:36" s="1" customFormat="1" x14ac:dyDescent="0.2">
      <c r="B82" s="247" t="s">
        <v>89</v>
      </c>
      <c r="C82" s="247"/>
      <c r="D82" s="247"/>
      <c r="E82" s="247"/>
      <c r="F82" s="251">
        <f>F80*F81</f>
        <v>2472075</v>
      </c>
      <c r="G82" s="249"/>
      <c r="H82" s="249"/>
      <c r="I82" s="249"/>
      <c r="J82" s="249"/>
      <c r="K82" s="249"/>
      <c r="L82" s="249"/>
      <c r="M82" s="249"/>
      <c r="N82" s="249"/>
      <c r="O82" s="249"/>
      <c r="P82" s="249"/>
      <c r="Q82" s="249"/>
      <c r="R82" s="249"/>
      <c r="S82" s="249"/>
      <c r="T82" s="249"/>
      <c r="U82" s="249"/>
      <c r="V82" s="249"/>
      <c r="W82" s="249"/>
      <c r="X82" s="249"/>
      <c r="Y82" s="249"/>
      <c r="Z82" s="249"/>
      <c r="AA82" s="249"/>
      <c r="AB82" s="249"/>
      <c r="AC82" s="249"/>
      <c r="AD82" s="249"/>
      <c r="AE82" s="249"/>
      <c r="AF82" s="249"/>
      <c r="AG82" s="249"/>
      <c r="AH82" s="249"/>
      <c r="AI82" s="249"/>
      <c r="AJ82" s="249"/>
    </row>
    <row r="83" spans="2:36" s="1" customFormat="1" x14ac:dyDescent="0.2">
      <c r="B83" s="252"/>
      <c r="C83" s="252"/>
      <c r="D83" s="252"/>
      <c r="E83" s="252"/>
      <c r="F83" s="253"/>
      <c r="G83" s="249"/>
      <c r="H83" s="249"/>
      <c r="I83" s="249"/>
      <c r="J83" s="249"/>
      <c r="K83" s="249"/>
      <c r="L83" s="249"/>
      <c r="M83" s="249"/>
      <c r="N83" s="249"/>
      <c r="O83" s="249"/>
      <c r="P83" s="249"/>
      <c r="Q83" s="249"/>
      <c r="R83" s="249"/>
      <c r="S83" s="249"/>
      <c r="T83" s="249"/>
      <c r="U83" s="249"/>
      <c r="V83" s="249"/>
      <c r="W83" s="249"/>
      <c r="X83" s="249"/>
      <c r="Y83" s="249"/>
      <c r="Z83" s="249"/>
      <c r="AA83" s="249"/>
      <c r="AB83" s="249"/>
      <c r="AC83" s="249"/>
      <c r="AD83" s="249"/>
      <c r="AE83" s="249"/>
      <c r="AF83" s="249"/>
      <c r="AG83" s="249"/>
      <c r="AH83" s="249"/>
      <c r="AI83" s="249"/>
      <c r="AJ83" s="249"/>
    </row>
    <row r="84" spans="2:36" s="1" customFormat="1" ht="15.75" x14ac:dyDescent="0.25">
      <c r="B84" s="246" t="s">
        <v>127</v>
      </c>
      <c r="C84" s="246"/>
      <c r="D84" s="246"/>
      <c r="E84" s="246"/>
      <c r="F84" s="253"/>
      <c r="G84" s="249"/>
      <c r="H84" s="249"/>
      <c r="I84" s="249"/>
      <c r="J84" s="249"/>
      <c r="K84" s="249"/>
      <c r="L84" s="249"/>
      <c r="M84" s="249"/>
      <c r="N84" s="249"/>
      <c r="O84" s="249"/>
      <c r="P84" s="249"/>
      <c r="Q84" s="249"/>
      <c r="R84" s="249"/>
      <c r="S84" s="249"/>
      <c r="T84" s="249"/>
      <c r="U84" s="249"/>
      <c r="V84" s="249"/>
      <c r="W84" s="249"/>
      <c r="X84" s="249"/>
      <c r="Y84" s="249"/>
      <c r="Z84" s="249"/>
      <c r="AA84" s="249"/>
      <c r="AB84" s="249"/>
      <c r="AC84" s="249"/>
      <c r="AD84" s="249"/>
      <c r="AE84" s="249"/>
      <c r="AF84" s="249"/>
      <c r="AG84" s="249"/>
      <c r="AH84" s="249"/>
      <c r="AI84" s="249"/>
      <c r="AJ84" s="249"/>
    </row>
    <row r="85" spans="2:36" s="1" customFormat="1" ht="15.75" x14ac:dyDescent="0.25">
      <c r="B85" s="254" t="s">
        <v>98</v>
      </c>
      <c r="C85" s="254"/>
      <c r="D85" s="254"/>
      <c r="E85" s="254"/>
      <c r="F85" s="255">
        <v>0</v>
      </c>
      <c r="G85" s="256">
        <f>SUM(G86:G87)</f>
        <v>-245755.40724459523</v>
      </c>
      <c r="H85" s="256">
        <f t="shared" ref="H85:AJ85" si="21">SUM(H86:H87)</f>
        <v>-245755.40724459523</v>
      </c>
      <c r="I85" s="256">
        <f t="shared" si="21"/>
        <v>-245755.40724459523</v>
      </c>
      <c r="J85" s="256">
        <f t="shared" si="21"/>
        <v>-245755.4072445952</v>
      </c>
      <c r="K85" s="256">
        <f t="shared" si="21"/>
        <v>-245755.40724459523</v>
      </c>
      <c r="L85" s="256">
        <f t="shared" si="21"/>
        <v>-245755.40724459523</v>
      </c>
      <c r="M85" s="256">
        <f t="shared" si="21"/>
        <v>-245755.40724459526</v>
      </c>
      <c r="N85" s="256">
        <f t="shared" si="21"/>
        <v>-245755.4072445952</v>
      </c>
      <c r="O85" s="256">
        <f t="shared" si="21"/>
        <v>-245755.4072445952</v>
      </c>
      <c r="P85" s="256">
        <f t="shared" si="21"/>
        <v>-245755.40724459523</v>
      </c>
      <c r="Q85" s="256">
        <f t="shared" si="21"/>
        <v>-245755.40724459523</v>
      </c>
      <c r="R85" s="256">
        <f t="shared" si="21"/>
        <v>-245755.40724459523</v>
      </c>
      <c r="S85" s="256">
        <f t="shared" si="21"/>
        <v>-245755.40724459523</v>
      </c>
      <c r="T85" s="256">
        <f t="shared" si="21"/>
        <v>-245755.40724459523</v>
      </c>
      <c r="U85" s="256">
        <f t="shared" si="21"/>
        <v>-245755.40724459523</v>
      </c>
      <c r="V85" s="256">
        <f t="shared" si="21"/>
        <v>-245755.40724459523</v>
      </c>
      <c r="W85" s="256">
        <f t="shared" si="21"/>
        <v>-245755.40724459523</v>
      </c>
      <c r="X85" s="256">
        <f t="shared" si="21"/>
        <v>-245755.40724459523</v>
      </c>
      <c r="Y85" s="256">
        <f t="shared" si="21"/>
        <v>0</v>
      </c>
      <c r="Z85" s="256">
        <f t="shared" si="21"/>
        <v>0</v>
      </c>
      <c r="AA85" s="256">
        <f t="shared" si="21"/>
        <v>0</v>
      </c>
      <c r="AB85" s="256">
        <f t="shared" si="21"/>
        <v>0</v>
      </c>
      <c r="AC85" s="256">
        <f t="shared" si="21"/>
        <v>0</v>
      </c>
      <c r="AD85" s="256">
        <f t="shared" si="21"/>
        <v>0</v>
      </c>
      <c r="AE85" s="256">
        <f t="shared" si="21"/>
        <v>0</v>
      </c>
      <c r="AF85" s="256">
        <f t="shared" si="21"/>
        <v>0</v>
      </c>
      <c r="AG85" s="256">
        <f t="shared" si="21"/>
        <v>0</v>
      </c>
      <c r="AH85" s="256">
        <f t="shared" si="21"/>
        <v>0</v>
      </c>
      <c r="AI85" s="256">
        <f t="shared" si="21"/>
        <v>0</v>
      </c>
      <c r="AJ85" s="256">
        <f t="shared" si="21"/>
        <v>0</v>
      </c>
    </row>
    <row r="86" spans="2:36" s="1" customFormat="1" ht="15.75" x14ac:dyDescent="0.25">
      <c r="B86" s="254" t="s">
        <v>96</v>
      </c>
      <c r="C86" s="254"/>
      <c r="D86" s="254"/>
      <c r="E86" s="254"/>
      <c r="F86" s="255">
        <v>0</v>
      </c>
      <c r="G86" s="256">
        <f>IF(G$2&gt;Inputs!$G$52,0,IPMT(Inputs!$G$53,G$2,Inputs!$G$52,$F$82))</f>
        <v>-173045.25000000003</v>
      </c>
      <c r="H86" s="256">
        <f>IF(H$2&gt;Inputs!$G$52,0,IPMT(Inputs!$G$53,H$2,Inputs!$G$52,$F$82))</f>
        <v>-167955.53899287834</v>
      </c>
      <c r="I86" s="256">
        <f>IF(I$2&gt;Inputs!$G$52,0,IPMT(Inputs!$G$53,I$2,Inputs!$G$52,$F$82))</f>
        <v>-162509.54821525814</v>
      </c>
      <c r="J86" s="256">
        <f>IF(J$2&gt;Inputs!$G$52,0,IPMT(Inputs!$G$53,J$2,Inputs!$G$52,$F$82))</f>
        <v>-156682.33808320452</v>
      </c>
      <c r="K86" s="256">
        <f>IF(K$2&gt;Inputs!$G$52,0,IPMT(Inputs!$G$53,K$2,Inputs!$G$52,$F$82))</f>
        <v>-150447.22324190722</v>
      </c>
      <c r="L86" s="256">
        <f>IF(L$2&gt;Inputs!$G$52,0,IPMT(Inputs!$G$53,L$2,Inputs!$G$52,$F$82))</f>
        <v>-143775.65036171905</v>
      </c>
      <c r="M86" s="256">
        <f>IF(M$2&gt;Inputs!$G$52,0,IPMT(Inputs!$G$53,M$2,Inputs!$G$52,$F$82))</f>
        <v>-136637.06737991775</v>
      </c>
      <c r="N86" s="256">
        <f>IF(N$2&gt;Inputs!$G$52,0,IPMT(Inputs!$G$53,N$2,Inputs!$G$52,$F$82))</f>
        <v>-128998.78358939025</v>
      </c>
      <c r="O86" s="256">
        <f>IF(O$2&gt;Inputs!$G$52,0,IPMT(Inputs!$G$53,O$2,Inputs!$G$52,$F$82))</f>
        <v>-120825.81993352593</v>
      </c>
      <c r="P86" s="256">
        <f>IF(P$2&gt;Inputs!$G$52,0,IPMT(Inputs!$G$53,P$2,Inputs!$G$52,$F$82))</f>
        <v>-112080.7488217511</v>
      </c>
      <c r="Q86" s="256">
        <f>IF(Q$2&gt;Inputs!$G$52,0,IPMT(Inputs!$G$53,Q$2,Inputs!$G$52,$F$82))</f>
        <v>-102723.52273215201</v>
      </c>
      <c r="R86" s="256">
        <f>IF(R$2&gt;Inputs!$G$52,0,IPMT(Inputs!$G$53,R$2,Inputs!$G$52,$F$82))</f>
        <v>-92711.290816280962</v>
      </c>
      <c r="S86" s="256">
        <f>IF(S$2&gt;Inputs!$G$52,0,IPMT(Inputs!$G$53,S$2,Inputs!$G$52,$F$82))</f>
        <v>-81998.202666298981</v>
      </c>
      <c r="T86" s="256">
        <f>IF(T$2&gt;Inputs!$G$52,0,IPMT(Inputs!$G$53,T$2,Inputs!$G$52,$F$82))</f>
        <v>-70535.198345818222</v>
      </c>
      <c r="U86" s="256">
        <f>IF(U$2&gt;Inputs!$G$52,0,IPMT(Inputs!$G$53,U$2,Inputs!$G$52,$F$82))</f>
        <v>-58269.783722903834</v>
      </c>
      <c r="V86" s="256">
        <f>IF(V$2&gt;Inputs!$G$52,0,IPMT(Inputs!$G$53,V$2,Inputs!$G$52,$F$82))</f>
        <v>-45145.790076385441</v>
      </c>
      <c r="W86" s="256">
        <f>IF(W$2&gt;Inputs!$G$52,0,IPMT(Inputs!$G$53,W$2,Inputs!$G$52,$F$82))</f>
        <v>-31103.116874610754</v>
      </c>
      <c r="X86" s="256">
        <f>IF(X$2&gt;Inputs!$G$52,0,IPMT(Inputs!$G$53,X$2,Inputs!$G$52,$F$82))</f>
        <v>-16077.45654871184</v>
      </c>
      <c r="Y86" s="256">
        <f>IF(Y$2&gt;Inputs!$G$52,0,IPMT(Inputs!$G$53,Y$2,Inputs!$G$52,$F$82))</f>
        <v>0</v>
      </c>
      <c r="Z86" s="256">
        <f>IF(Z$2&gt;Inputs!$G$52,0,IPMT(Inputs!$G$53,Z$2,Inputs!$G$52,$F$82))</f>
        <v>0</v>
      </c>
      <c r="AA86" s="256">
        <f>IF(AA$2&gt;Inputs!$G$52,0,IPMT(Inputs!$G$53,AA$2,Inputs!$G$52,$F$82))</f>
        <v>0</v>
      </c>
      <c r="AB86" s="256">
        <f>IF(AB$2&gt;Inputs!$G$52,0,IPMT(Inputs!$G$53,AB$2,Inputs!$G$52,$F$82))</f>
        <v>0</v>
      </c>
      <c r="AC86" s="256">
        <f>IF(AC$2&gt;Inputs!$G$52,0,IPMT(Inputs!$G$53,AC$2,Inputs!$G$52,$F$82))</f>
        <v>0</v>
      </c>
      <c r="AD86" s="256">
        <f>IF(AD$2&gt;Inputs!$G$52,0,IPMT(Inputs!$G$53,AD$2,Inputs!$G$52,$F$82))</f>
        <v>0</v>
      </c>
      <c r="AE86" s="256">
        <f>IF(AE$2&gt;Inputs!$G$52,0,IPMT(Inputs!$G$53,AE$2,Inputs!$G$52,$F$82))</f>
        <v>0</v>
      </c>
      <c r="AF86" s="256">
        <f>IF(AF$2&gt;Inputs!$G$52,0,IPMT(Inputs!$G$53,AF$2,Inputs!$G$52,$F$82))</f>
        <v>0</v>
      </c>
      <c r="AG86" s="256">
        <f>IF(AG$2&gt;Inputs!$G$52,0,IPMT(Inputs!$G$53,AG$2,Inputs!$G$52,$F$82))</f>
        <v>0</v>
      </c>
      <c r="AH86" s="256">
        <f>IF(AH$2&gt;Inputs!$G$52,0,IPMT(Inputs!$G$53,AH$2,Inputs!$G$52,$F$82))</f>
        <v>0</v>
      </c>
      <c r="AI86" s="256">
        <f>IF(AI$2&gt;Inputs!$G$52,0,IPMT(Inputs!$G$53,AI$2,Inputs!$G$52,$F$82))</f>
        <v>0</v>
      </c>
      <c r="AJ86" s="256">
        <f>IF(AJ$2&gt;Inputs!$G$52,0,IPMT(Inputs!$G$53,AJ$2,Inputs!$G$52,$F$82))</f>
        <v>0</v>
      </c>
    </row>
    <row r="87" spans="2:36" s="1" customFormat="1" x14ac:dyDescent="0.2">
      <c r="B87" s="254" t="s">
        <v>97</v>
      </c>
      <c r="C87" s="254"/>
      <c r="D87" s="254"/>
      <c r="E87" s="254"/>
      <c r="F87" s="248">
        <f>MIN(MAX(0,F85-F86),F$90)</f>
        <v>0</v>
      </c>
      <c r="G87" s="256">
        <f>IF(G$2&gt;Inputs!$G$52,0,PPMT(Inputs!$G$53,G$2,Inputs!$G$52,$F$82))</f>
        <v>-72710.157244595219</v>
      </c>
      <c r="H87" s="256">
        <f>IF(H$2&gt;Inputs!$G$52,0,PPMT(Inputs!$G$53,H$2,Inputs!$G$52,$F$82))</f>
        <v>-77799.868251716893</v>
      </c>
      <c r="I87" s="256">
        <f>IF(I$2&gt;Inputs!$G$52,0,PPMT(Inputs!$G$53,I$2,Inputs!$G$52,$F$82))</f>
        <v>-83245.85902933708</v>
      </c>
      <c r="J87" s="256">
        <f>IF(J$2&gt;Inputs!$G$52,0,PPMT(Inputs!$G$53,J$2,Inputs!$G$52,$F$82))</f>
        <v>-89073.069161390682</v>
      </c>
      <c r="K87" s="256">
        <f>IF(K$2&gt;Inputs!$G$52,0,PPMT(Inputs!$G$53,K$2,Inputs!$G$52,$F$82))</f>
        <v>-95308.184002688024</v>
      </c>
      <c r="L87" s="256">
        <f>IF(L$2&gt;Inputs!$G$52,0,PPMT(Inputs!$G$53,L$2,Inputs!$G$52,$F$82))</f>
        <v>-101979.75688287617</v>
      </c>
      <c r="M87" s="256">
        <f>IF(M$2&gt;Inputs!$G$52,0,PPMT(Inputs!$G$53,M$2,Inputs!$G$52,$F$82))</f>
        <v>-109118.33986467752</v>
      </c>
      <c r="N87" s="256">
        <f>IF(N$2&gt;Inputs!$G$52,0,PPMT(Inputs!$G$53,N$2,Inputs!$G$52,$F$82))</f>
        <v>-116756.62365520495</v>
      </c>
      <c r="O87" s="256">
        <f>IF(O$2&gt;Inputs!$G$52,0,PPMT(Inputs!$G$53,O$2,Inputs!$G$52,$F$82))</f>
        <v>-124929.58731106928</v>
      </c>
      <c r="P87" s="256">
        <f>IF(P$2&gt;Inputs!$G$52,0,PPMT(Inputs!$G$53,P$2,Inputs!$G$52,$F$82))</f>
        <v>-133674.65842284414</v>
      </c>
      <c r="Q87" s="256">
        <f>IF(Q$2&gt;Inputs!$G$52,0,PPMT(Inputs!$G$53,Q$2,Inputs!$G$52,$F$82))</f>
        <v>-143031.88451244324</v>
      </c>
      <c r="R87" s="256">
        <f>IF(R$2&gt;Inputs!$G$52,0,PPMT(Inputs!$G$53,R$2,Inputs!$G$52,$F$82))</f>
        <v>-153044.11642831427</v>
      </c>
      <c r="S87" s="256">
        <f>IF(S$2&gt;Inputs!$G$52,0,PPMT(Inputs!$G$53,S$2,Inputs!$G$52,$F$82))</f>
        <v>-163757.20457829625</v>
      </c>
      <c r="T87" s="256">
        <f>IF(T$2&gt;Inputs!$G$52,0,PPMT(Inputs!$G$53,T$2,Inputs!$G$52,$F$82))</f>
        <v>-175220.208898777</v>
      </c>
      <c r="U87" s="256">
        <f>IF(U$2&gt;Inputs!$G$52,0,PPMT(Inputs!$G$53,U$2,Inputs!$G$52,$F$82))</f>
        <v>-187485.62352169139</v>
      </c>
      <c r="V87" s="256">
        <f>IF(V$2&gt;Inputs!$G$52,0,PPMT(Inputs!$G$53,V$2,Inputs!$G$52,$F$82))</f>
        <v>-200609.61716820978</v>
      </c>
      <c r="W87" s="256">
        <f>IF(W$2&gt;Inputs!$G$52,0,PPMT(Inputs!$G$53,W$2,Inputs!$G$52,$F$82))</f>
        <v>-214652.29036998449</v>
      </c>
      <c r="X87" s="256">
        <f>IF(X$2&gt;Inputs!$G$52,0,PPMT(Inputs!$G$53,X$2,Inputs!$G$52,$F$82))</f>
        <v>-229677.9506958834</v>
      </c>
      <c r="Y87" s="256">
        <f>IF(Y$2&gt;Inputs!$G$52,0,PPMT(Inputs!$G$53,Y$2,Inputs!$G$52,$F$82))</f>
        <v>0</v>
      </c>
      <c r="Z87" s="256">
        <f>IF(Z$2&gt;Inputs!$G$52,0,PPMT(Inputs!$G$53,Z$2,Inputs!$G$52,$F$82))</f>
        <v>0</v>
      </c>
      <c r="AA87" s="256">
        <f>IF(AA$2&gt;Inputs!$G$52,0,PPMT(Inputs!$G$53,AA$2,Inputs!$G$52,$F$82))</f>
        <v>0</v>
      </c>
      <c r="AB87" s="256">
        <f>IF(AB$2&gt;Inputs!$G$52,0,PPMT(Inputs!$G$53,AB$2,Inputs!$G$52,$F$82))</f>
        <v>0</v>
      </c>
      <c r="AC87" s="256">
        <f>IF(AC$2&gt;Inputs!$G$52,0,PPMT(Inputs!$G$53,AC$2,Inputs!$G$52,$F$82))</f>
        <v>0</v>
      </c>
      <c r="AD87" s="256">
        <f>IF(AD$2&gt;Inputs!$G$52,0,PPMT(Inputs!$G$53,AD$2,Inputs!$G$52,$F$82))</f>
        <v>0</v>
      </c>
      <c r="AE87" s="256">
        <f>IF(AE$2&gt;Inputs!$G$52,0,PPMT(Inputs!$G$53,AE$2,Inputs!$G$52,$F$82))</f>
        <v>0</v>
      </c>
      <c r="AF87" s="256">
        <f>IF(AF$2&gt;Inputs!$G$52,0,PPMT(Inputs!$G$53,AF$2,Inputs!$G$52,$F$82))</f>
        <v>0</v>
      </c>
      <c r="AG87" s="256">
        <f>IF(AG$2&gt;Inputs!$G$52,0,PPMT(Inputs!$G$53,AG$2,Inputs!$G$52,$F$82))</f>
        <v>0</v>
      </c>
      <c r="AH87" s="256">
        <f>IF(AH$2&gt;Inputs!$G$52,0,PPMT(Inputs!$G$53,AH$2,Inputs!$G$52,$F$82))</f>
        <v>0</v>
      </c>
      <c r="AI87" s="256">
        <f>IF(AI$2&gt;Inputs!$G$52,0,PPMT(Inputs!$G$53,AI$2,Inputs!$G$52,$F$82))</f>
        <v>0</v>
      </c>
      <c r="AJ87" s="256">
        <f>IF(AJ$2&gt;Inputs!$G$52,0,PPMT(Inputs!$G$53,AJ$2,Inputs!$G$52,$F$82))</f>
        <v>0</v>
      </c>
    </row>
    <row r="88" spans="2:36" s="1" customFormat="1" ht="15.75" x14ac:dyDescent="0.25">
      <c r="B88" s="246"/>
      <c r="C88" s="246"/>
      <c r="D88" s="246"/>
      <c r="E88" s="246"/>
      <c r="F88" s="253"/>
      <c r="G88" s="249"/>
      <c r="H88" s="249"/>
      <c r="I88" s="249"/>
      <c r="J88" s="249"/>
      <c r="K88" s="249"/>
      <c r="L88" s="249"/>
      <c r="M88" s="249"/>
      <c r="N88" s="249"/>
      <c r="O88" s="249"/>
      <c r="P88" s="249"/>
      <c r="Q88" s="249"/>
      <c r="R88" s="249"/>
      <c r="S88" s="249"/>
      <c r="T88" s="249"/>
      <c r="U88" s="249"/>
      <c r="V88" s="249"/>
      <c r="W88" s="249"/>
      <c r="X88" s="249"/>
      <c r="Y88" s="249"/>
      <c r="Z88" s="249"/>
      <c r="AA88" s="249"/>
      <c r="AB88" s="249"/>
      <c r="AC88" s="249"/>
      <c r="AD88" s="249"/>
      <c r="AE88" s="249"/>
      <c r="AF88" s="249"/>
      <c r="AG88" s="249"/>
      <c r="AH88" s="249"/>
      <c r="AI88" s="249"/>
      <c r="AJ88" s="249"/>
    </row>
    <row r="89" spans="2:36" s="1" customFormat="1" ht="15.75" x14ac:dyDescent="0.25">
      <c r="B89" s="246" t="s">
        <v>126</v>
      </c>
      <c r="C89" s="246"/>
      <c r="D89" s="246"/>
      <c r="E89" s="247"/>
      <c r="F89" s="257"/>
      <c r="G89" s="257"/>
      <c r="H89" s="257"/>
      <c r="I89" s="257"/>
      <c r="J89" s="257"/>
      <c r="K89" s="257"/>
      <c r="L89" s="257"/>
      <c r="M89" s="257"/>
      <c r="N89" s="257"/>
      <c r="O89" s="257"/>
      <c r="P89" s="257"/>
      <c r="Q89" s="257"/>
      <c r="R89" s="257"/>
      <c r="S89" s="257"/>
      <c r="T89" s="257"/>
      <c r="U89" s="257"/>
      <c r="V89" s="257"/>
      <c r="W89" s="257"/>
      <c r="X89" s="257"/>
      <c r="Y89" s="257"/>
      <c r="Z89" s="257"/>
      <c r="AA89" s="257"/>
      <c r="AB89" s="257"/>
      <c r="AC89" s="257"/>
      <c r="AD89" s="257"/>
      <c r="AE89" s="257"/>
      <c r="AF89" s="257"/>
      <c r="AG89" s="257"/>
      <c r="AH89" s="257"/>
      <c r="AI89" s="257"/>
      <c r="AJ89" s="257"/>
    </row>
    <row r="90" spans="2:36" s="1" customFormat="1" ht="15.75" x14ac:dyDescent="0.25">
      <c r="B90" s="254" t="s">
        <v>93</v>
      </c>
      <c r="C90" s="254"/>
      <c r="D90" s="254"/>
      <c r="E90" s="254"/>
      <c r="F90" s="255">
        <v>0</v>
      </c>
      <c r="G90" s="248">
        <f t="shared" ref="G90:AJ90" si="22">F93</f>
        <v>2472075</v>
      </c>
      <c r="H90" s="248">
        <f t="shared" si="22"/>
        <v>2399364.8427554048</v>
      </c>
      <c r="I90" s="248">
        <f t="shared" si="22"/>
        <v>2321564.974503688</v>
      </c>
      <c r="J90" s="248">
        <f t="shared" si="22"/>
        <v>2238319.1154743508</v>
      </c>
      <c r="K90" s="248">
        <f t="shared" si="22"/>
        <v>2149246.0463129599</v>
      </c>
      <c r="L90" s="248">
        <f t="shared" si="22"/>
        <v>2053937.8623102719</v>
      </c>
      <c r="M90" s="248">
        <f t="shared" si="22"/>
        <v>1951958.1054273958</v>
      </c>
      <c r="N90" s="248">
        <f t="shared" si="22"/>
        <v>1842839.7655627183</v>
      </c>
      <c r="O90" s="248">
        <f t="shared" si="22"/>
        <v>1726083.1419075134</v>
      </c>
      <c r="P90" s="248">
        <f t="shared" si="22"/>
        <v>1601153.5545964441</v>
      </c>
      <c r="Q90" s="248">
        <f t="shared" si="22"/>
        <v>1467478.8961736001</v>
      </c>
      <c r="R90" s="248">
        <f t="shared" si="22"/>
        <v>1324447.0116611568</v>
      </c>
      <c r="S90" s="248">
        <f t="shared" si="22"/>
        <v>1171402.8952328425</v>
      </c>
      <c r="T90" s="248">
        <f t="shared" si="22"/>
        <v>1007645.6906545463</v>
      </c>
      <c r="U90" s="248">
        <f t="shared" si="22"/>
        <v>832425.48175576923</v>
      </c>
      <c r="V90" s="248">
        <f t="shared" si="22"/>
        <v>644939.85823407781</v>
      </c>
      <c r="W90" s="248">
        <f t="shared" si="22"/>
        <v>444330.24106586806</v>
      </c>
      <c r="X90" s="248">
        <f t="shared" si="22"/>
        <v>229677.95069588357</v>
      </c>
      <c r="Y90" s="248">
        <f t="shared" si="22"/>
        <v>0</v>
      </c>
      <c r="Z90" s="248">
        <f t="shared" si="22"/>
        <v>0</v>
      </c>
      <c r="AA90" s="248">
        <f t="shared" si="22"/>
        <v>0</v>
      </c>
      <c r="AB90" s="248">
        <f t="shared" si="22"/>
        <v>0</v>
      </c>
      <c r="AC90" s="248">
        <f t="shared" si="22"/>
        <v>0</v>
      </c>
      <c r="AD90" s="248">
        <f t="shared" si="22"/>
        <v>0</v>
      </c>
      <c r="AE90" s="248">
        <f t="shared" si="22"/>
        <v>0</v>
      </c>
      <c r="AF90" s="248">
        <f t="shared" si="22"/>
        <v>0</v>
      </c>
      <c r="AG90" s="248">
        <f t="shared" si="22"/>
        <v>0</v>
      </c>
      <c r="AH90" s="248">
        <f t="shared" si="22"/>
        <v>0</v>
      </c>
      <c r="AI90" s="248">
        <f t="shared" si="22"/>
        <v>0</v>
      </c>
      <c r="AJ90" s="248">
        <f t="shared" si="22"/>
        <v>0</v>
      </c>
    </row>
    <row r="91" spans="2:36" s="1" customFormat="1" ht="15.75" x14ac:dyDescent="0.25">
      <c r="B91" s="254" t="s">
        <v>94</v>
      </c>
      <c r="C91" s="254"/>
      <c r="D91" s="254"/>
      <c r="E91" s="254"/>
      <c r="F91" s="248">
        <f>$F$82</f>
        <v>2472075</v>
      </c>
      <c r="G91" s="255">
        <v>0</v>
      </c>
      <c r="H91" s="255">
        <v>0</v>
      </c>
      <c r="I91" s="255">
        <v>0</v>
      </c>
      <c r="J91" s="255">
        <v>0</v>
      </c>
      <c r="K91" s="255">
        <v>0</v>
      </c>
      <c r="L91" s="255">
        <v>0</v>
      </c>
      <c r="M91" s="255">
        <v>0</v>
      </c>
      <c r="N91" s="255">
        <v>0</v>
      </c>
      <c r="O91" s="255">
        <v>0</v>
      </c>
      <c r="P91" s="255">
        <v>0</v>
      </c>
      <c r="Q91" s="255">
        <v>0</v>
      </c>
      <c r="R91" s="255">
        <v>0</v>
      </c>
      <c r="S91" s="255">
        <v>0</v>
      </c>
      <c r="T91" s="255">
        <v>0</v>
      </c>
      <c r="U91" s="255">
        <v>0</v>
      </c>
      <c r="V91" s="255">
        <v>0</v>
      </c>
      <c r="W91" s="255">
        <v>0</v>
      </c>
      <c r="X91" s="255">
        <v>0</v>
      </c>
      <c r="Y91" s="255">
        <v>0</v>
      </c>
      <c r="Z91" s="255">
        <v>0</v>
      </c>
      <c r="AA91" s="255">
        <v>0</v>
      </c>
      <c r="AB91" s="255">
        <v>0</v>
      </c>
      <c r="AC91" s="255">
        <v>0</v>
      </c>
      <c r="AD91" s="255">
        <v>0</v>
      </c>
      <c r="AE91" s="255">
        <v>0</v>
      </c>
      <c r="AF91" s="255">
        <v>0</v>
      </c>
      <c r="AG91" s="255">
        <v>0</v>
      </c>
      <c r="AH91" s="255">
        <v>0</v>
      </c>
      <c r="AI91" s="255">
        <v>0</v>
      </c>
      <c r="AJ91" s="255">
        <v>0</v>
      </c>
    </row>
    <row r="92" spans="2:36" s="1" customFormat="1" ht="15.75" x14ac:dyDescent="0.25">
      <c r="B92" s="254" t="s">
        <v>125</v>
      </c>
      <c r="C92" s="254"/>
      <c r="D92" s="254"/>
      <c r="E92" s="254"/>
      <c r="F92" s="258">
        <v>0</v>
      </c>
      <c r="G92" s="259">
        <f t="shared" ref="G92:AJ92" si="23">G87</f>
        <v>-72710.157244595219</v>
      </c>
      <c r="H92" s="259">
        <f t="shared" si="23"/>
        <v>-77799.868251716893</v>
      </c>
      <c r="I92" s="259">
        <f t="shared" si="23"/>
        <v>-83245.85902933708</v>
      </c>
      <c r="J92" s="259">
        <f t="shared" si="23"/>
        <v>-89073.069161390682</v>
      </c>
      <c r="K92" s="259">
        <f t="shared" si="23"/>
        <v>-95308.184002688024</v>
      </c>
      <c r="L92" s="259">
        <f t="shared" si="23"/>
        <v>-101979.75688287617</v>
      </c>
      <c r="M92" s="259">
        <f t="shared" si="23"/>
        <v>-109118.33986467752</v>
      </c>
      <c r="N92" s="259">
        <f t="shared" si="23"/>
        <v>-116756.62365520495</v>
      </c>
      <c r="O92" s="259">
        <f t="shared" si="23"/>
        <v>-124929.58731106928</v>
      </c>
      <c r="P92" s="259">
        <f t="shared" si="23"/>
        <v>-133674.65842284414</v>
      </c>
      <c r="Q92" s="259">
        <f t="shared" si="23"/>
        <v>-143031.88451244324</v>
      </c>
      <c r="R92" s="259">
        <f t="shared" si="23"/>
        <v>-153044.11642831427</v>
      </c>
      <c r="S92" s="259">
        <f t="shared" si="23"/>
        <v>-163757.20457829625</v>
      </c>
      <c r="T92" s="259">
        <f t="shared" si="23"/>
        <v>-175220.208898777</v>
      </c>
      <c r="U92" s="259">
        <f t="shared" si="23"/>
        <v>-187485.62352169139</v>
      </c>
      <c r="V92" s="259">
        <f t="shared" si="23"/>
        <v>-200609.61716820978</v>
      </c>
      <c r="W92" s="259">
        <f t="shared" si="23"/>
        <v>-214652.29036998449</v>
      </c>
      <c r="X92" s="259">
        <f t="shared" si="23"/>
        <v>-229677.9506958834</v>
      </c>
      <c r="Y92" s="259">
        <f t="shared" si="23"/>
        <v>0</v>
      </c>
      <c r="Z92" s="259">
        <f t="shared" si="23"/>
        <v>0</v>
      </c>
      <c r="AA92" s="259">
        <f t="shared" si="23"/>
        <v>0</v>
      </c>
      <c r="AB92" s="259">
        <f t="shared" si="23"/>
        <v>0</v>
      </c>
      <c r="AC92" s="259">
        <f t="shared" si="23"/>
        <v>0</v>
      </c>
      <c r="AD92" s="259">
        <f t="shared" si="23"/>
        <v>0</v>
      </c>
      <c r="AE92" s="259">
        <f t="shared" si="23"/>
        <v>0</v>
      </c>
      <c r="AF92" s="259">
        <f t="shared" si="23"/>
        <v>0</v>
      </c>
      <c r="AG92" s="259">
        <f t="shared" si="23"/>
        <v>0</v>
      </c>
      <c r="AH92" s="259">
        <f t="shared" si="23"/>
        <v>0</v>
      </c>
      <c r="AI92" s="259">
        <f t="shared" si="23"/>
        <v>0</v>
      </c>
      <c r="AJ92" s="259">
        <f t="shared" si="23"/>
        <v>0</v>
      </c>
    </row>
    <row r="93" spans="2:36" s="1" customFormat="1" x14ac:dyDescent="0.2">
      <c r="B93" s="254" t="s">
        <v>95</v>
      </c>
      <c r="C93" s="254"/>
      <c r="D93" s="254"/>
      <c r="E93" s="254"/>
      <c r="F93" s="248">
        <f t="shared" ref="F93:AJ93" si="24">SUM(F90:F92)</f>
        <v>2472075</v>
      </c>
      <c r="G93" s="248">
        <f t="shared" si="24"/>
        <v>2399364.8427554048</v>
      </c>
      <c r="H93" s="248">
        <f t="shared" si="24"/>
        <v>2321564.974503688</v>
      </c>
      <c r="I93" s="248">
        <f t="shared" si="24"/>
        <v>2238319.1154743508</v>
      </c>
      <c r="J93" s="248">
        <f t="shared" si="24"/>
        <v>2149246.0463129599</v>
      </c>
      <c r="K93" s="248">
        <f t="shared" si="24"/>
        <v>2053937.8623102719</v>
      </c>
      <c r="L93" s="248">
        <f t="shared" si="24"/>
        <v>1951958.1054273958</v>
      </c>
      <c r="M93" s="248">
        <f t="shared" si="24"/>
        <v>1842839.7655627183</v>
      </c>
      <c r="N93" s="248">
        <f t="shared" si="24"/>
        <v>1726083.1419075134</v>
      </c>
      <c r="O93" s="248">
        <f t="shared" si="24"/>
        <v>1601153.5545964441</v>
      </c>
      <c r="P93" s="248">
        <f t="shared" si="24"/>
        <v>1467478.8961736001</v>
      </c>
      <c r="Q93" s="248">
        <f t="shared" si="24"/>
        <v>1324447.0116611568</v>
      </c>
      <c r="R93" s="248">
        <f t="shared" si="24"/>
        <v>1171402.8952328425</v>
      </c>
      <c r="S93" s="248">
        <f t="shared" si="24"/>
        <v>1007645.6906545463</v>
      </c>
      <c r="T93" s="248">
        <f t="shared" si="24"/>
        <v>832425.48175576923</v>
      </c>
      <c r="U93" s="248">
        <f t="shared" si="24"/>
        <v>644939.85823407781</v>
      </c>
      <c r="V93" s="248">
        <f t="shared" si="24"/>
        <v>444330.24106586806</v>
      </c>
      <c r="W93" s="248">
        <f t="shared" si="24"/>
        <v>229677.95069588357</v>
      </c>
      <c r="X93" s="248">
        <f t="shared" si="24"/>
        <v>0</v>
      </c>
      <c r="Y93" s="248">
        <f t="shared" si="24"/>
        <v>0</v>
      </c>
      <c r="Z93" s="248">
        <f t="shared" si="24"/>
        <v>0</v>
      </c>
      <c r="AA93" s="248">
        <f t="shared" si="24"/>
        <v>0</v>
      </c>
      <c r="AB93" s="248">
        <f t="shared" si="24"/>
        <v>0</v>
      </c>
      <c r="AC93" s="248">
        <f t="shared" si="24"/>
        <v>0</v>
      </c>
      <c r="AD93" s="248">
        <f t="shared" si="24"/>
        <v>0</v>
      </c>
      <c r="AE93" s="248">
        <f t="shared" si="24"/>
        <v>0</v>
      </c>
      <c r="AF93" s="248">
        <f t="shared" si="24"/>
        <v>0</v>
      </c>
      <c r="AG93" s="248">
        <f t="shared" si="24"/>
        <v>0</v>
      </c>
      <c r="AH93" s="248">
        <f t="shared" si="24"/>
        <v>0</v>
      </c>
      <c r="AI93" s="248">
        <f t="shared" si="24"/>
        <v>0</v>
      </c>
      <c r="AJ93" s="248">
        <f t="shared" si="24"/>
        <v>0</v>
      </c>
    </row>
    <row r="94" spans="2:36" s="1" customFormat="1" ht="15.75" thickBot="1" x14ac:dyDescent="0.25">
      <c r="B94" s="241"/>
      <c r="C94" s="241"/>
      <c r="D94" s="241"/>
      <c r="E94" s="241"/>
      <c r="F94" s="241"/>
      <c r="G94" s="241"/>
      <c r="H94" s="241"/>
      <c r="I94" s="241"/>
      <c r="J94" s="241"/>
      <c r="K94" s="241"/>
      <c r="L94" s="241"/>
      <c r="M94" s="241"/>
      <c r="N94" s="241"/>
      <c r="O94" s="241"/>
      <c r="P94" s="241"/>
      <c r="Q94" s="241"/>
      <c r="R94" s="241"/>
      <c r="S94" s="241"/>
      <c r="T94" s="241"/>
      <c r="U94" s="241"/>
      <c r="V94" s="241"/>
      <c r="W94" s="241"/>
      <c r="X94" s="241"/>
      <c r="Y94" s="241"/>
      <c r="Z94" s="241"/>
      <c r="AA94" s="241"/>
      <c r="AB94" s="241"/>
      <c r="AC94" s="241"/>
      <c r="AD94" s="241"/>
      <c r="AE94" s="241"/>
      <c r="AF94" s="241"/>
      <c r="AG94" s="241"/>
      <c r="AH94" s="241"/>
      <c r="AI94" s="241"/>
      <c r="AJ94" s="241"/>
    </row>
    <row r="95" spans="2:36" x14ac:dyDescent="0.25">
      <c r="B95" s="260"/>
      <c r="C95" s="260"/>
      <c r="D95" s="260"/>
      <c r="E95" s="260"/>
      <c r="F95" s="260"/>
      <c r="G95" s="260"/>
      <c r="H95" s="260"/>
      <c r="I95" s="260"/>
      <c r="J95" s="260"/>
      <c r="K95" s="260"/>
      <c r="L95" s="260"/>
      <c r="M95" s="260"/>
      <c r="N95" s="260"/>
      <c r="O95" s="260"/>
      <c r="P95" s="260"/>
      <c r="Q95" s="260"/>
      <c r="R95" s="260"/>
      <c r="S95" s="260"/>
      <c r="T95" s="260"/>
      <c r="U95" s="260"/>
      <c r="V95" s="260"/>
      <c r="W95" s="260"/>
      <c r="X95" s="260"/>
      <c r="Y95" s="260"/>
      <c r="Z95" s="260"/>
      <c r="AA95" s="260"/>
      <c r="AB95" s="260"/>
      <c r="AC95" s="260"/>
      <c r="AD95" s="260"/>
      <c r="AE95" s="260"/>
      <c r="AF95" s="260"/>
      <c r="AG95" s="260"/>
      <c r="AH95" s="260"/>
      <c r="AI95" s="260"/>
      <c r="AJ95" s="260"/>
    </row>
    <row r="96" spans="2:36" s="1" customFormat="1" ht="15.75" x14ac:dyDescent="0.25">
      <c r="B96" s="220" t="s">
        <v>155</v>
      </c>
      <c r="C96" s="730" t="s">
        <v>358</v>
      </c>
      <c r="D96" s="730"/>
      <c r="E96" s="730"/>
      <c r="F96" s="221"/>
      <c r="G96" s="221"/>
      <c r="H96" s="221"/>
      <c r="I96" s="221"/>
      <c r="J96" s="221"/>
      <c r="K96" s="221"/>
      <c r="L96" s="221"/>
      <c r="M96" s="221"/>
      <c r="N96" s="221"/>
      <c r="O96" s="221"/>
      <c r="P96" s="221"/>
      <c r="Q96" s="221"/>
      <c r="R96" s="221"/>
      <c r="S96" s="221"/>
      <c r="T96" s="221"/>
      <c r="U96" s="221"/>
      <c r="V96" s="221"/>
      <c r="W96" s="221"/>
      <c r="X96" s="221"/>
      <c r="Y96" s="221"/>
      <c r="Z96" s="221"/>
      <c r="AA96" s="221"/>
      <c r="AB96" s="221"/>
      <c r="AC96" s="221"/>
      <c r="AD96" s="221"/>
      <c r="AE96" s="221"/>
      <c r="AF96" s="221"/>
      <c r="AG96" s="221"/>
      <c r="AH96" s="221"/>
      <c r="AI96" s="221"/>
      <c r="AJ96" s="221"/>
    </row>
    <row r="97" spans="2:36" s="1" customFormat="1" x14ac:dyDescent="0.2">
      <c r="B97" s="221" t="s">
        <v>131</v>
      </c>
      <c r="C97" s="222" t="s">
        <v>359</v>
      </c>
      <c r="D97" s="222" t="s">
        <v>365</v>
      </c>
      <c r="E97" s="222" t="s">
        <v>360</v>
      </c>
      <c r="F97" s="222">
        <v>0</v>
      </c>
      <c r="G97" s="222">
        <v>1</v>
      </c>
      <c r="H97" s="222">
        <v>2</v>
      </c>
      <c r="I97" s="222">
        <v>3</v>
      </c>
      <c r="J97" s="222">
        <v>4</v>
      </c>
      <c r="K97" s="222">
        <v>5</v>
      </c>
      <c r="L97" s="222">
        <v>6</v>
      </c>
      <c r="M97" s="222">
        <v>7</v>
      </c>
      <c r="N97" s="222">
        <v>8</v>
      </c>
      <c r="O97" s="222">
        <v>9</v>
      </c>
      <c r="P97" s="222">
        <v>10</v>
      </c>
      <c r="Q97" s="222">
        <v>11</v>
      </c>
      <c r="R97" s="222">
        <v>12</v>
      </c>
      <c r="S97" s="222">
        <v>13</v>
      </c>
      <c r="T97" s="222">
        <v>14</v>
      </c>
      <c r="U97" s="222">
        <v>15</v>
      </c>
      <c r="V97" s="222">
        <v>16</v>
      </c>
      <c r="W97" s="222">
        <v>17</v>
      </c>
      <c r="X97" s="222">
        <v>18</v>
      </c>
      <c r="Y97" s="222">
        <v>19</v>
      </c>
      <c r="Z97" s="222">
        <v>20</v>
      </c>
      <c r="AA97" s="222">
        <v>21</v>
      </c>
      <c r="AB97" s="222">
        <v>22</v>
      </c>
      <c r="AC97" s="222">
        <v>23</v>
      </c>
      <c r="AD97" s="222">
        <v>24</v>
      </c>
      <c r="AE97" s="222">
        <v>25</v>
      </c>
      <c r="AF97" s="222">
        <v>26</v>
      </c>
      <c r="AG97" s="222">
        <v>27</v>
      </c>
      <c r="AH97" s="222">
        <v>28</v>
      </c>
      <c r="AI97" s="222">
        <v>29</v>
      </c>
      <c r="AJ97" s="222">
        <v>30</v>
      </c>
    </row>
    <row r="98" spans="2:36" s="1" customFormat="1" ht="15.75" x14ac:dyDescent="0.25">
      <c r="B98" s="223" t="s">
        <v>132</v>
      </c>
      <c r="C98" s="224" t="s">
        <v>361</v>
      </c>
      <c r="D98" s="224" t="s">
        <v>140</v>
      </c>
      <c r="E98" s="224" t="s">
        <v>361</v>
      </c>
      <c r="F98" s="221"/>
      <c r="G98" s="221"/>
      <c r="H98" s="221"/>
      <c r="I98" s="221"/>
      <c r="J98" s="221"/>
      <c r="K98" s="221"/>
      <c r="L98" s="221"/>
      <c r="M98" s="221"/>
      <c r="N98" s="221"/>
      <c r="O98" s="221"/>
      <c r="P98" s="221"/>
      <c r="Q98" s="221"/>
      <c r="R98" s="221"/>
      <c r="S98" s="221"/>
      <c r="T98" s="221"/>
      <c r="U98" s="221"/>
      <c r="V98" s="221"/>
      <c r="W98" s="221"/>
      <c r="X98" s="221"/>
      <c r="Y98" s="221"/>
      <c r="Z98" s="221"/>
      <c r="AA98" s="221"/>
      <c r="AB98" s="221"/>
      <c r="AC98" s="221"/>
      <c r="AD98" s="221"/>
      <c r="AE98" s="221"/>
      <c r="AF98" s="221"/>
      <c r="AG98" s="221"/>
      <c r="AH98" s="221"/>
      <c r="AI98" s="221"/>
      <c r="AJ98" s="221"/>
    </row>
    <row r="99" spans="2:36" s="1" customFormat="1" ht="15.75" x14ac:dyDescent="0.25">
      <c r="B99" s="221" t="s">
        <v>81</v>
      </c>
      <c r="C99" s="225">
        <f>IF(Inputs!$G$18="Simple",Inputs!$G$26*Inputs!$P$73,IF(Inputs!$G$18="Intermediate",SUMPRODUCT(Inputs!$G$20:$G$24,Inputs!$P$74:$P$78),'Complex Inputs'!$F$121))</f>
        <v>3720000</v>
      </c>
      <c r="D99" s="460">
        <f t="shared" ref="D99:D106" si="25">C99/$C$110</f>
        <v>0.63626616897644017</v>
      </c>
      <c r="E99" s="225">
        <f>($C$110-$C$112)*IF(Inputs!$P$70="No",1,(1-Inputs!$P$71))*D99</f>
        <v>1860000</v>
      </c>
      <c r="F99" s="226"/>
      <c r="G99" s="227">
        <v>0.2</v>
      </c>
      <c r="H99" s="227">
        <v>0.32</v>
      </c>
      <c r="I99" s="227">
        <v>0.192</v>
      </c>
      <c r="J99" s="227">
        <v>0.1152</v>
      </c>
      <c r="K99" s="227">
        <v>0.1152</v>
      </c>
      <c r="L99" s="227">
        <v>5.7599999999999998E-2</v>
      </c>
      <c r="M99" s="227">
        <v>0</v>
      </c>
      <c r="N99" s="227">
        <v>0</v>
      </c>
      <c r="O99" s="227">
        <v>0</v>
      </c>
      <c r="P99" s="227">
        <v>0</v>
      </c>
      <c r="Q99" s="227">
        <v>0</v>
      </c>
      <c r="R99" s="227">
        <v>0</v>
      </c>
      <c r="S99" s="227">
        <v>0</v>
      </c>
      <c r="T99" s="227">
        <v>0</v>
      </c>
      <c r="U99" s="227">
        <v>0</v>
      </c>
      <c r="V99" s="227">
        <v>0</v>
      </c>
      <c r="W99" s="227">
        <v>0</v>
      </c>
      <c r="X99" s="227">
        <v>0</v>
      </c>
      <c r="Y99" s="227">
        <v>0</v>
      </c>
      <c r="Z99" s="227">
        <v>0</v>
      </c>
      <c r="AA99" s="227">
        <v>0</v>
      </c>
      <c r="AB99" s="227">
        <v>0</v>
      </c>
      <c r="AC99" s="227">
        <v>0</v>
      </c>
      <c r="AD99" s="227">
        <v>0</v>
      </c>
      <c r="AE99" s="227">
        <v>0</v>
      </c>
      <c r="AF99" s="227">
        <v>0</v>
      </c>
      <c r="AG99" s="227">
        <v>0</v>
      </c>
      <c r="AH99" s="227">
        <v>0</v>
      </c>
      <c r="AI99" s="227">
        <v>0</v>
      </c>
      <c r="AJ99" s="227">
        <v>0</v>
      </c>
    </row>
    <row r="100" spans="2:36" s="1" customFormat="1" ht="15.75" x14ac:dyDescent="0.25">
      <c r="B100" s="221" t="s">
        <v>133</v>
      </c>
      <c r="C100" s="225">
        <f>IF(Inputs!$G$18="Simple",Inputs!$G$26*Inputs!$Q$73,IF(Inputs!$G$18="Intermediate",SUMPRODUCT(Inputs!$G$20:$G$24,Inputs!$Q$74:$Q$78),'Complex Inputs'!$G$121))</f>
        <v>0</v>
      </c>
      <c r="D100" s="460">
        <f t="shared" si="25"/>
        <v>0</v>
      </c>
      <c r="E100" s="225">
        <f>($C$110-$C$112)*IF(Inputs!$P$70="No",1,(1-Inputs!$P$71))*D100</f>
        <v>0</v>
      </c>
      <c r="F100" s="221"/>
      <c r="G100" s="227">
        <v>0.1429</v>
      </c>
      <c r="H100" s="227">
        <v>0.24490000000000001</v>
      </c>
      <c r="I100" s="227">
        <v>0.1749</v>
      </c>
      <c r="J100" s="227">
        <v>0.1249</v>
      </c>
      <c r="K100" s="227">
        <v>8.9300000000000004E-2</v>
      </c>
      <c r="L100" s="227">
        <v>8.9200000000000002E-2</v>
      </c>
      <c r="M100" s="227">
        <v>8.9300000000000004E-2</v>
      </c>
      <c r="N100" s="227">
        <v>4.4600000000000001E-2</v>
      </c>
      <c r="O100" s="227">
        <v>0</v>
      </c>
      <c r="P100" s="227">
        <v>0</v>
      </c>
      <c r="Q100" s="227">
        <v>0</v>
      </c>
      <c r="R100" s="227">
        <v>0</v>
      </c>
      <c r="S100" s="227">
        <v>0</v>
      </c>
      <c r="T100" s="227">
        <v>0</v>
      </c>
      <c r="U100" s="227">
        <v>0</v>
      </c>
      <c r="V100" s="227">
        <v>0</v>
      </c>
      <c r="W100" s="227">
        <v>0</v>
      </c>
      <c r="X100" s="227">
        <v>0</v>
      </c>
      <c r="Y100" s="227">
        <v>0</v>
      </c>
      <c r="Z100" s="227">
        <v>0</v>
      </c>
      <c r="AA100" s="227">
        <v>0</v>
      </c>
      <c r="AB100" s="227">
        <v>0</v>
      </c>
      <c r="AC100" s="227">
        <v>0</v>
      </c>
      <c r="AD100" s="227">
        <v>0</v>
      </c>
      <c r="AE100" s="227">
        <v>0</v>
      </c>
      <c r="AF100" s="227">
        <v>0</v>
      </c>
      <c r="AG100" s="227">
        <v>0</v>
      </c>
      <c r="AH100" s="227">
        <v>0</v>
      </c>
      <c r="AI100" s="227">
        <v>0</v>
      </c>
      <c r="AJ100" s="227">
        <v>0</v>
      </c>
    </row>
    <row r="101" spans="2:36" s="1" customFormat="1" ht="15.75" x14ac:dyDescent="0.25">
      <c r="B101" s="221" t="s">
        <v>82</v>
      </c>
      <c r="C101" s="225">
        <f>IF(Inputs!$G$18="Simple",Inputs!$G$26*Inputs!$R$73,IF(Inputs!$G$18="Intermediate",SUMPRODUCT(Inputs!$G$20:$G$24,Inputs!$R$74:$R$78),'Complex Inputs'!$H$121))</f>
        <v>540000</v>
      </c>
      <c r="D101" s="460">
        <f t="shared" si="25"/>
        <v>9.2361218077225193E-2</v>
      </c>
      <c r="E101" s="225">
        <f>($C$110-$C$112)*IF(Inputs!$P$70="No",1,(1-Inputs!$P$71))*D101</f>
        <v>270000</v>
      </c>
      <c r="F101" s="221"/>
      <c r="G101" s="227">
        <v>0.05</v>
      </c>
      <c r="H101" s="227">
        <v>9.5000000000000001E-2</v>
      </c>
      <c r="I101" s="227">
        <v>8.5500000000000007E-2</v>
      </c>
      <c r="J101" s="227">
        <v>7.6999999999999999E-2</v>
      </c>
      <c r="K101" s="227">
        <v>6.93E-2</v>
      </c>
      <c r="L101" s="227">
        <v>6.2300000000000001E-2</v>
      </c>
      <c r="M101" s="227">
        <v>5.8999999999999997E-2</v>
      </c>
      <c r="N101" s="227">
        <v>5.8999999999999997E-2</v>
      </c>
      <c r="O101" s="227">
        <v>5.91E-2</v>
      </c>
      <c r="P101" s="227">
        <v>5.8999999999999997E-2</v>
      </c>
      <c r="Q101" s="227">
        <v>5.91E-2</v>
      </c>
      <c r="R101" s="227">
        <v>5.8999999999999997E-2</v>
      </c>
      <c r="S101" s="227">
        <v>5.91E-2</v>
      </c>
      <c r="T101" s="227">
        <v>5.8999999999999997E-2</v>
      </c>
      <c r="U101" s="227">
        <v>5.91E-2</v>
      </c>
      <c r="V101" s="227">
        <v>2.9499999999999998E-2</v>
      </c>
      <c r="W101" s="227">
        <v>0</v>
      </c>
      <c r="X101" s="227">
        <v>0</v>
      </c>
      <c r="Y101" s="227">
        <v>0</v>
      </c>
      <c r="Z101" s="227">
        <v>0</v>
      </c>
      <c r="AA101" s="227">
        <v>0</v>
      </c>
      <c r="AB101" s="227">
        <v>0</v>
      </c>
      <c r="AC101" s="227">
        <v>0</v>
      </c>
      <c r="AD101" s="227">
        <v>0</v>
      </c>
      <c r="AE101" s="227">
        <v>0</v>
      </c>
      <c r="AF101" s="227">
        <v>0</v>
      </c>
      <c r="AG101" s="227">
        <v>0</v>
      </c>
      <c r="AH101" s="227">
        <v>0</v>
      </c>
      <c r="AI101" s="227">
        <v>0</v>
      </c>
      <c r="AJ101" s="227">
        <v>0</v>
      </c>
    </row>
    <row r="102" spans="2:36" s="1" customFormat="1" ht="15.75" x14ac:dyDescent="0.25">
      <c r="B102" s="221" t="s">
        <v>83</v>
      </c>
      <c r="C102" s="225">
        <f>IF(Inputs!$G$18="Simple",Inputs!$G$26*Inputs!$U$73,IF(Inputs!$G$18="Intermediate",SUMPRODUCT(Inputs!$G$20:$G$24,Inputs!$U$74:$U$78),'Complex Inputs'!$I$121))</f>
        <v>0</v>
      </c>
      <c r="D102" s="460">
        <f t="shared" si="25"/>
        <v>0</v>
      </c>
      <c r="E102" s="225">
        <f>($C$110-$C$112)*IF(Inputs!$P$70="No",1,(1-Inputs!$P$71))*D102</f>
        <v>0</v>
      </c>
      <c r="F102" s="221"/>
      <c r="G102" s="227">
        <v>3.7499999999999999E-2</v>
      </c>
      <c r="H102" s="227">
        <v>7.2190000000000004E-2</v>
      </c>
      <c r="I102" s="227">
        <v>6.6769999999999996E-2</v>
      </c>
      <c r="J102" s="227">
        <v>6.1769999999999999E-2</v>
      </c>
      <c r="K102" s="227">
        <v>5.713E-2</v>
      </c>
      <c r="L102" s="227">
        <v>5.2850000000000001E-2</v>
      </c>
      <c r="M102" s="227">
        <v>4.888E-2</v>
      </c>
      <c r="N102" s="227">
        <v>4.5220000000000003E-2</v>
      </c>
      <c r="O102" s="227">
        <v>4.462E-2</v>
      </c>
      <c r="P102" s="227">
        <v>4.4609999999999997E-2</v>
      </c>
      <c r="Q102" s="227">
        <v>4.462E-2</v>
      </c>
      <c r="R102" s="227">
        <v>4.4609999999999997E-2</v>
      </c>
      <c r="S102" s="227">
        <v>4.462E-2</v>
      </c>
      <c r="T102" s="227">
        <v>4.4609999999999997E-2</v>
      </c>
      <c r="U102" s="227">
        <v>4.462E-2</v>
      </c>
      <c r="V102" s="227">
        <v>4.4609999999999997E-2</v>
      </c>
      <c r="W102" s="227">
        <v>4.462E-2</v>
      </c>
      <c r="X102" s="227">
        <v>4.4609999999999997E-2</v>
      </c>
      <c r="Y102" s="227">
        <v>4.462E-2</v>
      </c>
      <c r="Z102" s="227">
        <v>4.4609999999999997E-2</v>
      </c>
      <c r="AA102" s="227">
        <v>2.231E-2</v>
      </c>
      <c r="AB102" s="227">
        <v>0</v>
      </c>
      <c r="AC102" s="227">
        <v>0</v>
      </c>
      <c r="AD102" s="227">
        <v>0</v>
      </c>
      <c r="AE102" s="227">
        <v>0</v>
      </c>
      <c r="AF102" s="227">
        <v>0</v>
      </c>
      <c r="AG102" s="227">
        <v>0</v>
      </c>
      <c r="AH102" s="227">
        <v>0</v>
      </c>
      <c r="AI102" s="227">
        <v>0</v>
      </c>
      <c r="AJ102" s="227">
        <v>0</v>
      </c>
    </row>
    <row r="103" spans="2:36" s="1" customFormat="1" ht="15.75" x14ac:dyDescent="0.25">
      <c r="B103" s="221" t="s">
        <v>134</v>
      </c>
      <c r="C103" s="225">
        <f>IF(Inputs!$G$18="Simple",Inputs!$G$26*Inputs!$V$73,IF(Inputs!$G$18="Intermediate",SUMPRODUCT(Inputs!$G$20:$G$24,Inputs!$V$74:$V$78),'Complex Inputs'!$J$121))</f>
        <v>0</v>
      </c>
      <c r="D103" s="460">
        <f t="shared" si="25"/>
        <v>0</v>
      </c>
      <c r="E103" s="225">
        <f>($C$110-$C$112)*IF(Inputs!$P$70="No",1,(1-Inputs!$P$71))*D103</f>
        <v>0</v>
      </c>
      <c r="F103" s="221"/>
      <c r="G103" s="227">
        <v>0.1</v>
      </c>
      <c r="H103" s="227">
        <v>0.2</v>
      </c>
      <c r="I103" s="227">
        <v>0.2</v>
      </c>
      <c r="J103" s="227">
        <v>0.2</v>
      </c>
      <c r="K103" s="227">
        <v>0.2</v>
      </c>
      <c r="L103" s="227">
        <v>0.1</v>
      </c>
      <c r="M103" s="227">
        <f t="shared" ref="M103:AJ103" si="26">IF(M$97&lt;=5, 1/5,0)</f>
        <v>0</v>
      </c>
      <c r="N103" s="227">
        <f t="shared" si="26"/>
        <v>0</v>
      </c>
      <c r="O103" s="227">
        <f t="shared" si="26"/>
        <v>0</v>
      </c>
      <c r="P103" s="227">
        <f t="shared" si="26"/>
        <v>0</v>
      </c>
      <c r="Q103" s="227">
        <f t="shared" si="26"/>
        <v>0</v>
      </c>
      <c r="R103" s="227">
        <f t="shared" si="26"/>
        <v>0</v>
      </c>
      <c r="S103" s="227">
        <f t="shared" si="26"/>
        <v>0</v>
      </c>
      <c r="T103" s="227">
        <f t="shared" si="26"/>
        <v>0</v>
      </c>
      <c r="U103" s="227">
        <f t="shared" si="26"/>
        <v>0</v>
      </c>
      <c r="V103" s="227">
        <f t="shared" si="26"/>
        <v>0</v>
      </c>
      <c r="W103" s="227">
        <f t="shared" si="26"/>
        <v>0</v>
      </c>
      <c r="X103" s="227">
        <f t="shared" si="26"/>
        <v>0</v>
      </c>
      <c r="Y103" s="227">
        <f t="shared" si="26"/>
        <v>0</v>
      </c>
      <c r="Z103" s="227">
        <f t="shared" si="26"/>
        <v>0</v>
      </c>
      <c r="AA103" s="227">
        <f t="shared" si="26"/>
        <v>0</v>
      </c>
      <c r="AB103" s="227">
        <f t="shared" si="26"/>
        <v>0</v>
      </c>
      <c r="AC103" s="227">
        <f t="shared" si="26"/>
        <v>0</v>
      </c>
      <c r="AD103" s="227">
        <f t="shared" si="26"/>
        <v>0</v>
      </c>
      <c r="AE103" s="227">
        <f t="shared" si="26"/>
        <v>0</v>
      </c>
      <c r="AF103" s="227">
        <f t="shared" si="26"/>
        <v>0</v>
      </c>
      <c r="AG103" s="227">
        <f t="shared" si="26"/>
        <v>0</v>
      </c>
      <c r="AH103" s="227">
        <f t="shared" si="26"/>
        <v>0</v>
      </c>
      <c r="AI103" s="227">
        <f t="shared" si="26"/>
        <v>0</v>
      </c>
      <c r="AJ103" s="227">
        <f t="shared" si="26"/>
        <v>0</v>
      </c>
    </row>
    <row r="104" spans="2:36" s="1" customFormat="1" ht="15.75" x14ac:dyDescent="0.25">
      <c r="B104" s="221" t="s">
        <v>135</v>
      </c>
      <c r="C104" s="225">
        <f>IF(Inputs!$G$18="Simple",Inputs!$G$26*Inputs!$W$73,IF(Inputs!$G$18="Intermediate",SUMPRODUCT(Inputs!$G$20:$G$24,Inputs!$W$74:$W$78),'Complex Inputs'!$K$121))</f>
        <v>1050000</v>
      </c>
      <c r="D104" s="460">
        <f t="shared" si="25"/>
        <v>0.17959125737238232</v>
      </c>
      <c r="E104" s="225">
        <f>($C$110-$C$112)*IF(Inputs!$P$70="No",1,(1-Inputs!$P$71))*D104</f>
        <v>525000</v>
      </c>
      <c r="F104" s="221"/>
      <c r="G104" s="227">
        <v>3.3300000000000003E-2</v>
      </c>
      <c r="H104" s="227">
        <v>6.6699999999999995E-2</v>
      </c>
      <c r="I104" s="227">
        <v>6.6699999999999995E-2</v>
      </c>
      <c r="J104" s="227">
        <v>6.6699999999999995E-2</v>
      </c>
      <c r="K104" s="227">
        <v>6.6699999999999995E-2</v>
      </c>
      <c r="L104" s="227">
        <v>6.6699999999999995E-2</v>
      </c>
      <c r="M104" s="227">
        <v>6.6699999999999995E-2</v>
      </c>
      <c r="N104" s="227">
        <v>6.6699999999999995E-2</v>
      </c>
      <c r="O104" s="227">
        <v>6.6699999999999995E-2</v>
      </c>
      <c r="P104" s="227">
        <v>6.6699999999999995E-2</v>
      </c>
      <c r="Q104" s="227">
        <v>6.6699999999999995E-2</v>
      </c>
      <c r="R104" s="227">
        <v>6.6600000000000006E-2</v>
      </c>
      <c r="S104" s="227">
        <v>6.6600000000000006E-2</v>
      </c>
      <c r="T104" s="227">
        <v>6.6600000000000006E-2</v>
      </c>
      <c r="U104" s="227">
        <v>6.6600000000000006E-2</v>
      </c>
      <c r="V104" s="227">
        <v>3.3300000000000003E-2</v>
      </c>
      <c r="W104" s="227">
        <f t="shared" ref="W104:AJ104" si="27">IF(W$97&lt;=15, 1/15,0)</f>
        <v>0</v>
      </c>
      <c r="X104" s="227">
        <f t="shared" si="27"/>
        <v>0</v>
      </c>
      <c r="Y104" s="227">
        <f t="shared" si="27"/>
        <v>0</v>
      </c>
      <c r="Z104" s="227">
        <f t="shared" si="27"/>
        <v>0</v>
      </c>
      <c r="AA104" s="227">
        <f t="shared" si="27"/>
        <v>0</v>
      </c>
      <c r="AB104" s="227">
        <f t="shared" si="27"/>
        <v>0</v>
      </c>
      <c r="AC104" s="227">
        <f t="shared" si="27"/>
        <v>0</v>
      </c>
      <c r="AD104" s="227">
        <f t="shared" si="27"/>
        <v>0</v>
      </c>
      <c r="AE104" s="227">
        <f t="shared" si="27"/>
        <v>0</v>
      </c>
      <c r="AF104" s="227">
        <f t="shared" si="27"/>
        <v>0</v>
      </c>
      <c r="AG104" s="227">
        <f t="shared" si="27"/>
        <v>0</v>
      </c>
      <c r="AH104" s="227">
        <f t="shared" si="27"/>
        <v>0</v>
      </c>
      <c r="AI104" s="227">
        <f t="shared" si="27"/>
        <v>0</v>
      </c>
      <c r="AJ104" s="227">
        <f t="shared" si="27"/>
        <v>0</v>
      </c>
    </row>
    <row r="105" spans="2:36" s="1" customFormat="1" ht="15.75" x14ac:dyDescent="0.25">
      <c r="B105" s="221" t="s">
        <v>84</v>
      </c>
      <c r="C105" s="225">
        <f>IF(Inputs!$G$18="Simple",Inputs!$G$26*Inputs!$X$73,IF(Inputs!$G$18="Intermediate",SUMPRODUCT(Inputs!$G$20:$G$24,Inputs!$X$74:$X$78),'Complex Inputs'!$L$121))</f>
        <v>263304.88511148951</v>
      </c>
      <c r="D105" s="460">
        <f t="shared" si="25"/>
        <v>4.5035481323298161E-2</v>
      </c>
      <c r="E105" s="225">
        <f>($C$110-$C$112)*IF(Inputs!$P$70="No",1,(1-Inputs!$P$71))*D105</f>
        <v>131652.44255574475</v>
      </c>
      <c r="F105" s="221"/>
      <c r="G105" s="227">
        <v>2.5000000000000001E-2</v>
      </c>
      <c r="H105" s="227">
        <v>0.05</v>
      </c>
      <c r="I105" s="227">
        <v>0.05</v>
      </c>
      <c r="J105" s="227">
        <v>0.05</v>
      </c>
      <c r="K105" s="227">
        <v>0.05</v>
      </c>
      <c r="L105" s="227">
        <v>0.05</v>
      </c>
      <c r="M105" s="227">
        <v>0.05</v>
      </c>
      <c r="N105" s="227">
        <v>0.05</v>
      </c>
      <c r="O105" s="227">
        <v>0.05</v>
      </c>
      <c r="P105" s="227">
        <v>0.05</v>
      </c>
      <c r="Q105" s="227">
        <v>0.05</v>
      </c>
      <c r="R105" s="227">
        <v>0.05</v>
      </c>
      <c r="S105" s="227">
        <v>0.05</v>
      </c>
      <c r="T105" s="227">
        <v>0.05</v>
      </c>
      <c r="U105" s="227">
        <v>0.05</v>
      </c>
      <c r="V105" s="227">
        <v>0.05</v>
      </c>
      <c r="W105" s="227">
        <v>0.05</v>
      </c>
      <c r="X105" s="227">
        <v>0.05</v>
      </c>
      <c r="Y105" s="227">
        <v>0.05</v>
      </c>
      <c r="Z105" s="227">
        <v>0.05</v>
      </c>
      <c r="AA105" s="227">
        <v>2.5000000000000001E-2</v>
      </c>
      <c r="AB105" s="227">
        <f t="shared" ref="AB105:AJ105" si="28">IF(AB$97&lt;=20, 1/20,0)</f>
        <v>0</v>
      </c>
      <c r="AC105" s="227">
        <f t="shared" si="28"/>
        <v>0</v>
      </c>
      <c r="AD105" s="227">
        <f t="shared" si="28"/>
        <v>0</v>
      </c>
      <c r="AE105" s="227">
        <f t="shared" si="28"/>
        <v>0</v>
      </c>
      <c r="AF105" s="227">
        <f t="shared" si="28"/>
        <v>0</v>
      </c>
      <c r="AG105" s="227">
        <f t="shared" si="28"/>
        <v>0</v>
      </c>
      <c r="AH105" s="227">
        <f t="shared" si="28"/>
        <v>0</v>
      </c>
      <c r="AI105" s="227">
        <f t="shared" si="28"/>
        <v>0</v>
      </c>
      <c r="AJ105" s="227">
        <f t="shared" si="28"/>
        <v>0</v>
      </c>
    </row>
    <row r="106" spans="2:36" s="1" customFormat="1" ht="15.75" x14ac:dyDescent="0.25">
      <c r="B106" s="221" t="s">
        <v>85</v>
      </c>
      <c r="C106" s="225">
        <f>IF(Inputs!$G$18="Simple",Inputs!$G$26*Inputs!$Y$73,IF(Inputs!$G$18="Intermediate",SUMPRODUCT(Inputs!$G$20:$G$24,Inputs!$Y$74:$Y$78),'Complex Inputs'!$M$121))</f>
        <v>0</v>
      </c>
      <c r="D106" s="460">
        <f t="shared" si="25"/>
        <v>0</v>
      </c>
      <c r="E106" s="225">
        <f>($C$110-$C$112)*IF(Inputs!$P$70="No",1,(1-Inputs!$P$71))*D106</f>
        <v>0</v>
      </c>
      <c r="F106" s="221"/>
      <c r="G106" s="227">
        <v>1.2800000000000001E-2</v>
      </c>
      <c r="H106" s="227">
        <v>2.5600000000000001E-2</v>
      </c>
      <c r="I106" s="227">
        <v>2.5600000000000001E-2</v>
      </c>
      <c r="J106" s="227">
        <v>2.5600000000000001E-2</v>
      </c>
      <c r="K106" s="227">
        <v>2.5600000000000001E-2</v>
      </c>
      <c r="L106" s="227">
        <v>2.5600000000000001E-2</v>
      </c>
      <c r="M106" s="227">
        <v>2.5600000000000001E-2</v>
      </c>
      <c r="N106" s="227">
        <v>2.5600000000000001E-2</v>
      </c>
      <c r="O106" s="227">
        <v>2.5600000000000001E-2</v>
      </c>
      <c r="P106" s="227">
        <v>2.5600000000000001E-2</v>
      </c>
      <c r="Q106" s="227">
        <v>2.5600000000000001E-2</v>
      </c>
      <c r="R106" s="227">
        <v>2.5600000000000001E-2</v>
      </c>
      <c r="S106" s="227">
        <v>2.5600000000000001E-2</v>
      </c>
      <c r="T106" s="227">
        <v>2.5600000000000001E-2</v>
      </c>
      <c r="U106" s="227">
        <v>2.5600000000000001E-2</v>
      </c>
      <c r="V106" s="227">
        <v>2.5600000000000001E-2</v>
      </c>
      <c r="W106" s="227">
        <v>2.5600000000000001E-2</v>
      </c>
      <c r="X106" s="227">
        <v>2.5600000000000001E-2</v>
      </c>
      <c r="Y106" s="227">
        <v>2.5600000000000001E-2</v>
      </c>
      <c r="Z106" s="227">
        <v>2.5600000000000001E-2</v>
      </c>
      <c r="AA106" s="227">
        <v>2.5600000000000001E-2</v>
      </c>
      <c r="AB106" s="227">
        <v>2.5600000000000001E-2</v>
      </c>
      <c r="AC106" s="227">
        <v>2.5600000000000001E-2</v>
      </c>
      <c r="AD106" s="227">
        <v>2.5600000000000001E-2</v>
      </c>
      <c r="AE106" s="227">
        <v>2.5600000000000001E-2</v>
      </c>
      <c r="AF106" s="227">
        <v>2.5600000000000001E-2</v>
      </c>
      <c r="AG106" s="227">
        <v>2.5600000000000001E-2</v>
      </c>
      <c r="AH106" s="227">
        <v>2.5600000000000001E-2</v>
      </c>
      <c r="AI106" s="227">
        <v>2.5600000000000001E-2</v>
      </c>
      <c r="AJ106" s="227">
        <v>2.5600000000000001E-2</v>
      </c>
    </row>
    <row r="107" spans="2:36" s="1" customFormat="1" ht="15.75" x14ac:dyDescent="0.25">
      <c r="B107" s="221" t="s">
        <v>356</v>
      </c>
      <c r="C107" s="221"/>
      <c r="D107" s="460"/>
      <c r="E107" s="225">
        <f>($C$110-$C$112)*IF(Inputs!$P$70="No",0,Inputs!$P$71)</f>
        <v>2923304.8851114893</v>
      </c>
      <c r="F107" s="221"/>
      <c r="G107" s="227">
        <v>1</v>
      </c>
      <c r="H107" s="227">
        <v>0</v>
      </c>
      <c r="I107" s="227">
        <v>0</v>
      </c>
      <c r="J107" s="227">
        <v>0</v>
      </c>
      <c r="K107" s="227">
        <v>0</v>
      </c>
      <c r="L107" s="227">
        <v>0</v>
      </c>
      <c r="M107" s="227">
        <v>0</v>
      </c>
      <c r="N107" s="227">
        <v>0</v>
      </c>
      <c r="O107" s="227">
        <v>0</v>
      </c>
      <c r="P107" s="227">
        <v>0</v>
      </c>
      <c r="Q107" s="227">
        <v>0</v>
      </c>
      <c r="R107" s="227">
        <v>0</v>
      </c>
      <c r="S107" s="227">
        <v>0</v>
      </c>
      <c r="T107" s="227">
        <v>0</v>
      </c>
      <c r="U107" s="227">
        <v>0</v>
      </c>
      <c r="V107" s="227">
        <v>0</v>
      </c>
      <c r="W107" s="227">
        <v>0</v>
      </c>
      <c r="X107" s="227">
        <v>0</v>
      </c>
      <c r="Y107" s="227">
        <v>0</v>
      </c>
      <c r="Z107" s="227">
        <v>0</v>
      </c>
      <c r="AA107" s="227">
        <v>0</v>
      </c>
      <c r="AB107" s="227">
        <v>0</v>
      </c>
      <c r="AC107" s="227">
        <v>0</v>
      </c>
      <c r="AD107" s="227">
        <v>0</v>
      </c>
      <c r="AE107" s="227">
        <v>0</v>
      </c>
      <c r="AF107" s="227">
        <v>0</v>
      </c>
      <c r="AG107" s="227">
        <v>0</v>
      </c>
      <c r="AH107" s="227">
        <v>0</v>
      </c>
      <c r="AI107" s="227">
        <v>0</v>
      </c>
      <c r="AJ107" s="227">
        <v>0</v>
      </c>
    </row>
    <row r="108" spans="2:36" s="1" customFormat="1" x14ac:dyDescent="0.2">
      <c r="B108" s="233" t="s">
        <v>26</v>
      </c>
      <c r="C108" s="471">
        <f>IF(Inputs!$G$18="Simple",Inputs!$G$26*Inputs!$Z$73,IF(Inputs!$G$18="Intermediate",SUMPRODUCT(Inputs!$G$20:$G$24,Inputs!$Z$74:$Z$78),'Complex Inputs'!$N$121))</f>
        <v>273304.88511148951</v>
      </c>
      <c r="D108" s="472">
        <f>C108/$C$110</f>
        <v>4.6745874250654185E-2</v>
      </c>
      <c r="E108" s="471">
        <f>($C$110-$C$112)*IF(Inputs!$P$70="No",1,(1-Inputs!$P$71))*D108</f>
        <v>136652.44255574475</v>
      </c>
      <c r="F108" s="221"/>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c r="AE108" s="228"/>
      <c r="AF108" s="228"/>
      <c r="AG108" s="228"/>
      <c r="AH108" s="228"/>
      <c r="AI108" s="228"/>
      <c r="AJ108" s="228"/>
    </row>
    <row r="109" spans="2:36" s="1" customFormat="1" ht="15.75" x14ac:dyDescent="0.25">
      <c r="B109" s="221"/>
      <c r="C109" s="461" t="s">
        <v>363</v>
      </c>
      <c r="D109" s="461"/>
      <c r="E109" s="461" t="s">
        <v>362</v>
      </c>
      <c r="F109" s="221"/>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c r="AE109" s="228"/>
      <c r="AF109" s="228"/>
      <c r="AG109" s="228"/>
      <c r="AH109" s="228"/>
      <c r="AI109" s="228"/>
      <c r="AJ109" s="228"/>
    </row>
    <row r="110" spans="2:36" s="1" customFormat="1" ht="15.75" x14ac:dyDescent="0.25">
      <c r="B110" s="220" t="s">
        <v>364</v>
      </c>
      <c r="C110" s="230">
        <f>SUM(C99:C108)</f>
        <v>5846609.7702229787</v>
      </c>
      <c r="D110" s="460">
        <f>SUM(D99:D108)</f>
        <v>1</v>
      </c>
      <c r="E110" s="230">
        <f>SUM(E99:E108)</f>
        <v>5846609.7702229796</v>
      </c>
      <c r="F110" s="221"/>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c r="AE110" s="228"/>
      <c r="AF110" s="228"/>
      <c r="AG110" s="228"/>
      <c r="AH110" s="228"/>
      <c r="AI110" s="228"/>
      <c r="AJ110" s="228"/>
    </row>
    <row r="111" spans="2:36" s="1" customFormat="1" x14ac:dyDescent="0.2">
      <c r="B111" s="221"/>
      <c r="C111" s="459" t="str">
        <f>IF(C110=Inputs!$G$26,"OK","error")</f>
        <v>OK</v>
      </c>
      <c r="D111" s="459" t="str">
        <f>IF(D110=100%,"OK","error")</f>
        <v>OK</v>
      </c>
      <c r="E111" s="459" t="str">
        <f>IF(E110=(C110-C112),"OK","error")</f>
        <v>OK</v>
      </c>
      <c r="F111" s="221"/>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c r="AE111" s="228"/>
      <c r="AF111" s="228"/>
      <c r="AG111" s="228"/>
      <c r="AH111" s="228"/>
      <c r="AI111" s="228"/>
      <c r="AJ111" s="228"/>
    </row>
    <row r="112" spans="2:36" s="1" customFormat="1" x14ac:dyDescent="0.2">
      <c r="B112" s="221" t="s">
        <v>366</v>
      </c>
      <c r="C112" s="225">
        <f>IF(OR(Inputs!$Q$19="Performance-Based",Inputs!$Q$19="Neither"),0,50%*Inputs!$Q$23)+IF(Inputs!$Q$30="Yes",0,Inputs!$Q$29)+IF(Inputs!$Q$47="Yes",0,IF(Inputs!$Q$46=0,Inputs!$Q$45*1000*Inputs!$G$8,MIN(Inputs!$Q$46,Inputs!$Q$45*1000*Inputs!$G$8)))</f>
        <v>0</v>
      </c>
      <c r="D112" s="225"/>
      <c r="E112" s="225"/>
      <c r="F112" s="221"/>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c r="AE112" s="228"/>
      <c r="AF112" s="228"/>
      <c r="AG112" s="228"/>
      <c r="AH112" s="228"/>
      <c r="AI112" s="228"/>
      <c r="AJ112" s="228"/>
    </row>
    <row r="113" spans="2:36" s="1" customFormat="1" x14ac:dyDescent="0.2">
      <c r="B113" s="221"/>
      <c r="C113" s="459"/>
      <c r="D113" s="459"/>
      <c r="E113" s="225"/>
      <c r="F113" s="221"/>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c r="AE113" s="228"/>
      <c r="AF113" s="228"/>
      <c r="AG113" s="228"/>
      <c r="AH113" s="228"/>
      <c r="AI113" s="228"/>
      <c r="AJ113" s="228"/>
    </row>
    <row r="114" spans="2:36" s="1" customFormat="1" ht="15.75" x14ac:dyDescent="0.25">
      <c r="B114" s="223" t="s">
        <v>156</v>
      </c>
      <c r="C114" s="223"/>
      <c r="D114" s="223"/>
      <c r="E114" s="221"/>
      <c r="F114" s="221"/>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c r="AE114" s="228"/>
      <c r="AF114" s="228"/>
      <c r="AG114" s="228"/>
      <c r="AH114" s="228"/>
      <c r="AI114" s="228"/>
      <c r="AJ114" s="228"/>
    </row>
    <row r="115" spans="2:36" s="1" customFormat="1" x14ac:dyDescent="0.2">
      <c r="B115" s="221" t="s">
        <v>86</v>
      </c>
      <c r="C115" s="221"/>
      <c r="D115" s="221"/>
      <c r="E115" s="229" t="s">
        <v>142</v>
      </c>
      <c r="F115" s="230"/>
      <c r="G115" s="221"/>
      <c r="H115" s="221"/>
      <c r="I115" s="221"/>
      <c r="J115" s="221"/>
      <c r="K115" s="221"/>
      <c r="L115" s="221"/>
      <c r="M115" s="221"/>
      <c r="N115" s="221"/>
      <c r="O115" s="221"/>
      <c r="P115" s="221"/>
      <c r="Q115" s="221"/>
      <c r="R115" s="221"/>
      <c r="S115" s="221"/>
      <c r="T115" s="221"/>
      <c r="U115" s="221"/>
      <c r="V115" s="221"/>
      <c r="W115" s="221"/>
      <c r="X115" s="221"/>
      <c r="Y115" s="221"/>
      <c r="Z115" s="221"/>
      <c r="AA115" s="221"/>
      <c r="AB115" s="221"/>
      <c r="AC115" s="221"/>
      <c r="AD115" s="221"/>
      <c r="AE115" s="221"/>
      <c r="AF115" s="221"/>
      <c r="AG115" s="221"/>
      <c r="AH115" s="221"/>
      <c r="AI115" s="221"/>
      <c r="AJ115" s="221"/>
    </row>
    <row r="116" spans="2:36" s="1" customFormat="1" x14ac:dyDescent="0.2">
      <c r="B116" s="221" t="s">
        <v>81</v>
      </c>
      <c r="C116" s="221"/>
      <c r="D116" s="221"/>
      <c r="E116" s="230">
        <f>SUM(G116:AJ116)</f>
        <v>1860000</v>
      </c>
      <c r="F116" s="230"/>
      <c r="G116" s="231">
        <f>$E99*G99</f>
        <v>372000</v>
      </c>
      <c r="H116" s="231">
        <f t="shared" ref="H116:AJ116" si="29">$E99*H99</f>
        <v>595200</v>
      </c>
      <c r="I116" s="231">
        <f t="shared" si="29"/>
        <v>357120</v>
      </c>
      <c r="J116" s="231">
        <f t="shared" si="29"/>
        <v>214272</v>
      </c>
      <c r="K116" s="231">
        <f t="shared" si="29"/>
        <v>214272</v>
      </c>
      <c r="L116" s="231">
        <f t="shared" si="29"/>
        <v>107136</v>
      </c>
      <c r="M116" s="231">
        <f t="shared" si="29"/>
        <v>0</v>
      </c>
      <c r="N116" s="231">
        <f t="shared" si="29"/>
        <v>0</v>
      </c>
      <c r="O116" s="231">
        <f t="shared" si="29"/>
        <v>0</v>
      </c>
      <c r="P116" s="231">
        <f t="shared" si="29"/>
        <v>0</v>
      </c>
      <c r="Q116" s="231">
        <f t="shared" si="29"/>
        <v>0</v>
      </c>
      <c r="R116" s="231">
        <f t="shared" si="29"/>
        <v>0</v>
      </c>
      <c r="S116" s="231">
        <f t="shared" si="29"/>
        <v>0</v>
      </c>
      <c r="T116" s="231">
        <f t="shared" si="29"/>
        <v>0</v>
      </c>
      <c r="U116" s="231">
        <f t="shared" si="29"/>
        <v>0</v>
      </c>
      <c r="V116" s="231">
        <f t="shared" si="29"/>
        <v>0</v>
      </c>
      <c r="W116" s="231">
        <f t="shared" si="29"/>
        <v>0</v>
      </c>
      <c r="X116" s="231">
        <f t="shared" si="29"/>
        <v>0</v>
      </c>
      <c r="Y116" s="231">
        <f t="shared" si="29"/>
        <v>0</v>
      </c>
      <c r="Z116" s="231">
        <f t="shared" si="29"/>
        <v>0</v>
      </c>
      <c r="AA116" s="231">
        <f t="shared" si="29"/>
        <v>0</v>
      </c>
      <c r="AB116" s="231">
        <f t="shared" si="29"/>
        <v>0</v>
      </c>
      <c r="AC116" s="231">
        <f t="shared" si="29"/>
        <v>0</v>
      </c>
      <c r="AD116" s="231">
        <f t="shared" si="29"/>
        <v>0</v>
      </c>
      <c r="AE116" s="231">
        <f t="shared" si="29"/>
        <v>0</v>
      </c>
      <c r="AF116" s="231">
        <f t="shared" si="29"/>
        <v>0</v>
      </c>
      <c r="AG116" s="231">
        <f t="shared" si="29"/>
        <v>0</v>
      </c>
      <c r="AH116" s="231">
        <f t="shared" si="29"/>
        <v>0</v>
      </c>
      <c r="AI116" s="231">
        <f t="shared" si="29"/>
        <v>0</v>
      </c>
      <c r="AJ116" s="231">
        <f t="shared" si="29"/>
        <v>0</v>
      </c>
    </row>
    <row r="117" spans="2:36" s="1" customFormat="1" x14ac:dyDescent="0.2">
      <c r="B117" s="221" t="s">
        <v>133</v>
      </c>
      <c r="C117" s="221"/>
      <c r="D117" s="221"/>
      <c r="E117" s="230">
        <f t="shared" ref="E117:E124" si="30">SUM(G117:AJ117)</f>
        <v>0</v>
      </c>
      <c r="F117" s="230"/>
      <c r="G117" s="231">
        <f t="shared" ref="G117:AJ117" si="31">$E100*G100</f>
        <v>0</v>
      </c>
      <c r="H117" s="231">
        <f t="shared" si="31"/>
        <v>0</v>
      </c>
      <c r="I117" s="231">
        <f t="shared" si="31"/>
        <v>0</v>
      </c>
      <c r="J117" s="231">
        <f t="shared" si="31"/>
        <v>0</v>
      </c>
      <c r="K117" s="231">
        <f t="shared" si="31"/>
        <v>0</v>
      </c>
      <c r="L117" s="231">
        <f t="shared" si="31"/>
        <v>0</v>
      </c>
      <c r="M117" s="231">
        <f t="shared" si="31"/>
        <v>0</v>
      </c>
      <c r="N117" s="231">
        <f t="shared" si="31"/>
        <v>0</v>
      </c>
      <c r="O117" s="231">
        <f t="shared" si="31"/>
        <v>0</v>
      </c>
      <c r="P117" s="231">
        <f t="shared" si="31"/>
        <v>0</v>
      </c>
      <c r="Q117" s="231">
        <f t="shared" si="31"/>
        <v>0</v>
      </c>
      <c r="R117" s="231">
        <f t="shared" si="31"/>
        <v>0</v>
      </c>
      <c r="S117" s="231">
        <f t="shared" si="31"/>
        <v>0</v>
      </c>
      <c r="T117" s="231">
        <f t="shared" si="31"/>
        <v>0</v>
      </c>
      <c r="U117" s="231">
        <f t="shared" si="31"/>
        <v>0</v>
      </c>
      <c r="V117" s="231">
        <f t="shared" si="31"/>
        <v>0</v>
      </c>
      <c r="W117" s="231">
        <f t="shared" si="31"/>
        <v>0</v>
      </c>
      <c r="X117" s="231">
        <f t="shared" si="31"/>
        <v>0</v>
      </c>
      <c r="Y117" s="231">
        <f t="shared" si="31"/>
        <v>0</v>
      </c>
      <c r="Z117" s="231">
        <f t="shared" si="31"/>
        <v>0</v>
      </c>
      <c r="AA117" s="231">
        <f t="shared" si="31"/>
        <v>0</v>
      </c>
      <c r="AB117" s="231">
        <f t="shared" si="31"/>
        <v>0</v>
      </c>
      <c r="AC117" s="231">
        <f t="shared" si="31"/>
        <v>0</v>
      </c>
      <c r="AD117" s="231">
        <f t="shared" si="31"/>
        <v>0</v>
      </c>
      <c r="AE117" s="231">
        <f t="shared" si="31"/>
        <v>0</v>
      </c>
      <c r="AF117" s="231">
        <f t="shared" si="31"/>
        <v>0</v>
      </c>
      <c r="AG117" s="231">
        <f t="shared" si="31"/>
        <v>0</v>
      </c>
      <c r="AH117" s="231">
        <f t="shared" si="31"/>
        <v>0</v>
      </c>
      <c r="AI117" s="231">
        <f t="shared" si="31"/>
        <v>0</v>
      </c>
      <c r="AJ117" s="231">
        <f t="shared" si="31"/>
        <v>0</v>
      </c>
    </row>
    <row r="118" spans="2:36" s="1" customFormat="1" x14ac:dyDescent="0.2">
      <c r="B118" s="221" t="s">
        <v>82</v>
      </c>
      <c r="C118" s="221"/>
      <c r="D118" s="221"/>
      <c r="E118" s="230">
        <f t="shared" si="30"/>
        <v>270000</v>
      </c>
      <c r="F118" s="230"/>
      <c r="G118" s="231">
        <f t="shared" ref="G118:AJ118" si="32">$E101*G101</f>
        <v>13500</v>
      </c>
      <c r="H118" s="231">
        <f t="shared" si="32"/>
        <v>25650</v>
      </c>
      <c r="I118" s="231">
        <f t="shared" si="32"/>
        <v>23085</v>
      </c>
      <c r="J118" s="231">
        <f t="shared" si="32"/>
        <v>20790</v>
      </c>
      <c r="K118" s="231">
        <f t="shared" si="32"/>
        <v>18711</v>
      </c>
      <c r="L118" s="231">
        <f t="shared" si="32"/>
        <v>16821</v>
      </c>
      <c r="M118" s="231">
        <f t="shared" si="32"/>
        <v>15930</v>
      </c>
      <c r="N118" s="231">
        <f t="shared" si="32"/>
        <v>15930</v>
      </c>
      <c r="O118" s="231">
        <f t="shared" si="32"/>
        <v>15957</v>
      </c>
      <c r="P118" s="231">
        <f t="shared" si="32"/>
        <v>15930</v>
      </c>
      <c r="Q118" s="231">
        <f t="shared" si="32"/>
        <v>15957</v>
      </c>
      <c r="R118" s="231">
        <f t="shared" si="32"/>
        <v>15930</v>
      </c>
      <c r="S118" s="231">
        <f t="shared" si="32"/>
        <v>15957</v>
      </c>
      <c r="T118" s="231">
        <f t="shared" si="32"/>
        <v>15930</v>
      </c>
      <c r="U118" s="231">
        <f t="shared" si="32"/>
        <v>15957</v>
      </c>
      <c r="V118" s="231">
        <f t="shared" si="32"/>
        <v>7965</v>
      </c>
      <c r="W118" s="231">
        <f t="shared" si="32"/>
        <v>0</v>
      </c>
      <c r="X118" s="231">
        <f t="shared" si="32"/>
        <v>0</v>
      </c>
      <c r="Y118" s="231">
        <f t="shared" si="32"/>
        <v>0</v>
      </c>
      <c r="Z118" s="231">
        <f t="shared" si="32"/>
        <v>0</v>
      </c>
      <c r="AA118" s="231">
        <f t="shared" si="32"/>
        <v>0</v>
      </c>
      <c r="AB118" s="231">
        <f t="shared" si="32"/>
        <v>0</v>
      </c>
      <c r="AC118" s="231">
        <f t="shared" si="32"/>
        <v>0</v>
      </c>
      <c r="AD118" s="231">
        <f t="shared" si="32"/>
        <v>0</v>
      </c>
      <c r="AE118" s="231">
        <f t="shared" si="32"/>
        <v>0</v>
      </c>
      <c r="AF118" s="231">
        <f t="shared" si="32"/>
        <v>0</v>
      </c>
      <c r="AG118" s="231">
        <f t="shared" si="32"/>
        <v>0</v>
      </c>
      <c r="AH118" s="231">
        <f t="shared" si="32"/>
        <v>0</v>
      </c>
      <c r="AI118" s="231">
        <f t="shared" si="32"/>
        <v>0</v>
      </c>
      <c r="AJ118" s="231">
        <f t="shared" si="32"/>
        <v>0</v>
      </c>
    </row>
    <row r="119" spans="2:36" s="1" customFormat="1" x14ac:dyDescent="0.2">
      <c r="B119" s="221" t="s">
        <v>83</v>
      </c>
      <c r="C119" s="221"/>
      <c r="D119" s="221"/>
      <c r="E119" s="230">
        <f t="shared" si="30"/>
        <v>0</v>
      </c>
      <c r="F119" s="230"/>
      <c r="G119" s="231">
        <f t="shared" ref="G119:AJ119" si="33">$E102*G102</f>
        <v>0</v>
      </c>
      <c r="H119" s="231">
        <f t="shared" si="33"/>
        <v>0</v>
      </c>
      <c r="I119" s="231">
        <f t="shared" si="33"/>
        <v>0</v>
      </c>
      <c r="J119" s="231">
        <f t="shared" si="33"/>
        <v>0</v>
      </c>
      <c r="K119" s="231">
        <f t="shared" si="33"/>
        <v>0</v>
      </c>
      <c r="L119" s="231">
        <f t="shared" si="33"/>
        <v>0</v>
      </c>
      <c r="M119" s="231">
        <f t="shared" si="33"/>
        <v>0</v>
      </c>
      <c r="N119" s="231">
        <f t="shared" si="33"/>
        <v>0</v>
      </c>
      <c r="O119" s="231">
        <f t="shared" si="33"/>
        <v>0</v>
      </c>
      <c r="P119" s="231">
        <f t="shared" si="33"/>
        <v>0</v>
      </c>
      <c r="Q119" s="231">
        <f t="shared" si="33"/>
        <v>0</v>
      </c>
      <c r="R119" s="231">
        <f t="shared" si="33"/>
        <v>0</v>
      </c>
      <c r="S119" s="231">
        <f t="shared" si="33"/>
        <v>0</v>
      </c>
      <c r="T119" s="231">
        <f t="shared" si="33"/>
        <v>0</v>
      </c>
      <c r="U119" s="231">
        <f t="shared" si="33"/>
        <v>0</v>
      </c>
      <c r="V119" s="231">
        <f t="shared" si="33"/>
        <v>0</v>
      </c>
      <c r="W119" s="231">
        <f t="shared" si="33"/>
        <v>0</v>
      </c>
      <c r="X119" s="231">
        <f t="shared" si="33"/>
        <v>0</v>
      </c>
      <c r="Y119" s="231">
        <f t="shared" si="33"/>
        <v>0</v>
      </c>
      <c r="Z119" s="231">
        <f t="shared" si="33"/>
        <v>0</v>
      </c>
      <c r="AA119" s="231">
        <f t="shared" si="33"/>
        <v>0</v>
      </c>
      <c r="AB119" s="231">
        <f t="shared" si="33"/>
        <v>0</v>
      </c>
      <c r="AC119" s="231">
        <f t="shared" si="33"/>
        <v>0</v>
      </c>
      <c r="AD119" s="231">
        <f t="shared" si="33"/>
        <v>0</v>
      </c>
      <c r="AE119" s="231">
        <f t="shared" si="33"/>
        <v>0</v>
      </c>
      <c r="AF119" s="231">
        <f t="shared" si="33"/>
        <v>0</v>
      </c>
      <c r="AG119" s="231">
        <f t="shared" si="33"/>
        <v>0</v>
      </c>
      <c r="AH119" s="231">
        <f t="shared" si="33"/>
        <v>0</v>
      </c>
      <c r="AI119" s="231">
        <f t="shared" si="33"/>
        <v>0</v>
      </c>
      <c r="AJ119" s="231">
        <f t="shared" si="33"/>
        <v>0</v>
      </c>
    </row>
    <row r="120" spans="2:36" s="1" customFormat="1" x14ac:dyDescent="0.2">
      <c r="B120" s="221" t="s">
        <v>134</v>
      </c>
      <c r="C120" s="221"/>
      <c r="D120" s="221"/>
      <c r="E120" s="230">
        <f t="shared" si="30"/>
        <v>0</v>
      </c>
      <c r="F120" s="230"/>
      <c r="G120" s="231">
        <f t="shared" ref="G120:AJ120" si="34">$E103*G103</f>
        <v>0</v>
      </c>
      <c r="H120" s="231">
        <f t="shared" si="34"/>
        <v>0</v>
      </c>
      <c r="I120" s="231">
        <f t="shared" si="34"/>
        <v>0</v>
      </c>
      <c r="J120" s="231">
        <f t="shared" si="34"/>
        <v>0</v>
      </c>
      <c r="K120" s="231">
        <f t="shared" si="34"/>
        <v>0</v>
      </c>
      <c r="L120" s="231">
        <f t="shared" si="34"/>
        <v>0</v>
      </c>
      <c r="M120" s="231">
        <f t="shared" si="34"/>
        <v>0</v>
      </c>
      <c r="N120" s="231">
        <f t="shared" si="34"/>
        <v>0</v>
      </c>
      <c r="O120" s="231">
        <f t="shared" si="34"/>
        <v>0</v>
      </c>
      <c r="P120" s="231">
        <f t="shared" si="34"/>
        <v>0</v>
      </c>
      <c r="Q120" s="231">
        <f t="shared" si="34"/>
        <v>0</v>
      </c>
      <c r="R120" s="231">
        <f t="shared" si="34"/>
        <v>0</v>
      </c>
      <c r="S120" s="231">
        <f t="shared" si="34"/>
        <v>0</v>
      </c>
      <c r="T120" s="231">
        <f t="shared" si="34"/>
        <v>0</v>
      </c>
      <c r="U120" s="231">
        <f t="shared" si="34"/>
        <v>0</v>
      </c>
      <c r="V120" s="231">
        <f t="shared" si="34"/>
        <v>0</v>
      </c>
      <c r="W120" s="231">
        <f t="shared" si="34"/>
        <v>0</v>
      </c>
      <c r="X120" s="231">
        <f t="shared" si="34"/>
        <v>0</v>
      </c>
      <c r="Y120" s="231">
        <f t="shared" si="34"/>
        <v>0</v>
      </c>
      <c r="Z120" s="231">
        <f t="shared" si="34"/>
        <v>0</v>
      </c>
      <c r="AA120" s="231">
        <f t="shared" si="34"/>
        <v>0</v>
      </c>
      <c r="AB120" s="231">
        <f t="shared" si="34"/>
        <v>0</v>
      </c>
      <c r="AC120" s="231">
        <f t="shared" si="34"/>
        <v>0</v>
      </c>
      <c r="AD120" s="231">
        <f t="shared" si="34"/>
        <v>0</v>
      </c>
      <c r="AE120" s="231">
        <f t="shared" si="34"/>
        <v>0</v>
      </c>
      <c r="AF120" s="231">
        <f t="shared" si="34"/>
        <v>0</v>
      </c>
      <c r="AG120" s="231">
        <f t="shared" si="34"/>
        <v>0</v>
      </c>
      <c r="AH120" s="231">
        <f t="shared" si="34"/>
        <v>0</v>
      </c>
      <c r="AI120" s="231">
        <f t="shared" si="34"/>
        <v>0</v>
      </c>
      <c r="AJ120" s="231">
        <f t="shared" si="34"/>
        <v>0</v>
      </c>
    </row>
    <row r="121" spans="2:36" s="1" customFormat="1" x14ac:dyDescent="0.2">
      <c r="B121" s="221" t="s">
        <v>135</v>
      </c>
      <c r="C121" s="221"/>
      <c r="D121" s="221"/>
      <c r="E121" s="230">
        <f t="shared" si="30"/>
        <v>525000</v>
      </c>
      <c r="F121" s="230"/>
      <c r="G121" s="231">
        <f t="shared" ref="G121:AJ121" si="35">$E104*G104</f>
        <v>17482.5</v>
      </c>
      <c r="H121" s="231">
        <f t="shared" si="35"/>
        <v>35017.5</v>
      </c>
      <c r="I121" s="231">
        <f t="shared" si="35"/>
        <v>35017.5</v>
      </c>
      <c r="J121" s="231">
        <f t="shared" si="35"/>
        <v>35017.5</v>
      </c>
      <c r="K121" s="231">
        <f t="shared" si="35"/>
        <v>35017.5</v>
      </c>
      <c r="L121" s="231">
        <f t="shared" si="35"/>
        <v>35017.5</v>
      </c>
      <c r="M121" s="231">
        <f t="shared" si="35"/>
        <v>35017.5</v>
      </c>
      <c r="N121" s="231">
        <f t="shared" si="35"/>
        <v>35017.5</v>
      </c>
      <c r="O121" s="231">
        <f t="shared" si="35"/>
        <v>35017.5</v>
      </c>
      <c r="P121" s="231">
        <f t="shared" si="35"/>
        <v>35017.5</v>
      </c>
      <c r="Q121" s="231">
        <f t="shared" si="35"/>
        <v>35017.5</v>
      </c>
      <c r="R121" s="231">
        <f t="shared" si="35"/>
        <v>34965</v>
      </c>
      <c r="S121" s="231">
        <f t="shared" si="35"/>
        <v>34965</v>
      </c>
      <c r="T121" s="231">
        <f t="shared" si="35"/>
        <v>34965</v>
      </c>
      <c r="U121" s="231">
        <f t="shared" si="35"/>
        <v>34965</v>
      </c>
      <c r="V121" s="231">
        <f t="shared" si="35"/>
        <v>17482.5</v>
      </c>
      <c r="W121" s="231">
        <f t="shared" si="35"/>
        <v>0</v>
      </c>
      <c r="X121" s="231">
        <f t="shared" si="35"/>
        <v>0</v>
      </c>
      <c r="Y121" s="231">
        <f t="shared" si="35"/>
        <v>0</v>
      </c>
      <c r="Z121" s="231">
        <f t="shared" si="35"/>
        <v>0</v>
      </c>
      <c r="AA121" s="231">
        <f t="shared" si="35"/>
        <v>0</v>
      </c>
      <c r="AB121" s="231">
        <f t="shared" si="35"/>
        <v>0</v>
      </c>
      <c r="AC121" s="231">
        <f t="shared" si="35"/>
        <v>0</v>
      </c>
      <c r="AD121" s="231">
        <f t="shared" si="35"/>
        <v>0</v>
      </c>
      <c r="AE121" s="231">
        <f t="shared" si="35"/>
        <v>0</v>
      </c>
      <c r="AF121" s="231">
        <f t="shared" si="35"/>
        <v>0</v>
      </c>
      <c r="AG121" s="231">
        <f t="shared" si="35"/>
        <v>0</v>
      </c>
      <c r="AH121" s="231">
        <f t="shared" si="35"/>
        <v>0</v>
      </c>
      <c r="AI121" s="231">
        <f t="shared" si="35"/>
        <v>0</v>
      </c>
      <c r="AJ121" s="231">
        <f t="shared" si="35"/>
        <v>0</v>
      </c>
    </row>
    <row r="122" spans="2:36" s="1" customFormat="1" x14ac:dyDescent="0.2">
      <c r="B122" s="221" t="s">
        <v>84</v>
      </c>
      <c r="C122" s="221"/>
      <c r="D122" s="221"/>
      <c r="E122" s="230">
        <f t="shared" si="30"/>
        <v>131652.44255574475</v>
      </c>
      <c r="F122" s="230"/>
      <c r="G122" s="231">
        <f t="shared" ref="G122:AJ122" si="36">$E105*G105</f>
        <v>3291.3110638936191</v>
      </c>
      <c r="H122" s="231">
        <f t="shared" si="36"/>
        <v>6582.6221277872382</v>
      </c>
      <c r="I122" s="231">
        <f t="shared" si="36"/>
        <v>6582.6221277872382</v>
      </c>
      <c r="J122" s="231">
        <f t="shared" si="36"/>
        <v>6582.6221277872382</v>
      </c>
      <c r="K122" s="231">
        <f t="shared" si="36"/>
        <v>6582.6221277872382</v>
      </c>
      <c r="L122" s="231">
        <f t="shared" si="36"/>
        <v>6582.6221277872382</v>
      </c>
      <c r="M122" s="231">
        <f t="shared" si="36"/>
        <v>6582.6221277872382</v>
      </c>
      <c r="N122" s="231">
        <f t="shared" si="36"/>
        <v>6582.6221277872382</v>
      </c>
      <c r="O122" s="231">
        <f t="shared" si="36"/>
        <v>6582.6221277872382</v>
      </c>
      <c r="P122" s="231">
        <f t="shared" si="36"/>
        <v>6582.6221277872382</v>
      </c>
      <c r="Q122" s="231">
        <f t="shared" si="36"/>
        <v>6582.6221277872382</v>
      </c>
      <c r="R122" s="231">
        <f t="shared" si="36"/>
        <v>6582.6221277872382</v>
      </c>
      <c r="S122" s="231">
        <f t="shared" si="36"/>
        <v>6582.6221277872382</v>
      </c>
      <c r="T122" s="231">
        <f t="shared" si="36"/>
        <v>6582.6221277872382</v>
      </c>
      <c r="U122" s="231">
        <f t="shared" si="36"/>
        <v>6582.6221277872382</v>
      </c>
      <c r="V122" s="231">
        <f t="shared" si="36"/>
        <v>6582.6221277872382</v>
      </c>
      <c r="W122" s="231">
        <f t="shared" si="36"/>
        <v>6582.6221277872382</v>
      </c>
      <c r="X122" s="231">
        <f t="shared" si="36"/>
        <v>6582.6221277872382</v>
      </c>
      <c r="Y122" s="231">
        <f t="shared" si="36"/>
        <v>6582.6221277872382</v>
      </c>
      <c r="Z122" s="231">
        <f t="shared" si="36"/>
        <v>6582.6221277872382</v>
      </c>
      <c r="AA122" s="231">
        <f t="shared" si="36"/>
        <v>3291.3110638936191</v>
      </c>
      <c r="AB122" s="231">
        <f t="shared" si="36"/>
        <v>0</v>
      </c>
      <c r="AC122" s="231">
        <f t="shared" si="36"/>
        <v>0</v>
      </c>
      <c r="AD122" s="231">
        <f t="shared" si="36"/>
        <v>0</v>
      </c>
      <c r="AE122" s="231">
        <f t="shared" si="36"/>
        <v>0</v>
      </c>
      <c r="AF122" s="231">
        <f t="shared" si="36"/>
        <v>0</v>
      </c>
      <c r="AG122" s="231">
        <f t="shared" si="36"/>
        <v>0</v>
      </c>
      <c r="AH122" s="231">
        <f t="shared" si="36"/>
        <v>0</v>
      </c>
      <c r="AI122" s="231">
        <f t="shared" si="36"/>
        <v>0</v>
      </c>
      <c r="AJ122" s="231">
        <f t="shared" si="36"/>
        <v>0</v>
      </c>
    </row>
    <row r="123" spans="2:36" s="1" customFormat="1" x14ac:dyDescent="0.2">
      <c r="B123" s="221" t="s">
        <v>85</v>
      </c>
      <c r="C123" s="221"/>
      <c r="D123" s="221"/>
      <c r="E123" s="230">
        <f t="shared" si="30"/>
        <v>0</v>
      </c>
      <c r="F123" s="230"/>
      <c r="G123" s="231">
        <f t="shared" ref="G123:AJ124" si="37">$E106*G106</f>
        <v>0</v>
      </c>
      <c r="H123" s="231">
        <f t="shared" si="37"/>
        <v>0</v>
      </c>
      <c r="I123" s="231">
        <f t="shared" si="37"/>
        <v>0</v>
      </c>
      <c r="J123" s="231">
        <f t="shared" si="37"/>
        <v>0</v>
      </c>
      <c r="K123" s="231">
        <f t="shared" si="37"/>
        <v>0</v>
      </c>
      <c r="L123" s="231">
        <f t="shared" si="37"/>
        <v>0</v>
      </c>
      <c r="M123" s="231">
        <f t="shared" si="37"/>
        <v>0</v>
      </c>
      <c r="N123" s="231">
        <f t="shared" si="37"/>
        <v>0</v>
      </c>
      <c r="O123" s="231">
        <f t="shared" si="37"/>
        <v>0</v>
      </c>
      <c r="P123" s="231">
        <f t="shared" si="37"/>
        <v>0</v>
      </c>
      <c r="Q123" s="231">
        <f t="shared" si="37"/>
        <v>0</v>
      </c>
      <c r="R123" s="231">
        <f t="shared" si="37"/>
        <v>0</v>
      </c>
      <c r="S123" s="231">
        <f t="shared" si="37"/>
        <v>0</v>
      </c>
      <c r="T123" s="231">
        <f t="shared" si="37"/>
        <v>0</v>
      </c>
      <c r="U123" s="231">
        <f t="shared" si="37"/>
        <v>0</v>
      </c>
      <c r="V123" s="231">
        <f t="shared" si="37"/>
        <v>0</v>
      </c>
      <c r="W123" s="231">
        <f t="shared" si="37"/>
        <v>0</v>
      </c>
      <c r="X123" s="231">
        <f t="shared" si="37"/>
        <v>0</v>
      </c>
      <c r="Y123" s="231">
        <f t="shared" si="37"/>
        <v>0</v>
      </c>
      <c r="Z123" s="231">
        <f t="shared" si="37"/>
        <v>0</v>
      </c>
      <c r="AA123" s="231">
        <f t="shared" si="37"/>
        <v>0</v>
      </c>
      <c r="AB123" s="231">
        <f t="shared" si="37"/>
        <v>0</v>
      </c>
      <c r="AC123" s="231">
        <f t="shared" si="37"/>
        <v>0</v>
      </c>
      <c r="AD123" s="231">
        <f t="shared" si="37"/>
        <v>0</v>
      </c>
      <c r="AE123" s="231">
        <f t="shared" si="37"/>
        <v>0</v>
      </c>
      <c r="AF123" s="231">
        <f t="shared" si="37"/>
        <v>0</v>
      </c>
      <c r="AG123" s="231">
        <f t="shared" si="37"/>
        <v>0</v>
      </c>
      <c r="AH123" s="231">
        <f t="shared" si="37"/>
        <v>0</v>
      </c>
      <c r="AI123" s="231">
        <f t="shared" si="37"/>
        <v>0</v>
      </c>
      <c r="AJ123" s="231">
        <f t="shared" si="37"/>
        <v>0</v>
      </c>
    </row>
    <row r="124" spans="2:36" s="1" customFormat="1" x14ac:dyDescent="0.2">
      <c r="B124" s="221" t="s">
        <v>356</v>
      </c>
      <c r="C124" s="221"/>
      <c r="D124" s="221"/>
      <c r="E124" s="230">
        <f t="shared" si="30"/>
        <v>2923304.8851114893</v>
      </c>
      <c r="F124" s="230"/>
      <c r="G124" s="231">
        <f t="shared" si="37"/>
        <v>2923304.8851114893</v>
      </c>
      <c r="H124" s="231">
        <f t="shared" si="37"/>
        <v>0</v>
      </c>
      <c r="I124" s="231">
        <f t="shared" si="37"/>
        <v>0</v>
      </c>
      <c r="J124" s="231">
        <f t="shared" si="37"/>
        <v>0</v>
      </c>
      <c r="K124" s="231">
        <f t="shared" si="37"/>
        <v>0</v>
      </c>
      <c r="L124" s="231">
        <f t="shared" si="37"/>
        <v>0</v>
      </c>
      <c r="M124" s="231">
        <f t="shared" si="37"/>
        <v>0</v>
      </c>
      <c r="N124" s="231">
        <f t="shared" si="37"/>
        <v>0</v>
      </c>
      <c r="O124" s="231">
        <f t="shared" si="37"/>
        <v>0</v>
      </c>
      <c r="P124" s="231">
        <f t="shared" si="37"/>
        <v>0</v>
      </c>
      <c r="Q124" s="231">
        <f t="shared" si="37"/>
        <v>0</v>
      </c>
      <c r="R124" s="231">
        <f t="shared" si="37"/>
        <v>0</v>
      </c>
      <c r="S124" s="231">
        <f t="shared" si="37"/>
        <v>0</v>
      </c>
      <c r="T124" s="231">
        <f t="shared" si="37"/>
        <v>0</v>
      </c>
      <c r="U124" s="231">
        <f t="shared" si="37"/>
        <v>0</v>
      </c>
      <c r="V124" s="231">
        <f t="shared" si="37"/>
        <v>0</v>
      </c>
      <c r="W124" s="231">
        <f t="shared" si="37"/>
        <v>0</v>
      </c>
      <c r="X124" s="231">
        <f t="shared" si="37"/>
        <v>0</v>
      </c>
      <c r="Y124" s="231">
        <f t="shared" si="37"/>
        <v>0</v>
      </c>
      <c r="Z124" s="231">
        <f t="shared" si="37"/>
        <v>0</v>
      </c>
      <c r="AA124" s="231">
        <f t="shared" si="37"/>
        <v>0</v>
      </c>
      <c r="AB124" s="231">
        <f t="shared" si="37"/>
        <v>0</v>
      </c>
      <c r="AC124" s="231">
        <f t="shared" si="37"/>
        <v>0</v>
      </c>
      <c r="AD124" s="231">
        <f t="shared" si="37"/>
        <v>0</v>
      </c>
      <c r="AE124" s="231">
        <f t="shared" si="37"/>
        <v>0</v>
      </c>
      <c r="AF124" s="231">
        <f t="shared" si="37"/>
        <v>0</v>
      </c>
      <c r="AG124" s="231">
        <f t="shared" si="37"/>
        <v>0</v>
      </c>
      <c r="AH124" s="231">
        <f t="shared" si="37"/>
        <v>0</v>
      </c>
      <c r="AI124" s="231">
        <f t="shared" si="37"/>
        <v>0</v>
      </c>
      <c r="AJ124" s="231">
        <f t="shared" si="37"/>
        <v>0</v>
      </c>
    </row>
    <row r="125" spans="2:36" s="1" customFormat="1" x14ac:dyDescent="0.2">
      <c r="B125" s="233" t="s">
        <v>26</v>
      </c>
      <c r="C125" s="233"/>
      <c r="D125" s="233"/>
      <c r="E125" s="234">
        <f>E108</f>
        <v>136652.44255574475</v>
      </c>
      <c r="F125" s="230"/>
      <c r="G125" s="232"/>
      <c r="H125" s="232"/>
      <c r="I125" s="232"/>
      <c r="J125" s="232"/>
      <c r="K125" s="232"/>
      <c r="L125" s="232"/>
      <c r="M125" s="232"/>
      <c r="N125" s="232"/>
      <c r="O125" s="232"/>
      <c r="P125" s="232"/>
      <c r="Q125" s="232"/>
      <c r="R125" s="232"/>
      <c r="S125" s="232"/>
      <c r="T125" s="232"/>
      <c r="U125" s="232"/>
      <c r="V125" s="232"/>
      <c r="W125" s="232"/>
      <c r="X125" s="232"/>
      <c r="Y125" s="232"/>
      <c r="Z125" s="232"/>
      <c r="AA125" s="232"/>
      <c r="AB125" s="232"/>
      <c r="AC125" s="232"/>
      <c r="AD125" s="232"/>
      <c r="AE125" s="232"/>
      <c r="AF125" s="232"/>
      <c r="AG125" s="232"/>
      <c r="AH125" s="232"/>
      <c r="AI125" s="232"/>
      <c r="AJ125" s="232"/>
    </row>
    <row r="126" spans="2:36" s="1" customFormat="1" x14ac:dyDescent="0.2">
      <c r="B126" s="221" t="s">
        <v>87</v>
      </c>
      <c r="C126" s="221"/>
      <c r="D126" s="221"/>
      <c r="E126" s="230">
        <f>SUM(E116:E125)</f>
        <v>5846609.7702229796</v>
      </c>
      <c r="F126" s="235" t="str">
        <f>IF(ROUND(E126,0)=ROUND(E110,0),"OK","error")</f>
        <v>OK</v>
      </c>
      <c r="G126" s="232"/>
      <c r="H126" s="232"/>
      <c r="I126" s="232"/>
      <c r="J126" s="232"/>
      <c r="K126" s="232"/>
      <c r="L126" s="232"/>
      <c r="M126" s="232"/>
      <c r="N126" s="232"/>
      <c r="O126" s="232"/>
      <c r="P126" s="232"/>
      <c r="Q126" s="232"/>
      <c r="R126" s="232"/>
      <c r="S126" s="232"/>
      <c r="T126" s="232"/>
      <c r="U126" s="232"/>
      <c r="V126" s="232"/>
      <c r="W126" s="232"/>
      <c r="X126" s="232"/>
      <c r="Y126" s="232"/>
      <c r="Z126" s="232"/>
      <c r="AA126" s="232"/>
      <c r="AB126" s="232"/>
      <c r="AC126" s="232"/>
      <c r="AD126" s="232"/>
      <c r="AE126" s="232"/>
      <c r="AF126" s="232"/>
      <c r="AG126" s="232"/>
      <c r="AH126" s="232"/>
      <c r="AI126" s="232"/>
      <c r="AJ126" s="232"/>
    </row>
    <row r="127" spans="2:36" s="1" customFormat="1" x14ac:dyDescent="0.2">
      <c r="B127" s="221"/>
      <c r="C127" s="221"/>
      <c r="D127" s="221"/>
      <c r="E127" s="230"/>
      <c r="F127" s="235"/>
      <c r="G127" s="232"/>
      <c r="H127" s="232"/>
      <c r="I127" s="232"/>
      <c r="J127" s="232"/>
      <c r="K127" s="232"/>
      <c r="L127" s="232"/>
      <c r="M127" s="232"/>
      <c r="N127" s="232"/>
      <c r="O127" s="232"/>
      <c r="P127" s="232"/>
      <c r="Q127" s="232"/>
      <c r="R127" s="232"/>
      <c r="S127" s="232"/>
      <c r="T127" s="232"/>
      <c r="U127" s="232"/>
      <c r="V127" s="232"/>
      <c r="W127" s="232"/>
      <c r="X127" s="232"/>
      <c r="Y127" s="232"/>
      <c r="Z127" s="232"/>
      <c r="AA127" s="232"/>
      <c r="AB127" s="232"/>
      <c r="AC127" s="232"/>
      <c r="AD127" s="232"/>
      <c r="AE127" s="232"/>
      <c r="AF127" s="232"/>
      <c r="AG127" s="232"/>
      <c r="AH127" s="232"/>
      <c r="AI127" s="232"/>
      <c r="AJ127" s="232"/>
    </row>
    <row r="128" spans="2:36" s="1" customFormat="1" ht="15.75" x14ac:dyDescent="0.25">
      <c r="B128" s="223" t="s">
        <v>157</v>
      </c>
      <c r="C128" s="223"/>
      <c r="D128" s="223"/>
      <c r="E128" s="230"/>
      <c r="F128" s="235"/>
      <c r="G128" s="232"/>
      <c r="H128" s="232"/>
      <c r="I128" s="232"/>
      <c r="J128" s="232"/>
      <c r="K128" s="232"/>
      <c r="L128" s="232"/>
      <c r="M128" s="232"/>
      <c r="N128" s="232"/>
      <c r="O128" s="232"/>
      <c r="P128" s="232"/>
      <c r="Q128" s="232"/>
      <c r="R128" s="232"/>
      <c r="S128" s="232"/>
      <c r="T128" s="232"/>
      <c r="U128" s="232"/>
      <c r="V128" s="232"/>
      <c r="W128" s="232"/>
      <c r="X128" s="232"/>
      <c r="Y128" s="232"/>
      <c r="Z128" s="232"/>
      <c r="AA128" s="232"/>
      <c r="AB128" s="232"/>
      <c r="AC128" s="232"/>
      <c r="AD128" s="232"/>
      <c r="AE128" s="232"/>
      <c r="AF128" s="232"/>
      <c r="AG128" s="232"/>
      <c r="AH128" s="232"/>
      <c r="AI128" s="232"/>
      <c r="AJ128" s="232"/>
    </row>
    <row r="129" spans="2:36" s="1" customFormat="1" x14ac:dyDescent="0.2">
      <c r="B129" s="221" t="s">
        <v>158</v>
      </c>
      <c r="C129" s="221"/>
      <c r="D129" s="221"/>
      <c r="E129" s="230">
        <f>Inputs!$Q$51*Inputs!$G$8*1000</f>
        <v>517000</v>
      </c>
      <c r="F129" s="235"/>
      <c r="G129" s="232">
        <f>IF(G$2=Inputs!$Q$50,'Cash Flow'!$E$129,0)</f>
        <v>0</v>
      </c>
      <c r="H129" s="232">
        <f>IF(H$2=Inputs!$Q$50,'Cash Flow'!$E$129,0)</f>
        <v>0</v>
      </c>
      <c r="I129" s="232">
        <f>IF(I$2=Inputs!$Q$50,'Cash Flow'!$E$129,0)</f>
        <v>0</v>
      </c>
      <c r="J129" s="232">
        <f>IF(J$2=Inputs!$Q$50,'Cash Flow'!$E$129,0)</f>
        <v>0</v>
      </c>
      <c r="K129" s="232">
        <f>IF(K$2=Inputs!$Q$50,'Cash Flow'!$E$129,0)</f>
        <v>0</v>
      </c>
      <c r="L129" s="232">
        <f>IF(L$2=Inputs!$Q$50,'Cash Flow'!$E$129,0)</f>
        <v>0</v>
      </c>
      <c r="M129" s="232">
        <f>IF(M$2=Inputs!$Q$50,'Cash Flow'!$E$129,0)</f>
        <v>0</v>
      </c>
      <c r="N129" s="232">
        <f>IF(N$2=Inputs!$Q$50,'Cash Flow'!$E$129,0)</f>
        <v>0</v>
      </c>
      <c r="O129" s="232">
        <f>IF(O$2=Inputs!$Q$50,'Cash Flow'!$E$129,0)</f>
        <v>0</v>
      </c>
      <c r="P129" s="232">
        <f>IF(P$2=Inputs!$Q$50,'Cash Flow'!$E$129,0)</f>
        <v>517000</v>
      </c>
      <c r="Q129" s="232">
        <f>IF(Q$2=Inputs!$Q$50,'Cash Flow'!$E$129,0)</f>
        <v>0</v>
      </c>
      <c r="R129" s="232">
        <f>IF(R$2=Inputs!$Q$50,'Cash Flow'!$E$129,0)</f>
        <v>0</v>
      </c>
      <c r="S129" s="232">
        <f>IF(S$2=Inputs!$Q$50,'Cash Flow'!$E$129,0)</f>
        <v>0</v>
      </c>
      <c r="T129" s="232">
        <f>IF(T$2=Inputs!$Q$50,'Cash Flow'!$E$129,0)</f>
        <v>0</v>
      </c>
      <c r="U129" s="232">
        <f>IF(U$2=Inputs!$Q$50,'Cash Flow'!$E$129,0)</f>
        <v>0</v>
      </c>
      <c r="V129" s="232">
        <f>IF(V$2=Inputs!$Q$50,'Cash Flow'!$E$129,0)</f>
        <v>0</v>
      </c>
      <c r="W129" s="232">
        <f>IF(W$2=Inputs!$Q$50,'Cash Flow'!$E$129,0)</f>
        <v>0</v>
      </c>
      <c r="X129" s="232">
        <f>IF(X$2=Inputs!$Q$50,'Cash Flow'!$E$129,0)</f>
        <v>0</v>
      </c>
      <c r="Y129" s="232">
        <f>IF(Y$2=Inputs!$Q$50,'Cash Flow'!$E$129,0)</f>
        <v>0</v>
      </c>
      <c r="Z129" s="232">
        <f>IF(Z$2=Inputs!$Q$50,'Cash Flow'!$E$129,0)</f>
        <v>0</v>
      </c>
      <c r="AA129" s="232">
        <f>IF(AA$2=Inputs!$Q$50,'Cash Flow'!$E$129,0)</f>
        <v>0</v>
      </c>
      <c r="AB129" s="232">
        <f>IF(AB$2=Inputs!$Q$50,'Cash Flow'!$E$129,0)</f>
        <v>0</v>
      </c>
      <c r="AC129" s="232">
        <f>IF(AC$2=Inputs!$Q$50,'Cash Flow'!$E$129,0)</f>
        <v>0</v>
      </c>
      <c r="AD129" s="232">
        <f>IF(AD$2=Inputs!$Q$50,'Cash Flow'!$E$129,0)</f>
        <v>0</v>
      </c>
      <c r="AE129" s="232">
        <f>IF(AE$2=Inputs!$Q$50,'Cash Flow'!$E$129,0)</f>
        <v>0</v>
      </c>
      <c r="AF129" s="232">
        <f>IF(AF$2=Inputs!$Q$50,'Cash Flow'!$E$129,0)</f>
        <v>0</v>
      </c>
      <c r="AG129" s="232">
        <f>IF(AG$2=Inputs!$Q$50,'Cash Flow'!$E$129,0)</f>
        <v>0</v>
      </c>
      <c r="AH129" s="232">
        <f>IF(AH$2=Inputs!$Q$50,'Cash Flow'!$E$129,0)</f>
        <v>0</v>
      </c>
      <c r="AI129" s="232">
        <f>IF(AI$2=Inputs!$Q$50,'Cash Flow'!$E$129,0)</f>
        <v>0</v>
      </c>
      <c r="AJ129" s="232">
        <f>IF(AJ$2=Inputs!$Q$50,'Cash Flow'!$E$129,0)</f>
        <v>0</v>
      </c>
    </row>
    <row r="130" spans="2:36" s="1" customFormat="1" x14ac:dyDescent="0.2">
      <c r="B130" s="221" t="s">
        <v>160</v>
      </c>
      <c r="C130" s="221"/>
      <c r="D130" s="221"/>
      <c r="E130" s="230"/>
      <c r="F130" s="235"/>
      <c r="G130" s="236">
        <f>IF(G129&gt;0,1,IF(F130&gt;0,F130+1,0))</f>
        <v>0</v>
      </c>
      <c r="H130" s="236">
        <f t="shared" ref="H130:AJ130" si="38">IF(H129&gt;0,1,IF(G130&gt;0,G130+1,0))</f>
        <v>0</v>
      </c>
      <c r="I130" s="236">
        <f t="shared" si="38"/>
        <v>0</v>
      </c>
      <c r="J130" s="236">
        <f t="shared" si="38"/>
        <v>0</v>
      </c>
      <c r="K130" s="236">
        <f t="shared" si="38"/>
        <v>0</v>
      </c>
      <c r="L130" s="236">
        <f t="shared" si="38"/>
        <v>0</v>
      </c>
      <c r="M130" s="236">
        <f t="shared" si="38"/>
        <v>0</v>
      </c>
      <c r="N130" s="236">
        <f t="shared" si="38"/>
        <v>0</v>
      </c>
      <c r="O130" s="236">
        <f t="shared" si="38"/>
        <v>0</v>
      </c>
      <c r="P130" s="236">
        <f t="shared" si="38"/>
        <v>1</v>
      </c>
      <c r="Q130" s="236">
        <f t="shared" si="38"/>
        <v>2</v>
      </c>
      <c r="R130" s="236">
        <f t="shared" si="38"/>
        <v>3</v>
      </c>
      <c r="S130" s="236">
        <f t="shared" si="38"/>
        <v>4</v>
      </c>
      <c r="T130" s="236">
        <f t="shared" si="38"/>
        <v>5</v>
      </c>
      <c r="U130" s="236">
        <f t="shared" si="38"/>
        <v>6</v>
      </c>
      <c r="V130" s="236">
        <f t="shared" si="38"/>
        <v>7</v>
      </c>
      <c r="W130" s="236">
        <f t="shared" si="38"/>
        <v>8</v>
      </c>
      <c r="X130" s="236">
        <f t="shared" si="38"/>
        <v>9</v>
      </c>
      <c r="Y130" s="236">
        <f t="shared" si="38"/>
        <v>10</v>
      </c>
      <c r="Z130" s="236">
        <f t="shared" si="38"/>
        <v>11</v>
      </c>
      <c r="AA130" s="236">
        <f t="shared" si="38"/>
        <v>12</v>
      </c>
      <c r="AB130" s="236">
        <f t="shared" si="38"/>
        <v>13</v>
      </c>
      <c r="AC130" s="236">
        <f t="shared" si="38"/>
        <v>14</v>
      </c>
      <c r="AD130" s="236">
        <f t="shared" si="38"/>
        <v>15</v>
      </c>
      <c r="AE130" s="236">
        <f t="shared" si="38"/>
        <v>16</v>
      </c>
      <c r="AF130" s="236">
        <f t="shared" si="38"/>
        <v>17</v>
      </c>
      <c r="AG130" s="236">
        <f t="shared" si="38"/>
        <v>18</v>
      </c>
      <c r="AH130" s="236">
        <f t="shared" si="38"/>
        <v>19</v>
      </c>
      <c r="AI130" s="236">
        <f t="shared" si="38"/>
        <v>20</v>
      </c>
      <c r="AJ130" s="236">
        <f t="shared" si="38"/>
        <v>21</v>
      </c>
    </row>
    <row r="131" spans="2:36" s="1" customFormat="1" x14ac:dyDescent="0.2">
      <c r="B131" s="221" t="s">
        <v>161</v>
      </c>
      <c r="C131" s="221"/>
      <c r="D131" s="221"/>
      <c r="E131" s="230"/>
      <c r="F131" s="235"/>
      <c r="G131" s="232">
        <f t="shared" ref="G131:AJ131" si="39">IF(G130=0,0,$E$129*LOOKUP(G130,$G$97:$AJ$97,$G$99:$AJ$99))</f>
        <v>0</v>
      </c>
      <c r="H131" s="232">
        <f t="shared" si="39"/>
        <v>0</v>
      </c>
      <c r="I131" s="232">
        <f t="shared" si="39"/>
        <v>0</v>
      </c>
      <c r="J131" s="232">
        <f t="shared" si="39"/>
        <v>0</v>
      </c>
      <c r="K131" s="232">
        <f t="shared" si="39"/>
        <v>0</v>
      </c>
      <c r="L131" s="232">
        <f t="shared" si="39"/>
        <v>0</v>
      </c>
      <c r="M131" s="232">
        <f t="shared" si="39"/>
        <v>0</v>
      </c>
      <c r="N131" s="232">
        <f t="shared" si="39"/>
        <v>0</v>
      </c>
      <c r="O131" s="232">
        <f t="shared" si="39"/>
        <v>0</v>
      </c>
      <c r="P131" s="232">
        <f t="shared" si="39"/>
        <v>103400</v>
      </c>
      <c r="Q131" s="232">
        <f t="shared" si="39"/>
        <v>165440</v>
      </c>
      <c r="R131" s="232">
        <f t="shared" si="39"/>
        <v>99264</v>
      </c>
      <c r="S131" s="232">
        <f t="shared" si="39"/>
        <v>59558.400000000001</v>
      </c>
      <c r="T131" s="232">
        <f t="shared" si="39"/>
        <v>59558.400000000001</v>
      </c>
      <c r="U131" s="232">
        <f t="shared" si="39"/>
        <v>29779.200000000001</v>
      </c>
      <c r="V131" s="232">
        <f t="shared" si="39"/>
        <v>0</v>
      </c>
      <c r="W131" s="232">
        <f t="shared" si="39"/>
        <v>0</v>
      </c>
      <c r="X131" s="232">
        <f t="shared" si="39"/>
        <v>0</v>
      </c>
      <c r="Y131" s="232">
        <f t="shared" si="39"/>
        <v>0</v>
      </c>
      <c r="Z131" s="232">
        <f t="shared" si="39"/>
        <v>0</v>
      </c>
      <c r="AA131" s="232">
        <f t="shared" si="39"/>
        <v>0</v>
      </c>
      <c r="AB131" s="232">
        <f t="shared" si="39"/>
        <v>0</v>
      </c>
      <c r="AC131" s="232">
        <f t="shared" si="39"/>
        <v>0</v>
      </c>
      <c r="AD131" s="232">
        <f t="shared" si="39"/>
        <v>0</v>
      </c>
      <c r="AE131" s="232">
        <f t="shared" si="39"/>
        <v>0</v>
      </c>
      <c r="AF131" s="232">
        <f t="shared" si="39"/>
        <v>0</v>
      </c>
      <c r="AG131" s="232">
        <f t="shared" si="39"/>
        <v>0</v>
      </c>
      <c r="AH131" s="232">
        <f t="shared" si="39"/>
        <v>0</v>
      </c>
      <c r="AI131" s="232">
        <f t="shared" si="39"/>
        <v>0</v>
      </c>
      <c r="AJ131" s="232">
        <f t="shared" si="39"/>
        <v>0</v>
      </c>
    </row>
    <row r="132" spans="2:36" s="1" customFormat="1" x14ac:dyDescent="0.2">
      <c r="B132" s="221" t="s">
        <v>159</v>
      </c>
      <c r="C132" s="221"/>
      <c r="D132" s="221"/>
      <c r="E132" s="230">
        <f>Inputs!$Q$53*Inputs!$G$8*1000</f>
        <v>539000</v>
      </c>
      <c r="F132" s="235"/>
      <c r="G132" s="232">
        <f>IF(G$2=Inputs!$Q$52,'Cash Flow'!$E$132,0)</f>
        <v>0</v>
      </c>
      <c r="H132" s="232">
        <f>IF(H$2=Inputs!$Q$52,'Cash Flow'!$E$132,0)</f>
        <v>0</v>
      </c>
      <c r="I132" s="232">
        <f>IF(I$2=Inputs!$Q$52,'Cash Flow'!$E$132,0)</f>
        <v>0</v>
      </c>
      <c r="J132" s="232">
        <f>IF(J$2=Inputs!$Q$52,'Cash Flow'!$E$132,0)</f>
        <v>0</v>
      </c>
      <c r="K132" s="232">
        <f>IF(K$2=Inputs!$Q$52,'Cash Flow'!$E$132,0)</f>
        <v>0</v>
      </c>
      <c r="L132" s="232">
        <f>IF(L$2=Inputs!$Q$52,'Cash Flow'!$E$132,0)</f>
        <v>0</v>
      </c>
      <c r="M132" s="232">
        <f>IF(M$2=Inputs!$Q$52,'Cash Flow'!$E$132,0)</f>
        <v>0</v>
      </c>
      <c r="N132" s="232">
        <f>IF(N$2=Inputs!$Q$52,'Cash Flow'!$E$132,0)</f>
        <v>0</v>
      </c>
      <c r="O132" s="232">
        <f>IF(O$2=Inputs!$Q$52,'Cash Flow'!$E$132,0)</f>
        <v>0</v>
      </c>
      <c r="P132" s="232">
        <f>IF(P$2=Inputs!$Q$52,'Cash Flow'!$E$132,0)</f>
        <v>0</v>
      </c>
      <c r="Q132" s="232">
        <f>IF(Q$2=Inputs!$Q$52,'Cash Flow'!$E$132,0)</f>
        <v>0</v>
      </c>
      <c r="R132" s="232">
        <f>IF(R$2=Inputs!$Q$52,'Cash Flow'!$E$132,0)</f>
        <v>0</v>
      </c>
      <c r="S132" s="232">
        <f>IF(S$2=Inputs!$Q$52,'Cash Flow'!$E$132,0)</f>
        <v>0</v>
      </c>
      <c r="T132" s="232">
        <f>IF(T$2=Inputs!$Q$52,'Cash Flow'!$E$132,0)</f>
        <v>0</v>
      </c>
      <c r="U132" s="232">
        <f>IF(U$2=Inputs!$Q$52,'Cash Flow'!$E$132,0)</f>
        <v>0</v>
      </c>
      <c r="V132" s="232">
        <f>IF(V$2=Inputs!$Q$52,'Cash Flow'!$E$132,0)</f>
        <v>0</v>
      </c>
      <c r="W132" s="232">
        <f>IF(W$2=Inputs!$Q$52,'Cash Flow'!$E$132,0)</f>
        <v>0</v>
      </c>
      <c r="X132" s="232">
        <f>IF(X$2=Inputs!$Q$52,'Cash Flow'!$E$132,0)</f>
        <v>0</v>
      </c>
      <c r="Y132" s="232">
        <f>IF(Y$2=Inputs!$Q$52,'Cash Flow'!$E$132,0)</f>
        <v>0</v>
      </c>
      <c r="Z132" s="232">
        <f>IF(Z$2=Inputs!$Q$52,'Cash Flow'!$E$132,0)</f>
        <v>539000</v>
      </c>
      <c r="AA132" s="232">
        <f>IF(AA$2=Inputs!$Q$52,'Cash Flow'!$E$132,0)</f>
        <v>0</v>
      </c>
      <c r="AB132" s="232">
        <f>IF(AB$2=Inputs!$Q$52,'Cash Flow'!$E$132,0)</f>
        <v>0</v>
      </c>
      <c r="AC132" s="232">
        <f>IF(AC$2=Inputs!$Q$52,'Cash Flow'!$E$132,0)</f>
        <v>0</v>
      </c>
      <c r="AD132" s="232">
        <f>IF(AD$2=Inputs!$Q$52,'Cash Flow'!$E$132,0)</f>
        <v>0</v>
      </c>
      <c r="AE132" s="232">
        <f>IF(AE$2=Inputs!$Q$52,'Cash Flow'!$E$132,0)</f>
        <v>0</v>
      </c>
      <c r="AF132" s="232">
        <f>IF(AF$2=Inputs!$Q$52,'Cash Flow'!$E$132,0)</f>
        <v>0</v>
      </c>
      <c r="AG132" s="232">
        <f>IF(AG$2=Inputs!$Q$52,'Cash Flow'!$E$132,0)</f>
        <v>0</v>
      </c>
      <c r="AH132" s="232">
        <f>IF(AH$2=Inputs!$Q$52,'Cash Flow'!$E$132,0)</f>
        <v>0</v>
      </c>
      <c r="AI132" s="232">
        <f>IF(AI$2=Inputs!$Q$52,'Cash Flow'!$E$132,0)</f>
        <v>0</v>
      </c>
      <c r="AJ132" s="232">
        <f>IF(AJ$2=Inputs!$Q$52,'Cash Flow'!$E$132,0)</f>
        <v>0</v>
      </c>
    </row>
    <row r="133" spans="2:36" s="1" customFormat="1" x14ac:dyDescent="0.2">
      <c r="B133" s="221" t="s">
        <v>160</v>
      </c>
      <c r="C133" s="221"/>
      <c r="D133" s="221"/>
      <c r="E133" s="230"/>
      <c r="F133" s="235"/>
      <c r="G133" s="236">
        <f t="shared" ref="G133:AJ133" si="40">IF(G132&gt;0,1,IF(F133&gt;0,F133+1,0))</f>
        <v>0</v>
      </c>
      <c r="H133" s="236">
        <f t="shared" si="40"/>
        <v>0</v>
      </c>
      <c r="I133" s="236">
        <f t="shared" si="40"/>
        <v>0</v>
      </c>
      <c r="J133" s="236">
        <f t="shared" si="40"/>
        <v>0</v>
      </c>
      <c r="K133" s="236">
        <f t="shared" si="40"/>
        <v>0</v>
      </c>
      <c r="L133" s="236">
        <f t="shared" si="40"/>
        <v>0</v>
      </c>
      <c r="M133" s="236">
        <f t="shared" si="40"/>
        <v>0</v>
      </c>
      <c r="N133" s="236">
        <f t="shared" si="40"/>
        <v>0</v>
      </c>
      <c r="O133" s="236">
        <f t="shared" si="40"/>
        <v>0</v>
      </c>
      <c r="P133" s="236">
        <f t="shared" si="40"/>
        <v>0</v>
      </c>
      <c r="Q133" s="236">
        <f t="shared" si="40"/>
        <v>0</v>
      </c>
      <c r="R133" s="236">
        <f t="shared" si="40"/>
        <v>0</v>
      </c>
      <c r="S133" s="236">
        <f t="shared" si="40"/>
        <v>0</v>
      </c>
      <c r="T133" s="236">
        <f t="shared" si="40"/>
        <v>0</v>
      </c>
      <c r="U133" s="236">
        <f t="shared" si="40"/>
        <v>0</v>
      </c>
      <c r="V133" s="236">
        <f t="shared" si="40"/>
        <v>0</v>
      </c>
      <c r="W133" s="236">
        <f t="shared" si="40"/>
        <v>0</v>
      </c>
      <c r="X133" s="236">
        <f t="shared" si="40"/>
        <v>0</v>
      </c>
      <c r="Y133" s="236">
        <f t="shared" si="40"/>
        <v>0</v>
      </c>
      <c r="Z133" s="236">
        <f t="shared" si="40"/>
        <v>1</v>
      </c>
      <c r="AA133" s="236">
        <f t="shared" si="40"/>
        <v>2</v>
      </c>
      <c r="AB133" s="236">
        <f t="shared" si="40"/>
        <v>3</v>
      </c>
      <c r="AC133" s="236">
        <f t="shared" si="40"/>
        <v>4</v>
      </c>
      <c r="AD133" s="236">
        <f t="shared" si="40"/>
        <v>5</v>
      </c>
      <c r="AE133" s="236">
        <f t="shared" si="40"/>
        <v>6</v>
      </c>
      <c r="AF133" s="236">
        <f t="shared" si="40"/>
        <v>7</v>
      </c>
      <c r="AG133" s="236">
        <f t="shared" si="40"/>
        <v>8</v>
      </c>
      <c r="AH133" s="236">
        <f t="shared" si="40"/>
        <v>9</v>
      </c>
      <c r="AI133" s="236">
        <f t="shared" si="40"/>
        <v>10</v>
      </c>
      <c r="AJ133" s="236">
        <f t="shared" si="40"/>
        <v>11</v>
      </c>
    </row>
    <row r="134" spans="2:36" s="1" customFormat="1" x14ac:dyDescent="0.2">
      <c r="B134" s="221" t="s">
        <v>161</v>
      </c>
      <c r="C134" s="221"/>
      <c r="D134" s="221"/>
      <c r="E134" s="230"/>
      <c r="F134" s="235"/>
      <c r="G134" s="232">
        <f t="shared" ref="G134:AJ134" si="41">IF(G133=0,0,$E$132*LOOKUP(G133,$G$97:$AJ$97,$G$99:$AJ$99))</f>
        <v>0</v>
      </c>
      <c r="H134" s="232">
        <f t="shared" si="41"/>
        <v>0</v>
      </c>
      <c r="I134" s="232">
        <f t="shared" si="41"/>
        <v>0</v>
      </c>
      <c r="J134" s="232">
        <f t="shared" si="41"/>
        <v>0</v>
      </c>
      <c r="K134" s="232">
        <f t="shared" si="41"/>
        <v>0</v>
      </c>
      <c r="L134" s="232">
        <f t="shared" si="41"/>
        <v>0</v>
      </c>
      <c r="M134" s="232">
        <f t="shared" si="41"/>
        <v>0</v>
      </c>
      <c r="N134" s="232">
        <f t="shared" si="41"/>
        <v>0</v>
      </c>
      <c r="O134" s="232">
        <f t="shared" si="41"/>
        <v>0</v>
      </c>
      <c r="P134" s="232">
        <f t="shared" si="41"/>
        <v>0</v>
      </c>
      <c r="Q134" s="232">
        <f t="shared" si="41"/>
        <v>0</v>
      </c>
      <c r="R134" s="232">
        <f t="shared" si="41"/>
        <v>0</v>
      </c>
      <c r="S134" s="232">
        <f t="shared" si="41"/>
        <v>0</v>
      </c>
      <c r="T134" s="232">
        <f t="shared" si="41"/>
        <v>0</v>
      </c>
      <c r="U134" s="232">
        <f t="shared" si="41"/>
        <v>0</v>
      </c>
      <c r="V134" s="232">
        <f t="shared" si="41"/>
        <v>0</v>
      </c>
      <c r="W134" s="232">
        <f t="shared" si="41"/>
        <v>0</v>
      </c>
      <c r="X134" s="232">
        <f t="shared" si="41"/>
        <v>0</v>
      </c>
      <c r="Y134" s="232">
        <f t="shared" si="41"/>
        <v>0</v>
      </c>
      <c r="Z134" s="232">
        <f t="shared" si="41"/>
        <v>107800</v>
      </c>
      <c r="AA134" s="232">
        <f t="shared" si="41"/>
        <v>172480</v>
      </c>
      <c r="AB134" s="232">
        <f t="shared" si="41"/>
        <v>103488</v>
      </c>
      <c r="AC134" s="232">
        <f t="shared" si="41"/>
        <v>62092.799999999996</v>
      </c>
      <c r="AD134" s="232">
        <f t="shared" si="41"/>
        <v>62092.799999999996</v>
      </c>
      <c r="AE134" s="232">
        <f t="shared" si="41"/>
        <v>31046.399999999998</v>
      </c>
      <c r="AF134" s="232">
        <f t="shared" si="41"/>
        <v>0</v>
      </c>
      <c r="AG134" s="232">
        <f t="shared" si="41"/>
        <v>0</v>
      </c>
      <c r="AH134" s="232">
        <f t="shared" si="41"/>
        <v>0</v>
      </c>
      <c r="AI134" s="232">
        <f t="shared" si="41"/>
        <v>0</v>
      </c>
      <c r="AJ134" s="232">
        <f t="shared" si="41"/>
        <v>0</v>
      </c>
    </row>
    <row r="135" spans="2:36" s="1" customFormat="1" x14ac:dyDescent="0.2">
      <c r="B135" s="221"/>
      <c r="C135" s="221"/>
      <c r="D135" s="221"/>
      <c r="E135" s="230"/>
      <c r="F135" s="235"/>
      <c r="G135" s="232"/>
      <c r="H135" s="232"/>
      <c r="I135" s="232"/>
      <c r="J135" s="232"/>
      <c r="K135" s="232"/>
      <c r="L135" s="232"/>
      <c r="M135" s="232"/>
      <c r="N135" s="232"/>
      <c r="O135" s="232"/>
      <c r="P135" s="232"/>
      <c r="Q135" s="232"/>
      <c r="R135" s="232"/>
      <c r="S135" s="232"/>
      <c r="T135" s="232"/>
      <c r="U135" s="232"/>
      <c r="V135" s="232"/>
      <c r="W135" s="232"/>
      <c r="X135" s="232"/>
      <c r="Y135" s="232"/>
      <c r="Z135" s="232"/>
      <c r="AA135" s="232"/>
      <c r="AB135" s="232"/>
      <c r="AC135" s="232"/>
      <c r="AD135" s="232"/>
      <c r="AE135" s="232"/>
      <c r="AF135" s="232"/>
      <c r="AG135" s="232"/>
      <c r="AH135" s="232"/>
      <c r="AI135" s="232"/>
      <c r="AJ135" s="232"/>
    </row>
    <row r="136" spans="2:36" s="1" customFormat="1" x14ac:dyDescent="0.2">
      <c r="B136" s="221" t="s">
        <v>260</v>
      </c>
      <c r="C136" s="221"/>
      <c r="D136" s="221"/>
      <c r="E136" s="230"/>
      <c r="F136" s="264"/>
      <c r="G136" s="237">
        <f>IF(AND(Inputs!$G$73="Yes",G$2&lt;=Inputs!$G$15),SUM('Cash Flow'!G116:G124)+G131+G134,0)</f>
        <v>3329578.6961753829</v>
      </c>
      <c r="H136" s="237">
        <f>IF(AND(Inputs!$G$73="Yes",H$2&lt;=Inputs!$G$15),SUM('Cash Flow'!H116:H124)+H131+H134,0)</f>
        <v>662450.12212778721</v>
      </c>
      <c r="I136" s="237">
        <f>IF(AND(Inputs!$G$73="Yes",I$2&lt;=Inputs!$G$15),SUM('Cash Flow'!I116:I124)+I131+I134,0)</f>
        <v>421805.12212778721</v>
      </c>
      <c r="J136" s="237">
        <f>IF(AND(Inputs!$G$73="Yes",J$2&lt;=Inputs!$G$15),SUM('Cash Flow'!J116:J124)+J131+J134,0)</f>
        <v>276662.12212778721</v>
      </c>
      <c r="K136" s="237">
        <f>IF(AND(Inputs!$G$73="Yes",K$2&lt;=Inputs!$G$15),SUM('Cash Flow'!K116:K124)+K131+K134,0)</f>
        <v>274583.12212778721</v>
      </c>
      <c r="L136" s="237">
        <f>IF(AND(Inputs!$G$73="Yes",L$2&lt;=Inputs!$G$15),SUM('Cash Flow'!L116:L124)+L131+L134,0)</f>
        <v>165557.12212778724</v>
      </c>
      <c r="M136" s="237">
        <f>IF(AND(Inputs!$G$73="Yes",M$2&lt;=Inputs!$G$15),SUM('Cash Flow'!M116:M124)+M131+M134,0)</f>
        <v>57530.122127787239</v>
      </c>
      <c r="N136" s="237">
        <f>IF(AND(Inputs!$G$73="Yes",N$2&lt;=Inputs!$G$15),SUM('Cash Flow'!N116:N124)+N131+N134,0)</f>
        <v>57530.122127787239</v>
      </c>
      <c r="O136" s="237">
        <f>IF(AND(Inputs!$G$73="Yes",O$2&lt;=Inputs!$G$15),SUM('Cash Flow'!O116:O124)+O131+O134,0)</f>
        <v>57557.122127787239</v>
      </c>
      <c r="P136" s="237">
        <f>IF(AND(Inputs!$G$73="Yes",P$2&lt;=Inputs!$G$15),SUM('Cash Flow'!P116:P124)+P131+P134,0)</f>
        <v>160930.12212778724</v>
      </c>
      <c r="Q136" s="237">
        <f>IF(AND(Inputs!$G$73="Yes",Q$2&lt;=Inputs!$G$15),SUM('Cash Flow'!Q116:Q124)+Q131+Q134,0)</f>
        <v>222997.12212778724</v>
      </c>
      <c r="R136" s="237">
        <f>IF(AND(Inputs!$G$73="Yes",R$2&lt;=Inputs!$G$15),SUM('Cash Flow'!R116:R124)+R131+R134,0)</f>
        <v>156741.62212778724</v>
      </c>
      <c r="S136" s="237">
        <f>IF(AND(Inputs!$G$73="Yes",S$2&lt;=Inputs!$G$15),SUM('Cash Flow'!S116:S124)+S131+S134,0)</f>
        <v>117063.02212778723</v>
      </c>
      <c r="T136" s="237">
        <f>IF(AND(Inputs!$G$73="Yes",T$2&lt;=Inputs!$G$15),SUM('Cash Flow'!T116:T124)+T131+T134,0)</f>
        <v>117036.02212778723</v>
      </c>
      <c r="U136" s="237">
        <f>IF(AND(Inputs!$G$73="Yes",U$2&lt;=Inputs!$G$15),SUM('Cash Flow'!U116:U124)+U131+U134,0)</f>
        <v>87283.822127787236</v>
      </c>
      <c r="V136" s="237">
        <f>IF(AND(Inputs!$G$73="Yes",V$2&lt;=Inputs!$G$15),SUM('Cash Flow'!V116:V124)+V131+V134,0)</f>
        <v>32030.122127787239</v>
      </c>
      <c r="W136" s="237">
        <f>IF(AND(Inputs!$G$73="Yes",W$2&lt;=Inputs!$G$15),SUM('Cash Flow'!W116:W124)+W131+W134,0)</f>
        <v>6582.6221277872382</v>
      </c>
      <c r="X136" s="237">
        <f>IF(AND(Inputs!$G$73="Yes",X$2&lt;=Inputs!$G$15),SUM('Cash Flow'!X116:X124)+X131+X134,0)</f>
        <v>6582.6221277872382</v>
      </c>
      <c r="Y136" s="237">
        <f>IF(AND(Inputs!$G$73="Yes",Y$2&lt;=Inputs!$G$15),SUM('Cash Flow'!Y116:Y124)+Y131+Y134,0)</f>
        <v>6582.6221277872382</v>
      </c>
      <c r="Z136" s="237">
        <f>IF(AND(Inputs!$G$73="Yes",Z$2&lt;=Inputs!$G$15),SUM('Cash Flow'!Z116:Z124)+Z131+Z134,0)</f>
        <v>114382.62212778724</v>
      </c>
      <c r="AA136" s="237">
        <f>IF(AND(Inputs!$G$73="Yes",AA$2&lt;=Inputs!$G$15),SUM('Cash Flow'!AA116:AA124)+AA131+AA134,0)</f>
        <v>175771.31106389361</v>
      </c>
      <c r="AB136" s="237">
        <f>IF(AND(Inputs!$G$73="Yes",AB$2&lt;=Inputs!$G$15),SUM('Cash Flow'!AB116:AB124)+AB131+AB134,0)</f>
        <v>103488</v>
      </c>
      <c r="AC136" s="237">
        <f>IF(AND(Inputs!$G$73="Yes",AC$2&lt;=Inputs!$G$15),SUM('Cash Flow'!AC116:AC124)+AC131+AC134,0)</f>
        <v>62092.799999999996</v>
      </c>
      <c r="AD136" s="237">
        <f>IF(AND(Inputs!$G$73="Yes",AD$2&lt;=Inputs!$G$15),SUM('Cash Flow'!AD116:AD124)+AD131+AD134,0)</f>
        <v>62092.799999999996</v>
      </c>
      <c r="AE136" s="237">
        <f>IF(AND(Inputs!$G$73="Yes",AE$2&lt;=Inputs!$G$15),SUM('Cash Flow'!AE116:AE124)+AE131+AE134,0)</f>
        <v>31046.399999999998</v>
      </c>
      <c r="AF136" s="237">
        <f>IF(AND(Inputs!$G$73="Yes",AF$2&lt;=Inputs!$G$15),SUM('Cash Flow'!AF116:AF124)+AF131+AF134,0)</f>
        <v>0</v>
      </c>
      <c r="AG136" s="237">
        <f>IF(AND(Inputs!$G$73="Yes",AG$2&lt;=Inputs!$G$15),SUM('Cash Flow'!AG116:AG124)+AG131+AG134,0)</f>
        <v>0</v>
      </c>
      <c r="AH136" s="237">
        <f>IF(AND(Inputs!$G$73="Yes",AH$2&lt;=Inputs!$G$15),SUM('Cash Flow'!AH116:AH124)+AH131+AH134,0)</f>
        <v>0</v>
      </c>
      <c r="AI136" s="237">
        <f>IF(AND(Inputs!$G$73="Yes",AI$2&lt;=Inputs!$G$15),SUM('Cash Flow'!AI116:AI124)+AI131+AI134,0)</f>
        <v>0</v>
      </c>
      <c r="AJ136" s="237">
        <f>IF(AND(Inputs!$G$73="Yes",AJ$2&lt;=Inputs!$G$15),SUM('Cash Flow'!AJ116:AJ124)+AJ131+AJ134,0)</f>
        <v>0</v>
      </c>
    </row>
    <row r="137" spans="2:36" s="1" customFormat="1" x14ac:dyDescent="0.2">
      <c r="B137" s="221"/>
      <c r="C137" s="221"/>
      <c r="D137" s="221"/>
      <c r="E137" s="230"/>
      <c r="F137" s="264"/>
      <c r="G137" s="237"/>
      <c r="H137" s="237"/>
      <c r="I137" s="237"/>
      <c r="J137" s="237"/>
      <c r="K137" s="237"/>
      <c r="L137" s="237"/>
      <c r="M137" s="237"/>
      <c r="N137" s="237"/>
      <c r="O137" s="237"/>
      <c r="P137" s="237"/>
      <c r="Q137" s="237"/>
      <c r="R137" s="237"/>
      <c r="S137" s="237"/>
      <c r="T137" s="237"/>
      <c r="U137" s="237"/>
      <c r="V137" s="237"/>
      <c r="W137" s="237"/>
      <c r="X137" s="237"/>
      <c r="Y137" s="237"/>
      <c r="Z137" s="237"/>
      <c r="AA137" s="237"/>
      <c r="AB137" s="237"/>
      <c r="AC137" s="237"/>
      <c r="AD137" s="237"/>
      <c r="AE137" s="237"/>
      <c r="AF137" s="237"/>
      <c r="AG137" s="237"/>
      <c r="AH137" s="237"/>
      <c r="AI137" s="237"/>
      <c r="AJ137" s="237"/>
    </row>
    <row r="138" spans="2:36" s="1" customFormat="1" x14ac:dyDescent="0.2">
      <c r="B138" s="221" t="s">
        <v>213</v>
      </c>
      <c r="C138" s="221"/>
      <c r="D138" s="221"/>
      <c r="E138" s="230"/>
      <c r="F138" s="264"/>
      <c r="G138" s="239">
        <f>G136*Inputs!$G$78</f>
        <v>1349311.766625074</v>
      </c>
      <c r="H138" s="239">
        <f>H136*Inputs!$G$78</f>
        <v>268457.91199228575</v>
      </c>
      <c r="I138" s="239">
        <f>I136*Inputs!$G$78</f>
        <v>170936.52574228577</v>
      </c>
      <c r="J138" s="239">
        <f>J136*Inputs!$G$78</f>
        <v>112117.32499228576</v>
      </c>
      <c r="K138" s="239">
        <f>K136*Inputs!$G$78</f>
        <v>111274.81024228576</v>
      </c>
      <c r="L138" s="239">
        <f>L136*Inputs!$G$78</f>
        <v>67092.023742285775</v>
      </c>
      <c r="M138" s="239">
        <f>M136*Inputs!$G$78</f>
        <v>23314.081992285777</v>
      </c>
      <c r="N138" s="239">
        <f>N136*Inputs!$G$78</f>
        <v>23314.081992285777</v>
      </c>
      <c r="O138" s="239">
        <f>O136*Inputs!$G$78</f>
        <v>23325.023742285779</v>
      </c>
      <c r="P138" s="239">
        <f>P136*Inputs!$G$78</f>
        <v>65216.931992285776</v>
      </c>
      <c r="Q138" s="239">
        <f>Q136*Inputs!$G$78</f>
        <v>90369.583742285773</v>
      </c>
      <c r="R138" s="239">
        <f>R136*Inputs!$G$78</f>
        <v>63519.54236728578</v>
      </c>
      <c r="S138" s="239">
        <f>S136*Inputs!$G$78</f>
        <v>47439.789717285777</v>
      </c>
      <c r="T138" s="239">
        <f>T136*Inputs!$G$78</f>
        <v>47428.847967285779</v>
      </c>
      <c r="U138" s="239">
        <f>U136*Inputs!$G$78</f>
        <v>35371.768917285779</v>
      </c>
      <c r="V138" s="239">
        <f>V136*Inputs!$G$78</f>
        <v>12980.206992285779</v>
      </c>
      <c r="W138" s="239">
        <f>W136*Inputs!$G$78</f>
        <v>2667.6076172857784</v>
      </c>
      <c r="X138" s="239">
        <f>X136*Inputs!$G$78</f>
        <v>2667.6076172857784</v>
      </c>
      <c r="Y138" s="239">
        <f>Y136*Inputs!$G$78</f>
        <v>2667.6076172857784</v>
      </c>
      <c r="Z138" s="239">
        <f>Z136*Inputs!$G$78</f>
        <v>46353.557617285776</v>
      </c>
      <c r="AA138" s="239">
        <f>AA136*Inputs!$G$78</f>
        <v>71231.32380864289</v>
      </c>
      <c r="AB138" s="239">
        <f>AB136*Inputs!$G$78</f>
        <v>41938.512000000002</v>
      </c>
      <c r="AC138" s="239">
        <f>AC136*Inputs!$G$78</f>
        <v>25163.107199999999</v>
      </c>
      <c r="AD138" s="239">
        <f>AD136*Inputs!$G$78</f>
        <v>25163.107199999999</v>
      </c>
      <c r="AE138" s="239">
        <f>AE136*Inputs!$G$78</f>
        <v>12581.553599999999</v>
      </c>
      <c r="AF138" s="239">
        <f>AF136*Inputs!$G$78</f>
        <v>0</v>
      </c>
      <c r="AG138" s="239">
        <f>AG136*Inputs!$G$78</f>
        <v>0</v>
      </c>
      <c r="AH138" s="239">
        <f>AH136*Inputs!$G$78</f>
        <v>0</v>
      </c>
      <c r="AI138" s="239">
        <f>AI136*Inputs!$G$78</f>
        <v>0</v>
      </c>
      <c r="AJ138" s="239">
        <f>AJ136*Inputs!$G$78</f>
        <v>0</v>
      </c>
    </row>
    <row r="139" spans="2:36" s="1" customFormat="1" ht="16.5" thickBot="1" x14ac:dyDescent="0.3">
      <c r="B139" s="240"/>
      <c r="C139" s="240"/>
      <c r="D139" s="240"/>
      <c r="E139" s="241"/>
      <c r="F139" s="241"/>
      <c r="G139" s="242"/>
      <c r="H139" s="243"/>
      <c r="I139" s="241"/>
      <c r="J139" s="241"/>
      <c r="K139" s="241"/>
      <c r="L139" s="241"/>
      <c r="M139" s="241"/>
      <c r="N139" s="241"/>
      <c r="O139" s="241"/>
      <c r="P139" s="241"/>
      <c r="Q139" s="241"/>
      <c r="R139" s="241"/>
      <c r="S139" s="241"/>
      <c r="T139" s="241"/>
      <c r="U139" s="241"/>
      <c r="V139" s="241"/>
      <c r="W139" s="241"/>
      <c r="X139" s="241"/>
      <c r="Y139" s="241"/>
      <c r="Z139" s="241"/>
      <c r="AA139" s="241"/>
      <c r="AB139" s="241"/>
      <c r="AC139" s="241"/>
      <c r="AD139" s="241"/>
      <c r="AE139" s="241"/>
      <c r="AF139" s="241"/>
      <c r="AG139" s="241"/>
      <c r="AH139" s="241"/>
      <c r="AI139" s="241"/>
      <c r="AJ139" s="241"/>
    </row>
    <row r="140" spans="2:36" x14ac:dyDescent="0.25">
      <c r="B140" s="260"/>
      <c r="C140" s="260"/>
      <c r="D140" s="260"/>
      <c r="E140" s="260"/>
      <c r="F140" s="260"/>
      <c r="G140" s="260"/>
      <c r="H140" s="260"/>
      <c r="I140" s="260"/>
      <c r="J140" s="260"/>
      <c r="K140" s="260"/>
      <c r="L140" s="260"/>
      <c r="M140" s="260"/>
      <c r="N140" s="260"/>
      <c r="O140" s="260"/>
      <c r="P140" s="260"/>
      <c r="Q140" s="260"/>
      <c r="R140" s="260"/>
      <c r="S140" s="260"/>
      <c r="T140" s="260"/>
      <c r="U140" s="260"/>
      <c r="V140" s="260"/>
      <c r="W140" s="260"/>
      <c r="X140" s="260"/>
      <c r="Y140" s="260"/>
      <c r="Z140" s="260"/>
      <c r="AA140" s="260"/>
      <c r="AB140" s="260"/>
      <c r="AC140" s="260"/>
      <c r="AD140" s="260"/>
      <c r="AE140" s="260"/>
      <c r="AF140" s="260"/>
      <c r="AG140" s="260"/>
      <c r="AH140" s="260"/>
      <c r="AI140" s="260"/>
      <c r="AJ140" s="260"/>
    </row>
    <row r="141" spans="2:36" ht="15.75" x14ac:dyDescent="0.25">
      <c r="B141" s="220" t="s">
        <v>254</v>
      </c>
      <c r="C141" s="220"/>
      <c r="D141" s="220"/>
      <c r="E141" s="260"/>
      <c r="F141" s="260"/>
      <c r="G141" s="260"/>
      <c r="H141" s="260"/>
      <c r="I141" s="260"/>
      <c r="J141" s="260"/>
      <c r="K141" s="260"/>
      <c r="L141" s="260"/>
      <c r="M141" s="260"/>
      <c r="N141" s="260"/>
      <c r="O141" s="260"/>
      <c r="P141" s="260"/>
      <c r="Q141" s="260"/>
      <c r="R141" s="260"/>
      <c r="S141" s="260"/>
      <c r="T141" s="260"/>
      <c r="U141" s="260"/>
      <c r="V141" s="260"/>
      <c r="W141" s="260"/>
      <c r="X141" s="260"/>
      <c r="Y141" s="260"/>
      <c r="Z141" s="260"/>
      <c r="AA141" s="260"/>
      <c r="AB141" s="260"/>
      <c r="AC141" s="260"/>
      <c r="AD141" s="260"/>
      <c r="AE141" s="260"/>
      <c r="AF141" s="260"/>
      <c r="AG141" s="260"/>
      <c r="AH141" s="260"/>
      <c r="AI141" s="260"/>
      <c r="AJ141" s="260"/>
    </row>
    <row r="142" spans="2:36" ht="15.75" x14ac:dyDescent="0.25">
      <c r="B142" s="221"/>
      <c r="C142" s="221"/>
      <c r="D142" s="221"/>
      <c r="E142" s="260"/>
      <c r="F142" s="260"/>
      <c r="G142" s="260"/>
      <c r="H142" s="260"/>
      <c r="I142" s="260"/>
      <c r="J142" s="260"/>
      <c r="K142" s="260"/>
      <c r="L142" s="260"/>
      <c r="M142" s="260"/>
      <c r="N142" s="260"/>
      <c r="O142" s="260"/>
      <c r="P142" s="260"/>
      <c r="Q142" s="260"/>
      <c r="R142" s="260"/>
      <c r="S142" s="260"/>
      <c r="T142" s="260"/>
      <c r="U142" s="260"/>
      <c r="V142" s="260"/>
      <c r="W142" s="260"/>
      <c r="X142" s="260"/>
      <c r="Y142" s="260"/>
      <c r="Z142" s="260"/>
      <c r="AA142" s="260"/>
      <c r="AB142" s="260"/>
      <c r="AC142" s="260"/>
      <c r="AD142" s="260"/>
      <c r="AE142" s="260"/>
      <c r="AF142" s="260"/>
      <c r="AG142" s="260"/>
      <c r="AH142" s="260"/>
      <c r="AI142" s="260"/>
      <c r="AJ142" s="260"/>
    </row>
    <row r="143" spans="2:36" ht="15.75" x14ac:dyDescent="0.25">
      <c r="B143" s="221" t="s">
        <v>253</v>
      </c>
      <c r="C143" s="221"/>
      <c r="D143" s="221"/>
      <c r="E143" s="260"/>
      <c r="F143" s="260"/>
      <c r="G143" s="239">
        <f>G58</f>
        <v>-2702326.4537175535</v>
      </c>
      <c r="H143" s="239">
        <f t="shared" ref="H143:AJ143" si="42">H58</f>
        <v>-11460.547922841972</v>
      </c>
      <c r="I143" s="239">
        <f t="shared" si="42"/>
        <v>252962.6642142419</v>
      </c>
      <c r="J143" s="239">
        <f t="shared" si="42"/>
        <v>422002.42070991267</v>
      </c>
      <c r="K143" s="239">
        <f t="shared" si="42"/>
        <v>448171.17147752654</v>
      </c>
      <c r="L143" s="239">
        <f t="shared" si="42"/>
        <v>581551.77517100598</v>
      </c>
      <c r="M143" s="239">
        <f t="shared" si="42"/>
        <v>714268.08054366079</v>
      </c>
      <c r="N143" s="239">
        <f t="shared" si="42"/>
        <v>739360.47196892265</v>
      </c>
      <c r="O143" s="239">
        <f t="shared" si="42"/>
        <v>764896.38426384283</v>
      </c>
      <c r="P143" s="239">
        <f t="shared" si="42"/>
        <v>681879.34710660321</v>
      </c>
      <c r="Q143" s="239">
        <f t="shared" si="42"/>
        <v>640797.23009339697</v>
      </c>
      <c r="R143" s="239">
        <f t="shared" si="42"/>
        <v>734478.41472244135</v>
      </c>
      <c r="S143" s="239">
        <f t="shared" si="42"/>
        <v>802322.94154199993</v>
      </c>
      <c r="T143" s="239">
        <f t="shared" si="42"/>
        <v>831325.75824062119</v>
      </c>
      <c r="U143" s="239">
        <f t="shared" si="42"/>
        <v>890935.04981053516</v>
      </c>
      <c r="V143" s="239">
        <f t="shared" si="42"/>
        <v>977000.65396553976</v>
      </c>
      <c r="W143" s="239">
        <f t="shared" si="42"/>
        <v>1034290.9759626002</v>
      </c>
      <c r="X143" s="239">
        <f t="shared" si="42"/>
        <v>1067243.8057486389</v>
      </c>
      <c r="Y143" s="239">
        <f t="shared" si="42"/>
        <v>1100160.3632258708</v>
      </c>
      <c r="Z143" s="239">
        <f t="shared" si="42"/>
        <v>1003363.9921817065</v>
      </c>
      <c r="AA143" s="239">
        <f t="shared" si="42"/>
        <v>-33523.75749538932</v>
      </c>
      <c r="AB143" s="239">
        <f t="shared" si="42"/>
        <v>44155.899538368627</v>
      </c>
      <c r="AC143" s="239">
        <f t="shared" si="42"/>
        <v>91023.902711439121</v>
      </c>
      <c r="AD143" s="239">
        <f t="shared" si="42"/>
        <v>96582.944173655094</v>
      </c>
      <c r="AE143" s="239">
        <f t="shared" si="42"/>
        <v>132476.57312624992</v>
      </c>
      <c r="AF143" s="239">
        <f t="shared" si="42"/>
        <v>1.4551915228366852E-13</v>
      </c>
      <c r="AG143" s="239">
        <f t="shared" si="42"/>
        <v>0</v>
      </c>
      <c r="AH143" s="239">
        <f t="shared" si="42"/>
        <v>0</v>
      </c>
      <c r="AI143" s="239">
        <f t="shared" si="42"/>
        <v>0</v>
      </c>
      <c r="AJ143" s="239">
        <f t="shared" si="42"/>
        <v>0</v>
      </c>
    </row>
    <row r="144" spans="2:36" ht="15.75" x14ac:dyDescent="0.25">
      <c r="B144" s="221"/>
      <c r="C144" s="221"/>
      <c r="D144" s="221"/>
      <c r="E144" s="260"/>
      <c r="F144" s="260"/>
      <c r="G144" s="239"/>
      <c r="H144" s="239"/>
      <c r="I144" s="239"/>
      <c r="J144" s="239"/>
      <c r="K144" s="239"/>
      <c r="L144" s="239"/>
      <c r="M144" s="239"/>
      <c r="N144" s="239"/>
      <c r="O144" s="239"/>
      <c r="P144" s="239"/>
      <c r="Q144" s="239"/>
      <c r="R144" s="239"/>
      <c r="S144" s="239"/>
      <c r="T144" s="239"/>
      <c r="U144" s="239"/>
      <c r="V144" s="239"/>
      <c r="W144" s="239"/>
      <c r="X144" s="239"/>
      <c r="Y144" s="239"/>
      <c r="Z144" s="239"/>
      <c r="AA144" s="239"/>
      <c r="AB144" s="239"/>
      <c r="AC144" s="239"/>
      <c r="AD144" s="239"/>
      <c r="AE144" s="239"/>
      <c r="AF144" s="239"/>
      <c r="AG144" s="239"/>
      <c r="AH144" s="239"/>
      <c r="AI144" s="239"/>
      <c r="AJ144" s="239"/>
    </row>
    <row r="145" spans="2:36" ht="15.75" x14ac:dyDescent="0.25">
      <c r="B145" s="299" t="s">
        <v>310</v>
      </c>
      <c r="C145" s="299"/>
      <c r="D145" s="299"/>
      <c r="E145" s="260"/>
      <c r="F145" s="260"/>
      <c r="G145" s="239"/>
      <c r="H145" s="239"/>
      <c r="I145" s="239"/>
      <c r="J145" s="239"/>
      <c r="K145" s="239"/>
      <c r="L145" s="239"/>
      <c r="M145" s="239"/>
      <c r="N145" s="239"/>
      <c r="O145" s="239"/>
      <c r="P145" s="239"/>
      <c r="Q145" s="239"/>
      <c r="R145" s="239"/>
      <c r="S145" s="239"/>
      <c r="T145" s="239"/>
      <c r="U145" s="239"/>
      <c r="V145" s="239"/>
      <c r="W145" s="239"/>
      <c r="X145" s="239"/>
      <c r="Y145" s="239"/>
      <c r="Z145" s="239"/>
      <c r="AA145" s="239"/>
      <c r="AB145" s="239"/>
      <c r="AC145" s="239"/>
      <c r="AD145" s="239"/>
      <c r="AE145" s="239"/>
      <c r="AF145" s="239"/>
      <c r="AG145" s="239"/>
      <c r="AH145" s="239"/>
      <c r="AI145" s="239"/>
      <c r="AJ145" s="239"/>
    </row>
    <row r="146" spans="2:36" ht="15.75" x14ac:dyDescent="0.25">
      <c r="B146" s="221" t="s">
        <v>256</v>
      </c>
      <c r="C146" s="221"/>
      <c r="D146" s="221"/>
      <c r="E146" s="260"/>
      <c r="F146" s="260"/>
      <c r="G146" s="239">
        <v>0</v>
      </c>
      <c r="H146" s="239">
        <f>G149</f>
        <v>2702326.4537175535</v>
      </c>
      <c r="I146" s="239">
        <f t="shared" ref="I146:AJ146" si="43">H149</f>
        <v>2713787.0016403953</v>
      </c>
      <c r="J146" s="239">
        <f t="shared" si="43"/>
        <v>2460824.3374261535</v>
      </c>
      <c r="K146" s="239">
        <f t="shared" si="43"/>
        <v>2038821.9167162408</v>
      </c>
      <c r="L146" s="239">
        <f t="shared" si="43"/>
        <v>1590650.7452387144</v>
      </c>
      <c r="M146" s="239">
        <f t="shared" si="43"/>
        <v>1009098.9700677084</v>
      </c>
      <c r="N146" s="239">
        <f t="shared" si="43"/>
        <v>294830.88952404761</v>
      </c>
      <c r="O146" s="239">
        <f t="shared" si="43"/>
        <v>0</v>
      </c>
      <c r="P146" s="239">
        <f t="shared" si="43"/>
        <v>0</v>
      </c>
      <c r="Q146" s="239">
        <f t="shared" si="43"/>
        <v>0</v>
      </c>
      <c r="R146" s="239">
        <f t="shared" si="43"/>
        <v>0</v>
      </c>
      <c r="S146" s="239">
        <f t="shared" si="43"/>
        <v>0</v>
      </c>
      <c r="T146" s="239">
        <f t="shared" si="43"/>
        <v>0</v>
      </c>
      <c r="U146" s="239">
        <f t="shared" si="43"/>
        <v>0</v>
      </c>
      <c r="V146" s="239">
        <f t="shared" si="43"/>
        <v>0</v>
      </c>
      <c r="W146" s="239">
        <f t="shared" si="43"/>
        <v>0</v>
      </c>
      <c r="X146" s="239">
        <f t="shared" si="43"/>
        <v>0</v>
      </c>
      <c r="Y146" s="239">
        <f t="shared" si="43"/>
        <v>0</v>
      </c>
      <c r="Z146" s="239">
        <f t="shared" si="43"/>
        <v>0</v>
      </c>
      <c r="AA146" s="239">
        <f t="shared" si="43"/>
        <v>0</v>
      </c>
      <c r="AB146" s="239">
        <f t="shared" si="43"/>
        <v>33523.75749538932</v>
      </c>
      <c r="AC146" s="239">
        <f t="shared" si="43"/>
        <v>0</v>
      </c>
      <c r="AD146" s="239">
        <f t="shared" si="43"/>
        <v>0</v>
      </c>
      <c r="AE146" s="239">
        <f t="shared" si="43"/>
        <v>0</v>
      </c>
      <c r="AF146" s="239">
        <f t="shared" si="43"/>
        <v>0</v>
      </c>
      <c r="AG146" s="239">
        <f t="shared" si="43"/>
        <v>0</v>
      </c>
      <c r="AH146" s="239">
        <f t="shared" si="43"/>
        <v>0</v>
      </c>
      <c r="AI146" s="239">
        <f t="shared" si="43"/>
        <v>0</v>
      </c>
      <c r="AJ146" s="239">
        <f t="shared" si="43"/>
        <v>0</v>
      </c>
    </row>
    <row r="147" spans="2:36" ht="15.75" x14ac:dyDescent="0.25">
      <c r="B147" s="221" t="s">
        <v>257</v>
      </c>
      <c r="C147" s="221"/>
      <c r="D147" s="221"/>
      <c r="E147" s="260"/>
      <c r="F147" s="260"/>
      <c r="G147" s="239">
        <f>IF(G$143&gt;0,0,-G$143)</f>
        <v>2702326.4537175535</v>
      </c>
      <c r="H147" s="239">
        <f t="shared" ref="H147:AJ147" si="44">IF(H$143&gt;0,0,-H$143)</f>
        <v>11460.547922841972</v>
      </c>
      <c r="I147" s="239">
        <f t="shared" si="44"/>
        <v>0</v>
      </c>
      <c r="J147" s="239">
        <f t="shared" si="44"/>
        <v>0</v>
      </c>
      <c r="K147" s="239">
        <f t="shared" si="44"/>
        <v>0</v>
      </c>
      <c r="L147" s="239">
        <f t="shared" si="44"/>
        <v>0</v>
      </c>
      <c r="M147" s="239">
        <f t="shared" si="44"/>
        <v>0</v>
      </c>
      <c r="N147" s="239">
        <f t="shared" si="44"/>
        <v>0</v>
      </c>
      <c r="O147" s="239">
        <f t="shared" si="44"/>
        <v>0</v>
      </c>
      <c r="P147" s="239">
        <f t="shared" si="44"/>
        <v>0</v>
      </c>
      <c r="Q147" s="239">
        <f t="shared" si="44"/>
        <v>0</v>
      </c>
      <c r="R147" s="239">
        <f t="shared" si="44"/>
        <v>0</v>
      </c>
      <c r="S147" s="239">
        <f t="shared" si="44"/>
        <v>0</v>
      </c>
      <c r="T147" s="239">
        <f t="shared" si="44"/>
        <v>0</v>
      </c>
      <c r="U147" s="239">
        <f t="shared" si="44"/>
        <v>0</v>
      </c>
      <c r="V147" s="239">
        <f t="shared" si="44"/>
        <v>0</v>
      </c>
      <c r="W147" s="239">
        <f t="shared" si="44"/>
        <v>0</v>
      </c>
      <c r="X147" s="239">
        <f t="shared" si="44"/>
        <v>0</v>
      </c>
      <c r="Y147" s="239">
        <f t="shared" si="44"/>
        <v>0</v>
      </c>
      <c r="Z147" s="239">
        <f t="shared" si="44"/>
        <v>0</v>
      </c>
      <c r="AA147" s="239">
        <f t="shared" si="44"/>
        <v>33523.75749538932</v>
      </c>
      <c r="AB147" s="239">
        <f t="shared" si="44"/>
        <v>0</v>
      </c>
      <c r="AC147" s="239">
        <f t="shared" si="44"/>
        <v>0</v>
      </c>
      <c r="AD147" s="239">
        <f t="shared" si="44"/>
        <v>0</v>
      </c>
      <c r="AE147" s="239">
        <f t="shared" si="44"/>
        <v>0</v>
      </c>
      <c r="AF147" s="239">
        <f t="shared" si="44"/>
        <v>0</v>
      </c>
      <c r="AG147" s="239">
        <f t="shared" si="44"/>
        <v>0</v>
      </c>
      <c r="AH147" s="239">
        <f t="shared" si="44"/>
        <v>0</v>
      </c>
      <c r="AI147" s="239">
        <f t="shared" si="44"/>
        <v>0</v>
      </c>
      <c r="AJ147" s="239">
        <f t="shared" si="44"/>
        <v>0</v>
      </c>
    </row>
    <row r="148" spans="2:36" ht="15.75" x14ac:dyDescent="0.25">
      <c r="B148" s="221" t="s">
        <v>255</v>
      </c>
      <c r="C148" s="221"/>
      <c r="D148" s="221"/>
      <c r="E148" s="260"/>
      <c r="F148" s="260"/>
      <c r="G148" s="239">
        <f t="shared" ref="G148:L148" si="45">IF(G$143&lt;=0,0,-MIN(G$143,F$149))</f>
        <v>0</v>
      </c>
      <c r="H148" s="239">
        <f t="shared" si="45"/>
        <v>0</v>
      </c>
      <c r="I148" s="239">
        <f t="shared" si="45"/>
        <v>-252962.6642142419</v>
      </c>
      <c r="J148" s="239">
        <f t="shared" si="45"/>
        <v>-422002.42070991267</v>
      </c>
      <c r="K148" s="239">
        <f t="shared" si="45"/>
        <v>-448171.17147752654</v>
      </c>
      <c r="L148" s="239">
        <f t="shared" si="45"/>
        <v>-581551.77517100598</v>
      </c>
      <c r="M148" s="239">
        <f>IF(M$143&lt;=0,0,-MIN(M$143,L$149))</f>
        <v>-714268.08054366079</v>
      </c>
      <c r="N148" s="239">
        <f t="shared" ref="N148:AJ148" si="46">IF(N$143&lt;=0,0,-MIN(N$143,M$149))</f>
        <v>-294830.88952404761</v>
      </c>
      <c r="O148" s="239">
        <f t="shared" si="46"/>
        <v>0</v>
      </c>
      <c r="P148" s="239">
        <f t="shared" si="46"/>
        <v>0</v>
      </c>
      <c r="Q148" s="239">
        <f t="shared" si="46"/>
        <v>0</v>
      </c>
      <c r="R148" s="239">
        <f t="shared" si="46"/>
        <v>0</v>
      </c>
      <c r="S148" s="239">
        <f t="shared" si="46"/>
        <v>0</v>
      </c>
      <c r="T148" s="239">
        <f t="shared" si="46"/>
        <v>0</v>
      </c>
      <c r="U148" s="239">
        <f t="shared" si="46"/>
        <v>0</v>
      </c>
      <c r="V148" s="239">
        <f t="shared" si="46"/>
        <v>0</v>
      </c>
      <c r="W148" s="239">
        <f t="shared" si="46"/>
        <v>0</v>
      </c>
      <c r="X148" s="239">
        <f t="shared" si="46"/>
        <v>0</v>
      </c>
      <c r="Y148" s="239">
        <f t="shared" si="46"/>
        <v>0</v>
      </c>
      <c r="Z148" s="239">
        <f t="shared" si="46"/>
        <v>0</v>
      </c>
      <c r="AA148" s="239">
        <f t="shared" si="46"/>
        <v>0</v>
      </c>
      <c r="AB148" s="239">
        <f t="shared" si="46"/>
        <v>-33523.75749538932</v>
      </c>
      <c r="AC148" s="239">
        <f t="shared" si="46"/>
        <v>0</v>
      </c>
      <c r="AD148" s="239">
        <f t="shared" si="46"/>
        <v>0</v>
      </c>
      <c r="AE148" s="239">
        <f t="shared" si="46"/>
        <v>0</v>
      </c>
      <c r="AF148" s="239">
        <f t="shared" si="46"/>
        <v>0</v>
      </c>
      <c r="AG148" s="239">
        <f t="shared" si="46"/>
        <v>0</v>
      </c>
      <c r="AH148" s="239">
        <f t="shared" si="46"/>
        <v>0</v>
      </c>
      <c r="AI148" s="239">
        <f t="shared" si="46"/>
        <v>0</v>
      </c>
      <c r="AJ148" s="239">
        <f t="shared" si="46"/>
        <v>0</v>
      </c>
    </row>
    <row r="149" spans="2:36" ht="15.75" x14ac:dyDescent="0.25">
      <c r="B149" s="221" t="s">
        <v>258</v>
      </c>
      <c r="C149" s="221"/>
      <c r="D149" s="221"/>
      <c r="E149" s="260"/>
      <c r="F149" s="260"/>
      <c r="G149" s="239">
        <f>SUM(G146:G148)</f>
        <v>2702326.4537175535</v>
      </c>
      <c r="H149" s="239">
        <f t="shared" ref="H149:AJ149" si="47">SUM(H146:H148)</f>
        <v>2713787.0016403953</v>
      </c>
      <c r="I149" s="239">
        <f t="shared" si="47"/>
        <v>2460824.3374261535</v>
      </c>
      <c r="J149" s="239">
        <f t="shared" si="47"/>
        <v>2038821.9167162408</v>
      </c>
      <c r="K149" s="239">
        <f t="shared" si="47"/>
        <v>1590650.7452387144</v>
      </c>
      <c r="L149" s="239">
        <f t="shared" si="47"/>
        <v>1009098.9700677084</v>
      </c>
      <c r="M149" s="239">
        <f t="shared" si="47"/>
        <v>294830.88952404761</v>
      </c>
      <c r="N149" s="239">
        <f t="shared" si="47"/>
        <v>0</v>
      </c>
      <c r="O149" s="239">
        <f t="shared" si="47"/>
        <v>0</v>
      </c>
      <c r="P149" s="239">
        <f t="shared" si="47"/>
        <v>0</v>
      </c>
      <c r="Q149" s="239">
        <f t="shared" si="47"/>
        <v>0</v>
      </c>
      <c r="R149" s="239">
        <f t="shared" si="47"/>
        <v>0</v>
      </c>
      <c r="S149" s="239">
        <f t="shared" si="47"/>
        <v>0</v>
      </c>
      <c r="T149" s="239">
        <f t="shared" si="47"/>
        <v>0</v>
      </c>
      <c r="U149" s="239">
        <f t="shared" si="47"/>
        <v>0</v>
      </c>
      <c r="V149" s="239">
        <f t="shared" si="47"/>
        <v>0</v>
      </c>
      <c r="W149" s="239">
        <f t="shared" si="47"/>
        <v>0</v>
      </c>
      <c r="X149" s="239">
        <f t="shared" si="47"/>
        <v>0</v>
      </c>
      <c r="Y149" s="239">
        <f t="shared" si="47"/>
        <v>0</v>
      </c>
      <c r="Z149" s="239">
        <f t="shared" si="47"/>
        <v>0</v>
      </c>
      <c r="AA149" s="239">
        <f t="shared" si="47"/>
        <v>33523.75749538932</v>
      </c>
      <c r="AB149" s="239">
        <f t="shared" si="47"/>
        <v>0</v>
      </c>
      <c r="AC149" s="239">
        <f t="shared" si="47"/>
        <v>0</v>
      </c>
      <c r="AD149" s="239">
        <f t="shared" si="47"/>
        <v>0</v>
      </c>
      <c r="AE149" s="239">
        <f t="shared" si="47"/>
        <v>0</v>
      </c>
      <c r="AF149" s="239">
        <f t="shared" si="47"/>
        <v>0</v>
      </c>
      <c r="AG149" s="239">
        <f t="shared" si="47"/>
        <v>0</v>
      </c>
      <c r="AH149" s="239">
        <f t="shared" si="47"/>
        <v>0</v>
      </c>
      <c r="AI149" s="239">
        <f t="shared" si="47"/>
        <v>0</v>
      </c>
      <c r="AJ149" s="239">
        <f t="shared" si="47"/>
        <v>0</v>
      </c>
    </row>
    <row r="150" spans="2:36" ht="15.75" x14ac:dyDescent="0.25">
      <c r="B150" s="221"/>
      <c r="C150" s="221"/>
      <c r="D150" s="221"/>
      <c r="E150" s="260"/>
      <c r="F150" s="260"/>
      <c r="G150" s="260"/>
      <c r="H150" s="260"/>
      <c r="I150" s="260"/>
      <c r="J150" s="260"/>
      <c r="K150" s="260"/>
      <c r="L150" s="260"/>
      <c r="M150" s="260"/>
      <c r="N150" s="260"/>
      <c r="O150" s="260"/>
      <c r="P150" s="260"/>
      <c r="Q150" s="260"/>
      <c r="R150" s="260"/>
      <c r="S150" s="260"/>
      <c r="T150" s="260"/>
      <c r="U150" s="260"/>
      <c r="V150" s="260"/>
      <c r="W150" s="260"/>
      <c r="X150" s="260"/>
      <c r="Y150" s="260"/>
      <c r="Z150" s="260"/>
      <c r="AA150" s="260"/>
      <c r="AB150" s="260"/>
      <c r="AC150" s="260"/>
      <c r="AD150" s="260"/>
      <c r="AE150" s="260"/>
      <c r="AF150" s="260"/>
      <c r="AG150" s="260"/>
      <c r="AH150" s="260"/>
      <c r="AI150" s="260"/>
      <c r="AJ150" s="260"/>
    </row>
    <row r="151" spans="2:36" ht="15.75" x14ac:dyDescent="0.25">
      <c r="B151" s="221" t="s">
        <v>259</v>
      </c>
      <c r="C151" s="221"/>
      <c r="D151" s="221"/>
      <c r="E151" s="260"/>
      <c r="F151" s="260"/>
      <c r="G151" s="239">
        <f>G143+G147+G148</f>
        <v>0</v>
      </c>
      <c r="H151" s="239">
        <f t="shared" ref="H151:AJ151" si="48">H143+H147+H148</f>
        <v>0</v>
      </c>
      <c r="I151" s="239">
        <f t="shared" si="48"/>
        <v>0</v>
      </c>
      <c r="J151" s="239">
        <f t="shared" si="48"/>
        <v>0</v>
      </c>
      <c r="K151" s="239">
        <f t="shared" si="48"/>
        <v>0</v>
      </c>
      <c r="L151" s="239">
        <f t="shared" si="48"/>
        <v>0</v>
      </c>
      <c r="M151" s="239">
        <f t="shared" si="48"/>
        <v>0</v>
      </c>
      <c r="N151" s="239">
        <f t="shared" si="48"/>
        <v>444529.58244487504</v>
      </c>
      <c r="O151" s="239">
        <f t="shared" si="48"/>
        <v>764896.38426384283</v>
      </c>
      <c r="P151" s="239">
        <f t="shared" si="48"/>
        <v>681879.34710660321</v>
      </c>
      <c r="Q151" s="239">
        <f t="shared" si="48"/>
        <v>640797.23009339697</v>
      </c>
      <c r="R151" s="239">
        <f t="shared" si="48"/>
        <v>734478.41472244135</v>
      </c>
      <c r="S151" s="239">
        <f t="shared" si="48"/>
        <v>802322.94154199993</v>
      </c>
      <c r="T151" s="239">
        <f t="shared" si="48"/>
        <v>831325.75824062119</v>
      </c>
      <c r="U151" s="239">
        <f t="shared" si="48"/>
        <v>890935.04981053516</v>
      </c>
      <c r="V151" s="239">
        <f t="shared" si="48"/>
        <v>977000.65396553976</v>
      </c>
      <c r="W151" s="239">
        <f t="shared" si="48"/>
        <v>1034290.9759626002</v>
      </c>
      <c r="X151" s="239">
        <f t="shared" si="48"/>
        <v>1067243.8057486389</v>
      </c>
      <c r="Y151" s="239">
        <f t="shared" si="48"/>
        <v>1100160.3632258708</v>
      </c>
      <c r="Z151" s="239">
        <f t="shared" si="48"/>
        <v>1003363.9921817065</v>
      </c>
      <c r="AA151" s="239">
        <f t="shared" si="48"/>
        <v>0</v>
      </c>
      <c r="AB151" s="239">
        <f t="shared" si="48"/>
        <v>10632.142042979307</v>
      </c>
      <c r="AC151" s="239">
        <f t="shared" si="48"/>
        <v>91023.902711439121</v>
      </c>
      <c r="AD151" s="239">
        <f t="shared" si="48"/>
        <v>96582.944173655094</v>
      </c>
      <c r="AE151" s="239">
        <f t="shared" si="48"/>
        <v>132476.57312624992</v>
      </c>
      <c r="AF151" s="239">
        <f t="shared" si="48"/>
        <v>1.4551915228366852E-13</v>
      </c>
      <c r="AG151" s="239">
        <f t="shared" si="48"/>
        <v>0</v>
      </c>
      <c r="AH151" s="239">
        <f t="shared" si="48"/>
        <v>0</v>
      </c>
      <c r="AI151" s="239">
        <f t="shared" si="48"/>
        <v>0</v>
      </c>
      <c r="AJ151" s="239">
        <f t="shared" si="48"/>
        <v>0</v>
      </c>
    </row>
    <row r="152" spans="2:36" ht="15.75" x14ac:dyDescent="0.25">
      <c r="B152" s="221"/>
      <c r="C152" s="221"/>
      <c r="D152" s="221"/>
      <c r="E152" s="260"/>
      <c r="F152" s="260"/>
      <c r="G152" s="239"/>
      <c r="H152" s="239"/>
      <c r="I152" s="239"/>
      <c r="J152" s="239"/>
      <c r="K152" s="239"/>
      <c r="L152" s="239"/>
      <c r="M152" s="239"/>
      <c r="N152" s="239"/>
      <c r="O152" s="239"/>
      <c r="P152" s="239"/>
      <c r="Q152" s="239"/>
      <c r="R152" s="239"/>
      <c r="S152" s="239"/>
      <c r="T152" s="239"/>
      <c r="U152" s="239"/>
      <c r="V152" s="239"/>
      <c r="W152" s="239"/>
      <c r="X152" s="239"/>
      <c r="Y152" s="239"/>
      <c r="Z152" s="239"/>
      <c r="AA152" s="239"/>
      <c r="AB152" s="239"/>
      <c r="AC152" s="239"/>
      <c r="AD152" s="239"/>
      <c r="AE152" s="239"/>
      <c r="AF152" s="239"/>
      <c r="AG152" s="239"/>
      <c r="AH152" s="239"/>
      <c r="AI152" s="239"/>
      <c r="AJ152" s="239"/>
    </row>
    <row r="153" spans="2:36" ht="15.75" x14ac:dyDescent="0.25">
      <c r="B153" s="299" t="s">
        <v>311</v>
      </c>
      <c r="C153" s="299"/>
      <c r="D153" s="299"/>
      <c r="E153" s="260"/>
      <c r="F153" s="260"/>
      <c r="G153" s="239"/>
      <c r="H153" s="239"/>
      <c r="I153" s="239"/>
      <c r="J153" s="239"/>
      <c r="K153" s="239"/>
      <c r="L153" s="239"/>
      <c r="M153" s="239"/>
      <c r="N153" s="239"/>
      <c r="O153" s="239"/>
      <c r="P153" s="239"/>
      <c r="Q153" s="239"/>
      <c r="R153" s="239"/>
      <c r="S153" s="239"/>
      <c r="T153" s="239"/>
      <c r="U153" s="239"/>
      <c r="V153" s="239"/>
      <c r="W153" s="239"/>
      <c r="X153" s="239"/>
      <c r="Y153" s="239"/>
      <c r="Z153" s="239"/>
      <c r="AA153" s="239"/>
      <c r="AB153" s="239"/>
      <c r="AC153" s="239"/>
      <c r="AD153" s="239"/>
      <c r="AE153" s="239"/>
      <c r="AF153" s="239"/>
      <c r="AG153" s="239"/>
      <c r="AH153" s="239"/>
      <c r="AI153" s="239"/>
      <c r="AJ153" s="239"/>
    </row>
    <row r="154" spans="2:36" ht="15.75" x14ac:dyDescent="0.25">
      <c r="B154" s="221" t="s">
        <v>256</v>
      </c>
      <c r="C154" s="221"/>
      <c r="D154" s="221"/>
      <c r="E154" s="260"/>
      <c r="F154" s="260"/>
      <c r="G154" s="239">
        <v>0</v>
      </c>
      <c r="H154" s="239">
        <f>G157</f>
        <v>2702326.4537175535</v>
      </c>
      <c r="I154" s="239">
        <f t="shared" ref="I154:AJ154" si="49">H157</f>
        <v>2713787.0016403953</v>
      </c>
      <c r="J154" s="239">
        <f t="shared" si="49"/>
        <v>2460824.3374261535</v>
      </c>
      <c r="K154" s="239">
        <f t="shared" si="49"/>
        <v>2038821.9167162408</v>
      </c>
      <c r="L154" s="239">
        <f t="shared" si="49"/>
        <v>1590650.7452387144</v>
      </c>
      <c r="M154" s="239">
        <f t="shared" si="49"/>
        <v>1009098.9700677084</v>
      </c>
      <c r="N154" s="239">
        <f t="shared" si="49"/>
        <v>294830.88952404761</v>
      </c>
      <c r="O154" s="239">
        <f t="shared" si="49"/>
        <v>0</v>
      </c>
      <c r="P154" s="239">
        <f t="shared" si="49"/>
        <v>0</v>
      </c>
      <c r="Q154" s="239">
        <f t="shared" si="49"/>
        <v>0</v>
      </c>
      <c r="R154" s="239">
        <f t="shared" si="49"/>
        <v>0</v>
      </c>
      <c r="S154" s="239">
        <f t="shared" si="49"/>
        <v>0</v>
      </c>
      <c r="T154" s="239">
        <f t="shared" si="49"/>
        <v>0</v>
      </c>
      <c r="U154" s="239">
        <f t="shared" si="49"/>
        <v>0</v>
      </c>
      <c r="V154" s="239">
        <f t="shared" si="49"/>
        <v>0</v>
      </c>
      <c r="W154" s="239">
        <f t="shared" si="49"/>
        <v>0</v>
      </c>
      <c r="X154" s="239">
        <f t="shared" si="49"/>
        <v>0</v>
      </c>
      <c r="Y154" s="239">
        <f t="shared" si="49"/>
        <v>0</v>
      </c>
      <c r="Z154" s="239">
        <f t="shared" si="49"/>
        <v>0</v>
      </c>
      <c r="AA154" s="239">
        <f t="shared" si="49"/>
        <v>0</v>
      </c>
      <c r="AB154" s="239">
        <f t="shared" si="49"/>
        <v>33523.75749538932</v>
      </c>
      <c r="AC154" s="239">
        <f t="shared" si="49"/>
        <v>0</v>
      </c>
      <c r="AD154" s="239">
        <f t="shared" si="49"/>
        <v>0</v>
      </c>
      <c r="AE154" s="239">
        <f t="shared" si="49"/>
        <v>0</v>
      </c>
      <c r="AF154" s="239">
        <f t="shared" si="49"/>
        <v>0</v>
      </c>
      <c r="AG154" s="239">
        <f t="shared" si="49"/>
        <v>0</v>
      </c>
      <c r="AH154" s="239">
        <f t="shared" si="49"/>
        <v>0</v>
      </c>
      <c r="AI154" s="239">
        <f t="shared" si="49"/>
        <v>0</v>
      </c>
      <c r="AJ154" s="239">
        <f t="shared" si="49"/>
        <v>0</v>
      </c>
    </row>
    <row r="155" spans="2:36" ht="15.75" x14ac:dyDescent="0.25">
      <c r="B155" s="221" t="s">
        <v>257</v>
      </c>
      <c r="C155" s="221"/>
      <c r="D155" s="221"/>
      <c r="E155" s="260"/>
      <c r="F155" s="260"/>
      <c r="G155" s="239">
        <f>IF(G$143&gt;0,0,-G$143)</f>
        <v>2702326.4537175535</v>
      </c>
      <c r="H155" s="239">
        <f t="shared" ref="H155:AJ155" si="50">IF(H$143&gt;0,0,-H$143)</f>
        <v>11460.547922841972</v>
      </c>
      <c r="I155" s="239">
        <f t="shared" si="50"/>
        <v>0</v>
      </c>
      <c r="J155" s="239">
        <f t="shared" si="50"/>
        <v>0</v>
      </c>
      <c r="K155" s="239">
        <f t="shared" si="50"/>
        <v>0</v>
      </c>
      <c r="L155" s="239">
        <f t="shared" si="50"/>
        <v>0</v>
      </c>
      <c r="M155" s="239">
        <f t="shared" si="50"/>
        <v>0</v>
      </c>
      <c r="N155" s="239">
        <f t="shared" si="50"/>
        <v>0</v>
      </c>
      <c r="O155" s="239">
        <f t="shared" si="50"/>
        <v>0</v>
      </c>
      <c r="P155" s="239">
        <f t="shared" si="50"/>
        <v>0</v>
      </c>
      <c r="Q155" s="239">
        <f t="shared" si="50"/>
        <v>0</v>
      </c>
      <c r="R155" s="239">
        <f t="shared" si="50"/>
        <v>0</v>
      </c>
      <c r="S155" s="239">
        <f t="shared" si="50"/>
        <v>0</v>
      </c>
      <c r="T155" s="239">
        <f t="shared" si="50"/>
        <v>0</v>
      </c>
      <c r="U155" s="239">
        <f t="shared" si="50"/>
        <v>0</v>
      </c>
      <c r="V155" s="239">
        <f t="shared" si="50"/>
        <v>0</v>
      </c>
      <c r="W155" s="239">
        <f t="shared" si="50"/>
        <v>0</v>
      </c>
      <c r="X155" s="239">
        <f t="shared" si="50"/>
        <v>0</v>
      </c>
      <c r="Y155" s="239">
        <f t="shared" si="50"/>
        <v>0</v>
      </c>
      <c r="Z155" s="239">
        <f t="shared" si="50"/>
        <v>0</v>
      </c>
      <c r="AA155" s="239">
        <f t="shared" si="50"/>
        <v>33523.75749538932</v>
      </c>
      <c r="AB155" s="239">
        <f t="shared" si="50"/>
        <v>0</v>
      </c>
      <c r="AC155" s="239">
        <f t="shared" si="50"/>
        <v>0</v>
      </c>
      <c r="AD155" s="239">
        <f t="shared" si="50"/>
        <v>0</v>
      </c>
      <c r="AE155" s="239">
        <f t="shared" si="50"/>
        <v>0</v>
      </c>
      <c r="AF155" s="239">
        <f t="shared" si="50"/>
        <v>0</v>
      </c>
      <c r="AG155" s="239">
        <f t="shared" si="50"/>
        <v>0</v>
      </c>
      <c r="AH155" s="239">
        <f t="shared" si="50"/>
        <v>0</v>
      </c>
      <c r="AI155" s="239">
        <f t="shared" si="50"/>
        <v>0</v>
      </c>
      <c r="AJ155" s="239">
        <f t="shared" si="50"/>
        <v>0</v>
      </c>
    </row>
    <row r="156" spans="2:36" ht="15.75" x14ac:dyDescent="0.25">
      <c r="B156" s="221" t="s">
        <v>255</v>
      </c>
      <c r="C156" s="221"/>
      <c r="D156" s="221"/>
      <c r="E156" s="260"/>
      <c r="F156" s="260"/>
      <c r="G156" s="239">
        <f t="shared" ref="G156:AJ156" si="51">IF(G$143&lt;=0,0,-MIN(G$143,F$149))</f>
        <v>0</v>
      </c>
      <c r="H156" s="239">
        <f t="shared" si="51"/>
        <v>0</v>
      </c>
      <c r="I156" s="239">
        <f t="shared" si="51"/>
        <v>-252962.6642142419</v>
      </c>
      <c r="J156" s="239">
        <f t="shared" si="51"/>
        <v>-422002.42070991267</v>
      </c>
      <c r="K156" s="239">
        <f t="shared" si="51"/>
        <v>-448171.17147752654</v>
      </c>
      <c r="L156" s="239">
        <f t="shared" si="51"/>
        <v>-581551.77517100598</v>
      </c>
      <c r="M156" s="239">
        <f t="shared" si="51"/>
        <v>-714268.08054366079</v>
      </c>
      <c r="N156" s="239">
        <f t="shared" si="51"/>
        <v>-294830.88952404761</v>
      </c>
      <c r="O156" s="239">
        <f t="shared" si="51"/>
        <v>0</v>
      </c>
      <c r="P156" s="239">
        <f t="shared" si="51"/>
        <v>0</v>
      </c>
      <c r="Q156" s="239">
        <f t="shared" si="51"/>
        <v>0</v>
      </c>
      <c r="R156" s="239">
        <f t="shared" si="51"/>
        <v>0</v>
      </c>
      <c r="S156" s="239">
        <f t="shared" si="51"/>
        <v>0</v>
      </c>
      <c r="T156" s="239">
        <f t="shared" si="51"/>
        <v>0</v>
      </c>
      <c r="U156" s="239">
        <f t="shared" si="51"/>
        <v>0</v>
      </c>
      <c r="V156" s="239">
        <f t="shared" si="51"/>
        <v>0</v>
      </c>
      <c r="W156" s="239">
        <f t="shared" si="51"/>
        <v>0</v>
      </c>
      <c r="X156" s="239">
        <f t="shared" si="51"/>
        <v>0</v>
      </c>
      <c r="Y156" s="239">
        <f t="shared" si="51"/>
        <v>0</v>
      </c>
      <c r="Z156" s="239">
        <f t="shared" si="51"/>
        <v>0</v>
      </c>
      <c r="AA156" s="239">
        <f t="shared" si="51"/>
        <v>0</v>
      </c>
      <c r="AB156" s="239">
        <f t="shared" si="51"/>
        <v>-33523.75749538932</v>
      </c>
      <c r="AC156" s="239">
        <f t="shared" si="51"/>
        <v>0</v>
      </c>
      <c r="AD156" s="239">
        <f t="shared" si="51"/>
        <v>0</v>
      </c>
      <c r="AE156" s="239">
        <f t="shared" si="51"/>
        <v>0</v>
      </c>
      <c r="AF156" s="239">
        <f t="shared" si="51"/>
        <v>0</v>
      </c>
      <c r="AG156" s="239">
        <f t="shared" si="51"/>
        <v>0</v>
      </c>
      <c r="AH156" s="239">
        <f t="shared" si="51"/>
        <v>0</v>
      </c>
      <c r="AI156" s="239">
        <f t="shared" si="51"/>
        <v>0</v>
      </c>
      <c r="AJ156" s="239">
        <f t="shared" si="51"/>
        <v>0</v>
      </c>
    </row>
    <row r="157" spans="2:36" ht="15.75" x14ac:dyDescent="0.25">
      <c r="B157" s="221" t="s">
        <v>258</v>
      </c>
      <c r="C157" s="221"/>
      <c r="D157" s="221"/>
      <c r="E157" s="260"/>
      <c r="F157" s="260"/>
      <c r="G157" s="239">
        <f>SUM(G154:G156)</f>
        <v>2702326.4537175535</v>
      </c>
      <c r="H157" s="239">
        <f t="shared" ref="H157:AJ157" si="52">SUM(H154:H156)</f>
        <v>2713787.0016403953</v>
      </c>
      <c r="I157" s="239">
        <f t="shared" si="52"/>
        <v>2460824.3374261535</v>
      </c>
      <c r="J157" s="239">
        <f t="shared" si="52"/>
        <v>2038821.9167162408</v>
      </c>
      <c r="K157" s="239">
        <f t="shared" si="52"/>
        <v>1590650.7452387144</v>
      </c>
      <c r="L157" s="239">
        <f t="shared" si="52"/>
        <v>1009098.9700677084</v>
      </c>
      <c r="M157" s="239">
        <f t="shared" si="52"/>
        <v>294830.88952404761</v>
      </c>
      <c r="N157" s="239">
        <f t="shared" si="52"/>
        <v>0</v>
      </c>
      <c r="O157" s="239">
        <f t="shared" si="52"/>
        <v>0</v>
      </c>
      <c r="P157" s="239">
        <f t="shared" si="52"/>
        <v>0</v>
      </c>
      <c r="Q157" s="239">
        <f t="shared" si="52"/>
        <v>0</v>
      </c>
      <c r="R157" s="239">
        <f t="shared" si="52"/>
        <v>0</v>
      </c>
      <c r="S157" s="239">
        <f t="shared" si="52"/>
        <v>0</v>
      </c>
      <c r="T157" s="239">
        <f t="shared" si="52"/>
        <v>0</v>
      </c>
      <c r="U157" s="239">
        <f t="shared" si="52"/>
        <v>0</v>
      </c>
      <c r="V157" s="239">
        <f t="shared" si="52"/>
        <v>0</v>
      </c>
      <c r="W157" s="239">
        <f t="shared" si="52"/>
        <v>0</v>
      </c>
      <c r="X157" s="239">
        <f t="shared" si="52"/>
        <v>0</v>
      </c>
      <c r="Y157" s="239">
        <f t="shared" si="52"/>
        <v>0</v>
      </c>
      <c r="Z157" s="239">
        <f t="shared" si="52"/>
        <v>0</v>
      </c>
      <c r="AA157" s="239">
        <f t="shared" si="52"/>
        <v>33523.75749538932</v>
      </c>
      <c r="AB157" s="239">
        <f t="shared" si="52"/>
        <v>0</v>
      </c>
      <c r="AC157" s="239">
        <f t="shared" si="52"/>
        <v>0</v>
      </c>
      <c r="AD157" s="239">
        <f t="shared" si="52"/>
        <v>0</v>
      </c>
      <c r="AE157" s="239">
        <f t="shared" si="52"/>
        <v>0</v>
      </c>
      <c r="AF157" s="239">
        <f t="shared" si="52"/>
        <v>0</v>
      </c>
      <c r="AG157" s="239">
        <f t="shared" si="52"/>
        <v>0</v>
      </c>
      <c r="AH157" s="239">
        <f t="shared" si="52"/>
        <v>0</v>
      </c>
      <c r="AI157" s="239">
        <f t="shared" si="52"/>
        <v>0</v>
      </c>
      <c r="AJ157" s="239">
        <f t="shared" si="52"/>
        <v>0</v>
      </c>
    </row>
    <row r="158" spans="2:36" ht="15.75" x14ac:dyDescent="0.25">
      <c r="B158" s="221"/>
      <c r="C158" s="221"/>
      <c r="D158" s="221"/>
      <c r="E158" s="260"/>
      <c r="F158" s="260"/>
      <c r="G158" s="260"/>
      <c r="H158" s="260"/>
      <c r="I158" s="260"/>
      <c r="J158" s="260"/>
      <c r="K158" s="260"/>
      <c r="L158" s="260"/>
      <c r="M158" s="260"/>
      <c r="N158" s="260"/>
      <c r="O158" s="260"/>
      <c r="P158" s="260"/>
      <c r="Q158" s="260"/>
      <c r="R158" s="260"/>
      <c r="S158" s="260"/>
      <c r="T158" s="260"/>
      <c r="U158" s="260"/>
      <c r="V158" s="260"/>
      <c r="W158" s="260"/>
      <c r="X158" s="260"/>
      <c r="Y158" s="260"/>
      <c r="Z158" s="260"/>
      <c r="AA158" s="260"/>
      <c r="AB158" s="260"/>
      <c r="AC158" s="260"/>
      <c r="AD158" s="260"/>
      <c r="AE158" s="260"/>
      <c r="AF158" s="260"/>
      <c r="AG158" s="260"/>
      <c r="AH158" s="260"/>
      <c r="AI158" s="260"/>
      <c r="AJ158" s="260"/>
    </row>
    <row r="159" spans="2:36" ht="15.75" x14ac:dyDescent="0.25">
      <c r="B159" s="221" t="s">
        <v>259</v>
      </c>
      <c r="C159" s="221"/>
      <c r="D159" s="221"/>
      <c r="E159" s="260"/>
      <c r="F159" s="260"/>
      <c r="G159" s="239">
        <f>G143+G155+G156</f>
        <v>0</v>
      </c>
      <c r="H159" s="239">
        <f t="shared" ref="H159:AJ159" si="53">H143+H155+H156</f>
        <v>0</v>
      </c>
      <c r="I159" s="239">
        <f t="shared" si="53"/>
        <v>0</v>
      </c>
      <c r="J159" s="239">
        <f t="shared" si="53"/>
        <v>0</v>
      </c>
      <c r="K159" s="239">
        <f t="shared" si="53"/>
        <v>0</v>
      </c>
      <c r="L159" s="239">
        <f t="shared" si="53"/>
        <v>0</v>
      </c>
      <c r="M159" s="239">
        <f t="shared" si="53"/>
        <v>0</v>
      </c>
      <c r="N159" s="239">
        <f t="shared" si="53"/>
        <v>444529.58244487504</v>
      </c>
      <c r="O159" s="239">
        <f t="shared" si="53"/>
        <v>764896.38426384283</v>
      </c>
      <c r="P159" s="239">
        <f t="shared" si="53"/>
        <v>681879.34710660321</v>
      </c>
      <c r="Q159" s="239">
        <f t="shared" si="53"/>
        <v>640797.23009339697</v>
      </c>
      <c r="R159" s="239">
        <f t="shared" si="53"/>
        <v>734478.41472244135</v>
      </c>
      <c r="S159" s="239">
        <f t="shared" si="53"/>
        <v>802322.94154199993</v>
      </c>
      <c r="T159" s="239">
        <f t="shared" si="53"/>
        <v>831325.75824062119</v>
      </c>
      <c r="U159" s="239">
        <f t="shared" si="53"/>
        <v>890935.04981053516</v>
      </c>
      <c r="V159" s="239">
        <f t="shared" si="53"/>
        <v>977000.65396553976</v>
      </c>
      <c r="W159" s="239">
        <f t="shared" si="53"/>
        <v>1034290.9759626002</v>
      </c>
      <c r="X159" s="239">
        <f t="shared" si="53"/>
        <v>1067243.8057486389</v>
      </c>
      <c r="Y159" s="239">
        <f t="shared" si="53"/>
        <v>1100160.3632258708</v>
      </c>
      <c r="Z159" s="239">
        <f t="shared" si="53"/>
        <v>1003363.9921817065</v>
      </c>
      <c r="AA159" s="239">
        <f t="shared" si="53"/>
        <v>0</v>
      </c>
      <c r="AB159" s="239">
        <f t="shared" si="53"/>
        <v>10632.142042979307</v>
      </c>
      <c r="AC159" s="239">
        <f t="shared" si="53"/>
        <v>91023.902711439121</v>
      </c>
      <c r="AD159" s="239">
        <f t="shared" si="53"/>
        <v>96582.944173655094</v>
      </c>
      <c r="AE159" s="239">
        <f t="shared" si="53"/>
        <v>132476.57312624992</v>
      </c>
      <c r="AF159" s="239">
        <f t="shared" si="53"/>
        <v>1.4551915228366852E-13</v>
      </c>
      <c r="AG159" s="239">
        <f t="shared" si="53"/>
        <v>0</v>
      </c>
      <c r="AH159" s="239">
        <f t="shared" si="53"/>
        <v>0</v>
      </c>
      <c r="AI159" s="239">
        <f t="shared" si="53"/>
        <v>0</v>
      </c>
      <c r="AJ159" s="239">
        <f t="shared" si="53"/>
        <v>0</v>
      </c>
    </row>
    <row r="160" spans="2:36" ht="15.75" thickBot="1" x14ac:dyDescent="0.3">
      <c r="B160" s="262"/>
      <c r="C160" s="262"/>
      <c r="D160" s="262"/>
      <c r="E160" s="262"/>
      <c r="F160" s="262"/>
      <c r="G160" s="262"/>
      <c r="H160" s="262"/>
      <c r="I160" s="262"/>
      <c r="J160" s="262"/>
      <c r="K160" s="262"/>
      <c r="L160" s="262"/>
      <c r="M160" s="262"/>
      <c r="N160" s="262"/>
      <c r="O160" s="262"/>
      <c r="P160" s="262"/>
      <c r="Q160" s="262"/>
      <c r="R160" s="262"/>
      <c r="S160" s="262"/>
      <c r="T160" s="262"/>
      <c r="U160" s="262"/>
      <c r="V160" s="262"/>
      <c r="W160" s="262"/>
      <c r="X160" s="262"/>
      <c r="Y160" s="262"/>
      <c r="Z160" s="262"/>
      <c r="AA160" s="262"/>
      <c r="AB160" s="262"/>
      <c r="AC160" s="262"/>
      <c r="AD160" s="262"/>
      <c r="AE160" s="262"/>
      <c r="AF160" s="262"/>
      <c r="AG160" s="262"/>
      <c r="AH160" s="262"/>
      <c r="AI160" s="262"/>
      <c r="AJ160" s="262"/>
    </row>
    <row r="161" spans="2:36" s="1" customFormat="1" ht="15.75" x14ac:dyDescent="0.25">
      <c r="B161" s="221"/>
      <c r="C161" s="221"/>
      <c r="D161" s="221"/>
      <c r="E161" s="221"/>
      <c r="F161" s="221"/>
      <c r="G161" s="244"/>
      <c r="H161" s="245"/>
      <c r="I161" s="221"/>
      <c r="J161" s="221"/>
      <c r="K161" s="221"/>
      <c r="L161" s="221"/>
      <c r="M161" s="221"/>
      <c r="N161" s="221"/>
      <c r="O161" s="221"/>
      <c r="P161" s="221"/>
      <c r="Q161" s="221"/>
      <c r="R161" s="221"/>
      <c r="S161" s="221"/>
      <c r="T161" s="221"/>
      <c r="U161" s="221"/>
      <c r="V161" s="221"/>
      <c r="W161" s="221"/>
      <c r="X161" s="221"/>
      <c r="Y161" s="221"/>
      <c r="Z161" s="221"/>
      <c r="AA161" s="221"/>
      <c r="AB161" s="221"/>
      <c r="AC161" s="221"/>
      <c r="AD161" s="221"/>
      <c r="AE161" s="221"/>
      <c r="AF161" s="221"/>
      <c r="AG161" s="221"/>
      <c r="AH161" s="221"/>
      <c r="AI161" s="221"/>
      <c r="AJ161" s="221"/>
    </row>
    <row r="162" spans="2:36" s="1" customFormat="1" ht="15.75" x14ac:dyDescent="0.25">
      <c r="B162" s="220" t="s">
        <v>261</v>
      </c>
      <c r="C162" s="220"/>
      <c r="D162" s="220"/>
      <c r="E162" s="221"/>
      <c r="F162" s="221"/>
      <c r="G162" s="244"/>
      <c r="H162" s="245"/>
      <c r="I162" s="221"/>
      <c r="J162" s="221"/>
      <c r="K162" s="221"/>
      <c r="L162" s="221"/>
      <c r="M162" s="221"/>
      <c r="N162" s="221"/>
      <c r="O162" s="221"/>
      <c r="P162" s="221"/>
      <c r="Q162" s="221"/>
      <c r="R162" s="221"/>
      <c r="S162" s="221"/>
      <c r="T162" s="221"/>
      <c r="U162" s="221"/>
      <c r="V162" s="221"/>
      <c r="W162" s="221"/>
      <c r="X162" s="221"/>
      <c r="Y162" s="221"/>
      <c r="Z162" s="221"/>
      <c r="AA162" s="221"/>
      <c r="AB162" s="221"/>
      <c r="AC162" s="221"/>
      <c r="AD162" s="221"/>
      <c r="AE162" s="221"/>
      <c r="AF162" s="221"/>
      <c r="AG162" s="221"/>
      <c r="AH162" s="221"/>
      <c r="AI162" s="221"/>
      <c r="AJ162" s="221"/>
    </row>
    <row r="163" spans="2:36" s="1" customFormat="1" x14ac:dyDescent="0.2">
      <c r="B163" s="221" t="s">
        <v>262</v>
      </c>
      <c r="C163" s="221"/>
      <c r="D163" s="221"/>
      <c r="E163" s="221"/>
      <c r="F163" s="221"/>
      <c r="G163" s="298">
        <f>IF(OR(Inputs!$G$73="No",Inputs!$Q$19="Performance-Based",Inputs!$Q$19="Neither"),0,IF(AND(Inputs!$Q$20="ITC",G$2=1),Inputs!$Q$23,IF(G$2&gt;1,0,IF(Inputs!$Q$20="Cash Grant",0,"ERROR"))))</f>
        <v>0</v>
      </c>
      <c r="H163" s="298">
        <f>IF(OR(Inputs!$G$73="No",Inputs!$Q$19="Performance-Based",Inputs!$Q$19="Neither"),0,IF(AND(Inputs!$Q$20="ITC",H$2=1),Inputs!$Q$23,IF(H$2&gt;1,0,IF(Inputs!$Q$20="Cash Grant",0,"ERROR"))))</f>
        <v>0</v>
      </c>
      <c r="I163" s="298">
        <f>IF(OR(Inputs!$G$73="No",Inputs!$Q$19="Performance-Based",Inputs!$Q$19="Neither"),0,IF(AND(Inputs!$Q$20="ITC",I$2=1),Inputs!$Q$23,IF(I$2&gt;1,0,IF(Inputs!$Q$20="Cash Grant",0,"ERROR"))))</f>
        <v>0</v>
      </c>
      <c r="J163" s="298">
        <f>IF(OR(Inputs!$G$73="No",Inputs!$Q$19="Performance-Based",Inputs!$Q$19="Neither"),0,IF(AND(Inputs!$Q$20="ITC",J$2=1),Inputs!$Q$23,IF(J$2&gt;1,0,IF(Inputs!$Q$20="Cash Grant",0,"ERROR"))))</f>
        <v>0</v>
      </c>
      <c r="K163" s="298">
        <f>IF(OR(Inputs!$G$73="No",Inputs!$Q$19="Performance-Based",Inputs!$Q$19="Neither"),0,IF(AND(Inputs!$Q$20="ITC",K$2=1),Inputs!$Q$23,IF(K$2&gt;1,0,IF(Inputs!$Q$20="Cash Grant",0,"ERROR"))))</f>
        <v>0</v>
      </c>
      <c r="L163" s="298">
        <f>IF(OR(Inputs!$G$73="No",Inputs!$Q$19="Performance-Based",Inputs!$Q$19="Neither"),0,IF(AND(Inputs!$Q$20="ITC",L$2=1),Inputs!$Q$23,IF(L$2&gt;1,0,IF(Inputs!$Q$20="Cash Grant",0,"ERROR"))))</f>
        <v>0</v>
      </c>
      <c r="M163" s="298">
        <f>IF(OR(Inputs!$G$73="No",Inputs!$Q$19="Performance-Based",Inputs!$Q$19="Neither"),0,IF(AND(Inputs!$Q$20="ITC",M$2=1),Inputs!$Q$23,IF(M$2&gt;1,0,IF(Inputs!$Q$20="Cash Grant",0,"ERROR"))))</f>
        <v>0</v>
      </c>
      <c r="N163" s="298">
        <f>IF(OR(Inputs!$G$73="No",Inputs!$Q$19="Performance-Based",Inputs!$Q$19="Neither"),0,IF(AND(Inputs!$Q$20="ITC",N$2=1),Inputs!$Q$23,IF(N$2&gt;1,0,IF(Inputs!$Q$20="Cash Grant",0,"ERROR"))))</f>
        <v>0</v>
      </c>
      <c r="O163" s="298">
        <f>IF(OR(Inputs!$G$73="No",Inputs!$Q$19="Performance-Based",Inputs!$Q$19="Neither"),0,IF(AND(Inputs!$Q$20="ITC",O$2=1),Inputs!$Q$23,IF(O$2&gt;1,0,IF(Inputs!$Q$20="Cash Grant",0,"ERROR"))))</f>
        <v>0</v>
      </c>
      <c r="P163" s="298">
        <f>IF(OR(Inputs!$G$73="No",Inputs!$Q$19="Performance-Based",Inputs!$Q$19="Neither"),0,IF(AND(Inputs!$Q$20="ITC",P$2=1),Inputs!$Q$23,IF(P$2&gt;1,0,IF(Inputs!$Q$20="Cash Grant",0,"ERROR"))))</f>
        <v>0</v>
      </c>
      <c r="Q163" s="298">
        <f>IF(OR(Inputs!$G$73="No",Inputs!$Q$19="Performance-Based",Inputs!$Q$19="Neither"),0,IF(AND(Inputs!$Q$20="ITC",Q$2=1),Inputs!$Q$23,IF(Q$2&gt;1,0,IF(Inputs!$Q$20="Cash Grant",0,"ERROR"))))</f>
        <v>0</v>
      </c>
      <c r="R163" s="298">
        <f>IF(OR(Inputs!$G$73="No",Inputs!$Q$19="Performance-Based",Inputs!$Q$19="Neither"),0,IF(AND(Inputs!$Q$20="ITC",R$2=1),Inputs!$Q$23,IF(R$2&gt;1,0,IF(Inputs!$Q$20="Cash Grant",0,"ERROR"))))</f>
        <v>0</v>
      </c>
      <c r="S163" s="298">
        <f>IF(OR(Inputs!$G$73="No",Inputs!$Q$19="Performance-Based",Inputs!$Q$19="Neither"),0,IF(AND(Inputs!$Q$20="ITC",S$2=1),Inputs!$Q$23,IF(S$2&gt;1,0,IF(Inputs!$Q$20="Cash Grant",0,"ERROR"))))</f>
        <v>0</v>
      </c>
      <c r="T163" s="298">
        <f>IF(OR(Inputs!$G$73="No",Inputs!$Q$19="Performance-Based",Inputs!$Q$19="Neither"),0,IF(AND(Inputs!$Q$20="ITC",T$2=1),Inputs!$Q$23,IF(T$2&gt;1,0,IF(Inputs!$Q$20="Cash Grant",0,"ERROR"))))</f>
        <v>0</v>
      </c>
      <c r="U163" s="298">
        <f>IF(OR(Inputs!$G$73="No",Inputs!$Q$19="Performance-Based",Inputs!$Q$19="Neither"),0,IF(AND(Inputs!$Q$20="ITC",U$2=1),Inputs!$Q$23,IF(U$2&gt;1,0,IF(Inputs!$Q$20="Cash Grant",0,"ERROR"))))</f>
        <v>0</v>
      </c>
      <c r="V163" s="298">
        <f>IF(OR(Inputs!$G$73="No",Inputs!$Q$19="Performance-Based",Inputs!$Q$19="Neither"),0,IF(AND(Inputs!$Q$20="ITC",V$2=1),Inputs!$Q$23,IF(V$2&gt;1,0,IF(Inputs!$Q$20="Cash Grant",0,"ERROR"))))</f>
        <v>0</v>
      </c>
      <c r="W163" s="298">
        <f>IF(OR(Inputs!$G$73="No",Inputs!$Q$19="Performance-Based",Inputs!$Q$19="Neither"),0,IF(AND(Inputs!$Q$20="ITC",W$2=1),Inputs!$Q$23,IF(W$2&gt;1,0,IF(Inputs!$Q$20="Cash Grant",0,"ERROR"))))</f>
        <v>0</v>
      </c>
      <c r="X163" s="298">
        <f>IF(OR(Inputs!$G$73="No",Inputs!$Q$19="Performance-Based",Inputs!$Q$19="Neither"),0,IF(AND(Inputs!$Q$20="ITC",X$2=1),Inputs!$Q$23,IF(X$2&gt;1,0,IF(Inputs!$Q$20="Cash Grant",0,"ERROR"))))</f>
        <v>0</v>
      </c>
      <c r="Y163" s="298">
        <f>IF(OR(Inputs!$G$73="No",Inputs!$Q$19="Performance-Based",Inputs!$Q$19="Neither"),0,IF(AND(Inputs!$Q$20="ITC",Y$2=1),Inputs!$Q$23,IF(Y$2&gt;1,0,IF(Inputs!$Q$20="Cash Grant",0,"ERROR"))))</f>
        <v>0</v>
      </c>
      <c r="Z163" s="298">
        <f>IF(OR(Inputs!$G$73="No",Inputs!$Q$19="Performance-Based",Inputs!$Q$19="Neither"),0,IF(AND(Inputs!$Q$20="ITC",Z$2=1),Inputs!$Q$23,IF(Z$2&gt;1,0,IF(Inputs!$Q$20="Cash Grant",0,"ERROR"))))</f>
        <v>0</v>
      </c>
      <c r="AA163" s="298">
        <f>IF(OR(Inputs!$G$73="No",Inputs!$Q$19="Performance-Based",Inputs!$Q$19="Neither"),0,IF(AND(Inputs!$Q$20="ITC",AA$2=1),Inputs!$Q$23,IF(AA$2&gt;1,0,IF(Inputs!$Q$20="Cash Grant",0,"ERROR"))))</f>
        <v>0</v>
      </c>
      <c r="AB163" s="298">
        <f>IF(OR(Inputs!$G$73="No",Inputs!$Q$19="Performance-Based",Inputs!$Q$19="Neither"),0,IF(AND(Inputs!$Q$20="ITC",AB$2=1),Inputs!$Q$23,IF(AB$2&gt;1,0,IF(Inputs!$Q$20="Cash Grant",0,"ERROR"))))</f>
        <v>0</v>
      </c>
      <c r="AC163" s="298">
        <f>IF(OR(Inputs!$G$73="No",Inputs!$Q$19="Performance-Based",Inputs!$Q$19="Neither"),0,IF(AND(Inputs!$Q$20="ITC",AC$2=1),Inputs!$Q$23,IF(AC$2&gt;1,0,IF(Inputs!$Q$20="Cash Grant",0,"ERROR"))))</f>
        <v>0</v>
      </c>
      <c r="AD163" s="298">
        <f>IF(OR(Inputs!$G$73="No",Inputs!$Q$19="Performance-Based",Inputs!$Q$19="Neither"),0,IF(AND(Inputs!$Q$20="ITC",AD$2=1),Inputs!$Q$23,IF(AD$2&gt;1,0,IF(Inputs!$Q$20="Cash Grant",0,"ERROR"))))</f>
        <v>0</v>
      </c>
      <c r="AE163" s="298">
        <f>IF(OR(Inputs!$G$73="No",Inputs!$Q$19="Performance-Based",Inputs!$Q$19="Neither"),0,IF(AND(Inputs!$Q$20="ITC",AE$2=1),Inputs!$Q$23,IF(AE$2&gt;1,0,IF(Inputs!$Q$20="Cash Grant",0,"ERROR"))))</f>
        <v>0</v>
      </c>
      <c r="AF163" s="298">
        <f>IF(OR(Inputs!$G$73="No",Inputs!$Q$19="Performance-Based",Inputs!$Q$19="Neither"),0,IF(AND(Inputs!$Q$20="ITC",AF$2=1),Inputs!$Q$23,IF(AF$2&gt;1,0,IF(Inputs!$Q$20="Cash Grant",0,"ERROR"))))</f>
        <v>0</v>
      </c>
      <c r="AG163" s="298">
        <f>IF(OR(Inputs!$G$73="No",Inputs!$Q$19="Performance-Based",Inputs!$Q$19="Neither"),0,IF(AND(Inputs!$Q$20="ITC",AG$2=1),Inputs!$Q$23,IF(AG$2&gt;1,0,IF(Inputs!$Q$20="Cash Grant",0,"ERROR"))))</f>
        <v>0</v>
      </c>
      <c r="AH163" s="298">
        <f>IF(OR(Inputs!$G$73="No",Inputs!$Q$19="Performance-Based",Inputs!$Q$19="Neither"),0,IF(AND(Inputs!$Q$20="ITC",AH$2=1),Inputs!$Q$23,IF(AH$2&gt;1,0,IF(Inputs!$Q$20="Cash Grant",0,"ERROR"))))</f>
        <v>0</v>
      </c>
      <c r="AI163" s="298">
        <f>IF(OR(Inputs!$G$73="No",Inputs!$Q$19="Performance-Based",Inputs!$Q$19="Neither"),0,IF(AND(Inputs!$Q$20="ITC",AI$2=1),Inputs!$Q$23,IF(AI$2&gt;1,0,IF(Inputs!$Q$20="Cash Grant",0,"ERROR"))))</f>
        <v>0</v>
      </c>
      <c r="AJ163" s="298">
        <f>IF(OR(Inputs!$G$73="No",Inputs!$Q$19="Performance-Based",Inputs!$Q$19="Neither"),0,IF(AND(Inputs!$Q$20="ITC",AJ$2=1),Inputs!$Q$23,IF(AJ$2&gt;1,0,IF(Inputs!$Q$20="Cash Grant",0,"ERROR"))))</f>
        <v>0</v>
      </c>
    </row>
    <row r="164" spans="2:36" s="1" customFormat="1" x14ac:dyDescent="0.2">
      <c r="B164" s="221" t="s">
        <v>220</v>
      </c>
      <c r="C164" s="221"/>
      <c r="D164" s="221"/>
      <c r="E164" s="221"/>
      <c r="F164" s="221"/>
      <c r="G164" s="239">
        <f>IF(OR(Inputs!$G$73="No",Inputs!$Q$19="Cost-Based",Inputs!$Q$19="Neither"),0,IF(Inputs!$Q$24="Tax Credit",IF(G$2&gt;Inputs!$Q$27,0,Inputs!$Q$25/100*G$9*Inputs!$Q$26*G$5*(1-MIN(Inputs!$Q$29/Inputs!$G$26,50%))),0))</f>
        <v>79851.596287865919</v>
      </c>
      <c r="H164" s="239">
        <f>IF(OR(Inputs!$G$73="No",Inputs!$Q$19="Cost-Based",Inputs!$Q$19="Neither"),0,IF(Inputs!$Q$24="Tax Credit",IF(H$2&gt;Inputs!$Q$27,0,Inputs!$Q$25/100*H$9*Inputs!$Q$26*H$5*(1-MIN(Inputs!$Q$29/Inputs!$G$26,50%))),0))</f>
        <v>81041.385072555146</v>
      </c>
      <c r="I164" s="239">
        <f>IF(OR(Inputs!$G$73="No",Inputs!$Q$19="Cost-Based",Inputs!$Q$19="Neither"),0,IF(Inputs!$Q$24="Tax Credit",IF(I$2&gt;Inputs!$Q$27,0,Inputs!$Q$25/100*I$9*Inputs!$Q$26*I$5*(1-MIN(Inputs!$Q$29/Inputs!$G$26,50%))),0))</f>
        <v>82248.901710136211</v>
      </c>
      <c r="J164" s="239">
        <f>IF(OR(Inputs!$G$73="No",Inputs!$Q$19="Cost-Based",Inputs!$Q$19="Neither"),0,IF(Inputs!$Q$24="Tax Credit",IF(J$2&gt;Inputs!$Q$27,0,Inputs!$Q$25/100*J$9*Inputs!$Q$26*J$5*(1-MIN(Inputs!$Q$29/Inputs!$G$26,50%))),0))</f>
        <v>83474.410345617245</v>
      </c>
      <c r="K164" s="239">
        <f>IF(OR(Inputs!$G$73="No",Inputs!$Q$19="Cost-Based",Inputs!$Q$19="Neither"),0,IF(Inputs!$Q$24="Tax Credit",IF(K$2&gt;Inputs!$Q$27,0,Inputs!$Q$25/100*K$9*Inputs!$Q$26*K$5*(1-MIN(Inputs!$Q$29/Inputs!$G$26,50%))),0))</f>
        <v>84718.179059766931</v>
      </c>
      <c r="L164" s="239">
        <f>IF(OR(Inputs!$G$73="No",Inputs!$Q$19="Cost-Based",Inputs!$Q$19="Neither"),0,IF(Inputs!$Q$24="Tax Credit",IF(L$2&gt;Inputs!$Q$27,0,Inputs!$Q$25/100*L$9*Inputs!$Q$26*L$5*(1-MIN(Inputs!$Q$29/Inputs!$G$26,50%))),0))</f>
        <v>85980.479927757478</v>
      </c>
      <c r="M164" s="239">
        <f>IF(OR(Inputs!$G$73="No",Inputs!$Q$19="Cost-Based",Inputs!$Q$19="Neither"),0,IF(Inputs!$Q$24="Tax Credit",IF(M$2&gt;Inputs!$Q$27,0,Inputs!$Q$25/100*M$9*Inputs!$Q$26*M$5*(1-MIN(Inputs!$Q$29/Inputs!$G$26,50%))),0))</f>
        <v>87261.589078681063</v>
      </c>
      <c r="N164" s="239">
        <f>IF(OR(Inputs!$G$73="No",Inputs!$Q$19="Cost-Based",Inputs!$Q$19="Neither"),0,IF(Inputs!$Q$24="Tax Credit",IF(N$2&gt;Inputs!$Q$27,0,Inputs!$Q$25/100*N$9*Inputs!$Q$26*N$5*(1-MIN(Inputs!$Q$29/Inputs!$G$26,50%))),0))</f>
        <v>88561.786755953406</v>
      </c>
      <c r="O164" s="239">
        <f>IF(OR(Inputs!$G$73="No",Inputs!$Q$19="Cost-Based",Inputs!$Q$19="Neither"),0,IF(Inputs!$Q$24="Tax Credit",IF(O$2&gt;Inputs!$Q$27,0,Inputs!$Q$25/100*O$9*Inputs!$Q$26*O$5*(1-MIN(Inputs!$Q$29/Inputs!$G$26,50%))),0))</f>
        <v>89881.357378617104</v>
      </c>
      <c r="P164" s="239">
        <f>IF(OR(Inputs!$G$73="No",Inputs!$Q$19="Cost-Based",Inputs!$Q$19="Neither"),0,IF(Inputs!$Q$24="Tax Credit",IF(P$2&gt;Inputs!$Q$27,0,Inputs!$Q$25/100*P$9*Inputs!$Q$26*P$5*(1-MIN(Inputs!$Q$29/Inputs!$G$26,50%))),0))</f>
        <v>91220.589603558503</v>
      </c>
      <c r="Q164" s="239">
        <f>IF(OR(Inputs!$G$73="No",Inputs!$Q$19="Cost-Based",Inputs!$Q$19="Neither"),0,IF(Inputs!$Q$24="Tax Credit",IF(Q$2&gt;Inputs!$Q$27,0,Inputs!$Q$25/100*Q$9*Inputs!$Q$26*Q$5*(1-MIN(Inputs!$Q$29/Inputs!$G$26,50%))),0))</f>
        <v>0</v>
      </c>
      <c r="R164" s="239">
        <f>IF(OR(Inputs!$G$73="No",Inputs!$Q$19="Cost-Based",Inputs!$Q$19="Neither"),0,IF(Inputs!$Q$24="Tax Credit",IF(R$2&gt;Inputs!$Q$27,0,Inputs!$Q$25/100*R$9*Inputs!$Q$26*R$5*(1-MIN(Inputs!$Q$29/Inputs!$G$26,50%))),0))</f>
        <v>0</v>
      </c>
      <c r="S164" s="239">
        <f>IF(OR(Inputs!$G$73="No",Inputs!$Q$19="Cost-Based",Inputs!$Q$19="Neither"),0,IF(Inputs!$Q$24="Tax Credit",IF(S$2&gt;Inputs!$Q$27,0,Inputs!$Q$25/100*S$9*Inputs!$Q$26*S$5*(1-MIN(Inputs!$Q$29/Inputs!$G$26,50%))),0))</f>
        <v>0</v>
      </c>
      <c r="T164" s="239">
        <f>IF(OR(Inputs!$G$73="No",Inputs!$Q$19="Cost-Based",Inputs!$Q$19="Neither"),0,IF(Inputs!$Q$24="Tax Credit",IF(T$2&gt;Inputs!$Q$27,0,Inputs!$Q$25/100*T$9*Inputs!$Q$26*T$5*(1-MIN(Inputs!$Q$29/Inputs!$G$26,50%))),0))</f>
        <v>0</v>
      </c>
      <c r="U164" s="239">
        <f>IF(OR(Inputs!$G$73="No",Inputs!$Q$19="Cost-Based",Inputs!$Q$19="Neither"),0,IF(Inputs!$Q$24="Tax Credit",IF(U$2&gt;Inputs!$Q$27,0,Inputs!$Q$25/100*U$9*Inputs!$Q$26*U$5*(1-MIN(Inputs!$Q$29/Inputs!$G$26,50%))),0))</f>
        <v>0</v>
      </c>
      <c r="V164" s="239">
        <f>IF(OR(Inputs!$G$73="No",Inputs!$Q$19="Cost-Based",Inputs!$Q$19="Neither"),0,IF(Inputs!$Q$24="Tax Credit",IF(V$2&gt;Inputs!$Q$27,0,Inputs!$Q$25/100*V$9*Inputs!$Q$26*V$5*(1-MIN(Inputs!$Q$29/Inputs!$G$26,50%))),0))</f>
        <v>0</v>
      </c>
      <c r="W164" s="239">
        <f>IF(OR(Inputs!$G$73="No",Inputs!$Q$19="Cost-Based",Inputs!$Q$19="Neither"),0,IF(Inputs!$Q$24="Tax Credit",IF(W$2&gt;Inputs!$Q$27,0,Inputs!$Q$25/100*W$9*Inputs!$Q$26*W$5*(1-MIN(Inputs!$Q$29/Inputs!$G$26,50%))),0))</f>
        <v>0</v>
      </c>
      <c r="X164" s="239">
        <f>IF(OR(Inputs!$G$73="No",Inputs!$Q$19="Cost-Based",Inputs!$Q$19="Neither"),0,IF(Inputs!$Q$24="Tax Credit",IF(X$2&gt;Inputs!$Q$27,0,Inputs!$Q$25/100*X$9*Inputs!$Q$26*X$5*(1-MIN(Inputs!$Q$29/Inputs!$G$26,50%))),0))</f>
        <v>0</v>
      </c>
      <c r="Y164" s="239">
        <f>IF(OR(Inputs!$G$73="No",Inputs!$Q$19="Cost-Based",Inputs!$Q$19="Neither"),0,IF(Inputs!$Q$24="Tax Credit",IF(Y$2&gt;Inputs!$Q$27,0,Inputs!$Q$25/100*Y$9*Inputs!$Q$26*Y$5*(1-MIN(Inputs!$Q$29/Inputs!$G$26,50%))),0))</f>
        <v>0</v>
      </c>
      <c r="Z164" s="239">
        <f>IF(OR(Inputs!$G$73="No",Inputs!$Q$19="Cost-Based",Inputs!$Q$19="Neither"),0,IF(Inputs!$Q$24="Tax Credit",IF(Z$2&gt;Inputs!$Q$27,0,Inputs!$Q$25/100*Z$9*Inputs!$Q$26*Z$5*(1-MIN(Inputs!$Q$29/Inputs!$G$26,50%))),0))</f>
        <v>0</v>
      </c>
      <c r="AA164" s="239">
        <f>IF(OR(Inputs!$G$73="No",Inputs!$Q$19="Cost-Based",Inputs!$Q$19="Neither"),0,IF(Inputs!$Q$24="Tax Credit",IF(AA$2&gt;Inputs!$Q$27,0,Inputs!$Q$25/100*AA$9*Inputs!$Q$26*AA$5*(1-MIN(Inputs!$Q$29/Inputs!$G$26,50%))),0))</f>
        <v>0</v>
      </c>
      <c r="AB164" s="239">
        <f>IF(OR(Inputs!$G$73="No",Inputs!$Q$19="Cost-Based",Inputs!$Q$19="Neither"),0,IF(Inputs!$Q$24="Tax Credit",IF(AB$2&gt;Inputs!$Q$27,0,Inputs!$Q$25/100*AB$9*Inputs!$Q$26*AB$5*(1-MIN(Inputs!$Q$29/Inputs!$G$26,50%))),0))</f>
        <v>0</v>
      </c>
      <c r="AC164" s="239">
        <f>IF(OR(Inputs!$G$73="No",Inputs!$Q$19="Cost-Based",Inputs!$Q$19="Neither"),0,IF(Inputs!$Q$24="Tax Credit",IF(AC$2&gt;Inputs!$Q$27,0,Inputs!$Q$25/100*AC$9*Inputs!$Q$26*AC$5*(1-MIN(Inputs!$Q$29/Inputs!$G$26,50%))),0))</f>
        <v>0</v>
      </c>
      <c r="AD164" s="239">
        <f>IF(OR(Inputs!$G$73="No",Inputs!$Q$19="Cost-Based",Inputs!$Q$19="Neither"),0,IF(Inputs!$Q$24="Tax Credit",IF(AD$2&gt;Inputs!$Q$27,0,Inputs!$Q$25/100*AD$9*Inputs!$Q$26*AD$5*(1-MIN(Inputs!$Q$29/Inputs!$G$26,50%))),0))</f>
        <v>0</v>
      </c>
      <c r="AE164" s="239">
        <f>IF(OR(Inputs!$G$73="No",Inputs!$Q$19="Cost-Based",Inputs!$Q$19="Neither"),0,IF(Inputs!$Q$24="Tax Credit",IF(AE$2&gt;Inputs!$Q$27,0,Inputs!$Q$25/100*AE$9*Inputs!$Q$26*AE$5*(1-MIN(Inputs!$Q$29/Inputs!$G$26,50%))),0))</f>
        <v>0</v>
      </c>
      <c r="AF164" s="239">
        <f>IF(OR(Inputs!$G$73="No",Inputs!$Q$19="Cost-Based",Inputs!$Q$19="Neither"),0,IF(Inputs!$Q$24="Tax Credit",IF(AF$2&gt;Inputs!$Q$27,0,Inputs!$Q$25/100*AF$9*Inputs!$Q$26*AF$5*(1-MIN(Inputs!$Q$29/Inputs!$G$26,50%))),0))</f>
        <v>0</v>
      </c>
      <c r="AG164" s="239">
        <f>IF(OR(Inputs!$G$73="No",Inputs!$Q$19="Cost-Based",Inputs!$Q$19="Neither"),0,IF(Inputs!$Q$24="Tax Credit",IF(AG$2&gt;Inputs!$Q$27,0,Inputs!$Q$25/100*AG$9*Inputs!$Q$26*AG$5*(1-MIN(Inputs!$Q$29/Inputs!$G$26,50%))),0))</f>
        <v>0</v>
      </c>
      <c r="AH164" s="239">
        <f>IF(OR(Inputs!$G$73="No",Inputs!$Q$19="Cost-Based",Inputs!$Q$19="Neither"),0,IF(Inputs!$Q$24="Tax Credit",IF(AH$2&gt;Inputs!$Q$27,0,Inputs!$Q$25/100*AH$9*Inputs!$Q$26*AH$5*(1-MIN(Inputs!$Q$29/Inputs!$G$26,50%))),0))</f>
        <v>0</v>
      </c>
      <c r="AI164" s="239">
        <f>IF(OR(Inputs!$G$73="No",Inputs!$Q$19="Cost-Based",Inputs!$Q$19="Neither"),0,IF(Inputs!$Q$24="Tax Credit",IF(AI$2&gt;Inputs!$Q$27,0,Inputs!$Q$25/100*AI$9*Inputs!$Q$26*AI$5*(1-MIN(Inputs!$Q$29/Inputs!$G$26,50%))),0))</f>
        <v>0</v>
      </c>
      <c r="AJ164" s="239">
        <f>IF(OR(Inputs!$G$73="No",Inputs!$Q$19="Cost-Based",Inputs!$Q$19="Neither"),0,IF(Inputs!$Q$24="Tax Credit",IF(AJ$2&gt;Inputs!$Q$27,0,Inputs!$Q$25/100*AJ$9*Inputs!$Q$26*AJ$5*(1-MIN(Inputs!$Q$29/Inputs!$G$26,50%))),0))</f>
        <v>0</v>
      </c>
    </row>
    <row r="165" spans="2:36" s="1" customFormat="1" x14ac:dyDescent="0.2">
      <c r="B165" s="221"/>
      <c r="C165" s="221"/>
      <c r="D165" s="221"/>
      <c r="E165" s="221"/>
      <c r="F165" s="221"/>
      <c r="G165" s="239"/>
      <c r="H165" s="239"/>
      <c r="I165" s="239"/>
      <c r="J165" s="239"/>
      <c r="K165" s="239"/>
      <c r="L165" s="239"/>
      <c r="M165" s="239"/>
      <c r="N165" s="239"/>
      <c r="O165" s="239"/>
      <c r="P165" s="239"/>
      <c r="Q165" s="239"/>
      <c r="R165" s="239"/>
      <c r="S165" s="239"/>
      <c r="T165" s="239"/>
      <c r="U165" s="239"/>
      <c r="V165" s="239"/>
      <c r="W165" s="239"/>
      <c r="X165" s="239"/>
      <c r="Y165" s="239"/>
      <c r="Z165" s="239"/>
      <c r="AA165" s="239"/>
      <c r="AB165" s="239"/>
      <c r="AC165" s="239"/>
      <c r="AD165" s="239"/>
      <c r="AE165" s="239"/>
      <c r="AF165" s="239"/>
      <c r="AG165" s="239"/>
      <c r="AH165" s="239"/>
      <c r="AI165" s="239"/>
      <c r="AJ165" s="239"/>
    </row>
    <row r="166" spans="2:36" s="1" customFormat="1" x14ac:dyDescent="0.2">
      <c r="B166" s="221" t="s">
        <v>264</v>
      </c>
      <c r="C166" s="221"/>
      <c r="D166" s="221"/>
      <c r="E166" s="221"/>
      <c r="F166" s="221"/>
      <c r="G166" s="239">
        <f>SUM(G163:G164)</f>
        <v>79851.596287865919</v>
      </c>
      <c r="H166" s="239">
        <f t="shared" ref="H166:AJ166" si="54">SUM(H163:H164)</f>
        <v>81041.385072555146</v>
      </c>
      <c r="I166" s="239">
        <f t="shared" si="54"/>
        <v>82248.901710136211</v>
      </c>
      <c r="J166" s="239">
        <f t="shared" si="54"/>
        <v>83474.410345617245</v>
      </c>
      <c r="K166" s="239">
        <f t="shared" si="54"/>
        <v>84718.179059766931</v>
      </c>
      <c r="L166" s="239">
        <f t="shared" si="54"/>
        <v>85980.479927757478</v>
      </c>
      <c r="M166" s="239">
        <f t="shared" si="54"/>
        <v>87261.589078681063</v>
      </c>
      <c r="N166" s="239">
        <f t="shared" si="54"/>
        <v>88561.786755953406</v>
      </c>
      <c r="O166" s="239">
        <f t="shared" si="54"/>
        <v>89881.357378617104</v>
      </c>
      <c r="P166" s="239">
        <f t="shared" si="54"/>
        <v>91220.589603558503</v>
      </c>
      <c r="Q166" s="239">
        <f t="shared" si="54"/>
        <v>0</v>
      </c>
      <c r="R166" s="239">
        <f t="shared" si="54"/>
        <v>0</v>
      </c>
      <c r="S166" s="239">
        <f t="shared" si="54"/>
        <v>0</v>
      </c>
      <c r="T166" s="239">
        <f t="shared" si="54"/>
        <v>0</v>
      </c>
      <c r="U166" s="239">
        <f t="shared" si="54"/>
        <v>0</v>
      </c>
      <c r="V166" s="239">
        <f t="shared" si="54"/>
        <v>0</v>
      </c>
      <c r="W166" s="239">
        <f t="shared" si="54"/>
        <v>0</v>
      </c>
      <c r="X166" s="239">
        <f t="shared" si="54"/>
        <v>0</v>
      </c>
      <c r="Y166" s="239">
        <f t="shared" si="54"/>
        <v>0</v>
      </c>
      <c r="Z166" s="239">
        <f t="shared" si="54"/>
        <v>0</v>
      </c>
      <c r="AA166" s="239">
        <f t="shared" si="54"/>
        <v>0</v>
      </c>
      <c r="AB166" s="239">
        <f t="shared" si="54"/>
        <v>0</v>
      </c>
      <c r="AC166" s="239">
        <f t="shared" si="54"/>
        <v>0</v>
      </c>
      <c r="AD166" s="239">
        <f t="shared" si="54"/>
        <v>0</v>
      </c>
      <c r="AE166" s="239">
        <f t="shared" si="54"/>
        <v>0</v>
      </c>
      <c r="AF166" s="239">
        <f t="shared" si="54"/>
        <v>0</v>
      </c>
      <c r="AG166" s="239">
        <f t="shared" si="54"/>
        <v>0</v>
      </c>
      <c r="AH166" s="239">
        <f t="shared" si="54"/>
        <v>0</v>
      </c>
      <c r="AI166" s="239">
        <f t="shared" si="54"/>
        <v>0</v>
      </c>
      <c r="AJ166" s="239">
        <f t="shared" si="54"/>
        <v>0</v>
      </c>
    </row>
    <row r="167" spans="2:36" s="1" customFormat="1" x14ac:dyDescent="0.2">
      <c r="B167" s="221"/>
      <c r="C167" s="221"/>
      <c r="D167" s="221"/>
      <c r="E167" s="221"/>
      <c r="F167" s="221"/>
      <c r="G167" s="239"/>
      <c r="H167" s="239"/>
      <c r="I167" s="239"/>
      <c r="J167" s="239"/>
      <c r="K167" s="239"/>
      <c r="L167" s="239"/>
      <c r="M167" s="239"/>
      <c r="N167" s="239"/>
      <c r="O167" s="239"/>
      <c r="P167" s="239"/>
      <c r="Q167" s="239"/>
      <c r="R167" s="239"/>
      <c r="S167" s="239"/>
      <c r="T167" s="239"/>
      <c r="U167" s="239"/>
      <c r="V167" s="239"/>
      <c r="W167" s="239"/>
      <c r="X167" s="239"/>
      <c r="Y167" s="239"/>
      <c r="Z167" s="239"/>
      <c r="AA167" s="239"/>
      <c r="AB167" s="239"/>
      <c r="AC167" s="239"/>
      <c r="AD167" s="239"/>
      <c r="AE167" s="239"/>
      <c r="AF167" s="239"/>
      <c r="AG167" s="239"/>
      <c r="AH167" s="239"/>
      <c r="AI167" s="239"/>
      <c r="AJ167" s="239"/>
    </row>
    <row r="168" spans="2:36" s="1" customFormat="1" x14ac:dyDescent="0.2">
      <c r="B168" s="299" t="s">
        <v>265</v>
      </c>
      <c r="C168" s="299"/>
      <c r="D168" s="299"/>
      <c r="E168" s="221"/>
      <c r="F168" s="221"/>
      <c r="G168" s="239"/>
      <c r="H168" s="239"/>
      <c r="I168" s="239"/>
      <c r="J168" s="239"/>
      <c r="K168" s="239"/>
      <c r="L168" s="239"/>
      <c r="M168" s="239"/>
      <c r="N168" s="239"/>
      <c r="O168" s="239"/>
      <c r="P168" s="239"/>
      <c r="Q168" s="239"/>
      <c r="R168" s="239"/>
      <c r="S168" s="239"/>
      <c r="T168" s="239"/>
      <c r="U168" s="239"/>
      <c r="V168" s="239"/>
      <c r="W168" s="239"/>
      <c r="X168" s="239"/>
      <c r="Y168" s="239"/>
      <c r="Z168" s="239"/>
      <c r="AA168" s="239"/>
      <c r="AB168" s="239"/>
      <c r="AC168" s="239"/>
      <c r="AD168" s="239"/>
      <c r="AE168" s="239"/>
      <c r="AF168" s="239"/>
      <c r="AG168" s="239"/>
      <c r="AH168" s="239"/>
      <c r="AI168" s="239"/>
      <c r="AJ168" s="239"/>
    </row>
    <row r="169" spans="2:36" s="1" customFormat="1" x14ac:dyDescent="0.2">
      <c r="B169" s="221" t="str">
        <f>B63</f>
        <v>Federal Income Taxes Saved / (Paid), before ITC/PTC</v>
      </c>
      <c r="C169" s="221"/>
      <c r="D169" s="221"/>
      <c r="E169" s="221"/>
      <c r="F169" s="221"/>
      <c r="G169" s="239">
        <f>IF(Inputs!$G$75="as generated","N/A",'Cash Flow'!G63)</f>
        <v>0</v>
      </c>
      <c r="H169" s="239">
        <f>IF(Inputs!$G$75="as generated","N/A",'Cash Flow'!H63)</f>
        <v>0</v>
      </c>
      <c r="I169" s="239">
        <f>IF(Inputs!$G$75="as generated","N/A",'Cash Flow'!I63)</f>
        <v>0</v>
      </c>
      <c r="J169" s="239">
        <f>IF(Inputs!$G$75="as generated","N/A",'Cash Flow'!J63)</f>
        <v>0</v>
      </c>
      <c r="K169" s="239">
        <f>IF(Inputs!$G$75="as generated","N/A",'Cash Flow'!K63)</f>
        <v>0</v>
      </c>
      <c r="L169" s="239">
        <f>IF(Inputs!$G$75="as generated","N/A",'Cash Flow'!L63)</f>
        <v>0</v>
      </c>
      <c r="M169" s="239">
        <f>IF(Inputs!$G$75="as generated","N/A",'Cash Flow'!M63)</f>
        <v>0</v>
      </c>
      <c r="N169" s="239">
        <f>IF(Inputs!$G$75="as generated","N/A",'Cash Flow'!N63)</f>
        <v>-142360.59877797123</v>
      </c>
      <c r="O169" s="239">
        <f>IF(Inputs!$G$75="as generated","N/A",'Cash Flow'!O63)</f>
        <v>-244958.06706049567</v>
      </c>
      <c r="P169" s="239">
        <f>IF(Inputs!$G$75="as generated","N/A",'Cash Flow'!P63)</f>
        <v>-218371.86091088966</v>
      </c>
      <c r="Q169" s="239">
        <f>IF(Inputs!$G$75="as generated","N/A",'Cash Flow'!Q63)</f>
        <v>-205215.31293741034</v>
      </c>
      <c r="R169" s="239">
        <f>IF(Inputs!$G$75="as generated","N/A",'Cash Flow'!R63)</f>
        <v>-235216.71231486183</v>
      </c>
      <c r="S169" s="239">
        <f>IF(Inputs!$G$75="as generated","N/A",'Cash Flow'!S63)</f>
        <v>-256943.92202882544</v>
      </c>
      <c r="T169" s="239">
        <f>IF(Inputs!$G$75="as generated","N/A",'Cash Flow'!T63)</f>
        <v>-266232.07407655893</v>
      </c>
      <c r="U169" s="239">
        <f>IF(Inputs!$G$75="as generated","N/A",'Cash Flow'!U63)</f>
        <v>-285321.94970182382</v>
      </c>
      <c r="V169" s="239">
        <f>IF(Inputs!$G$75="as generated","N/A",'Cash Flow'!V63)</f>
        <v>-312884.45943246409</v>
      </c>
      <c r="W169" s="239">
        <f>IF(Inputs!$G$75="as generated","N/A",'Cash Flow'!W63)</f>
        <v>-331231.68505202269</v>
      </c>
      <c r="X169" s="239">
        <f>IF(Inputs!$G$75="as generated","N/A",'Cash Flow'!X63)</f>
        <v>-341784.82879100158</v>
      </c>
      <c r="Y169" s="239">
        <f>IF(Inputs!$G$75="as generated","N/A",'Cash Flow'!Y63)</f>
        <v>-352326.35632308509</v>
      </c>
      <c r="Z169" s="239">
        <f>IF(Inputs!$G$75="as generated","N/A",'Cash Flow'!Z63)</f>
        <v>-321327.31849619147</v>
      </c>
      <c r="AA169" s="239">
        <f>IF(Inputs!$G$75="as generated","N/A",'Cash Flow'!AA63)</f>
        <v>0</v>
      </c>
      <c r="AB169" s="239">
        <f>IF(Inputs!$G$75="as generated","N/A",'Cash Flow'!AB63)</f>
        <v>-3404.9434892641225</v>
      </c>
      <c r="AC169" s="239">
        <f>IF(Inputs!$G$75="as generated","N/A",'Cash Flow'!AC63)</f>
        <v>-29150.404843338376</v>
      </c>
      <c r="AD169" s="239">
        <f>IF(Inputs!$G$75="as generated","N/A",'Cash Flow'!AD63)</f>
        <v>-30930.687871613041</v>
      </c>
      <c r="AE169" s="239">
        <f>IF(Inputs!$G$75="as generated","N/A",'Cash Flow'!AE63)</f>
        <v>-42425.622543681537</v>
      </c>
      <c r="AF169" s="239">
        <f>IF(Inputs!$G$75="as generated","N/A",'Cash Flow'!AF63)</f>
        <v>-4.6602508518844844E-14</v>
      </c>
      <c r="AG169" s="239">
        <f>IF(Inputs!$G$75="as generated","N/A",'Cash Flow'!AG63)</f>
        <v>0</v>
      </c>
      <c r="AH169" s="239">
        <f>IF(Inputs!$G$75="as generated","N/A",'Cash Flow'!AH63)</f>
        <v>0</v>
      </c>
      <c r="AI169" s="239">
        <f>IF(Inputs!$G$75="as generated","N/A",'Cash Flow'!AI63)</f>
        <v>0</v>
      </c>
      <c r="AJ169" s="239">
        <f>IF(Inputs!$G$75="as generated","N/A",'Cash Flow'!AJ63)</f>
        <v>0</v>
      </c>
    </row>
    <row r="170" spans="2:36" s="1" customFormat="1" x14ac:dyDescent="0.2">
      <c r="B170" s="221"/>
      <c r="C170" s="221"/>
      <c r="D170" s="221"/>
      <c r="E170" s="221"/>
      <c r="F170" s="221"/>
      <c r="G170" s="239"/>
      <c r="H170" s="239"/>
      <c r="I170" s="239"/>
      <c r="J170" s="239"/>
      <c r="K170" s="239"/>
      <c r="L170" s="239"/>
      <c r="M170" s="239"/>
      <c r="N170" s="239"/>
      <c r="O170" s="239"/>
      <c r="P170" s="239"/>
      <c r="Q170" s="239"/>
      <c r="R170" s="239"/>
      <c r="S170" s="239"/>
      <c r="T170" s="239"/>
      <c r="U170" s="239"/>
      <c r="V170" s="239"/>
      <c r="W170" s="239"/>
      <c r="X170" s="239"/>
      <c r="Y170" s="239"/>
      <c r="Z170" s="239"/>
      <c r="AA170" s="239"/>
      <c r="AB170" s="239"/>
      <c r="AC170" s="239"/>
      <c r="AD170" s="239"/>
      <c r="AE170" s="239"/>
      <c r="AF170" s="239"/>
      <c r="AG170" s="239"/>
      <c r="AH170" s="239"/>
      <c r="AI170" s="239"/>
      <c r="AJ170" s="239"/>
    </row>
    <row r="171" spans="2:36" s="1" customFormat="1" x14ac:dyDescent="0.2">
      <c r="B171" s="221" t="s">
        <v>303</v>
      </c>
      <c r="C171" s="221"/>
      <c r="D171" s="221"/>
      <c r="E171" s="221"/>
      <c r="F171" s="221"/>
      <c r="G171" s="239">
        <v>0</v>
      </c>
      <c r="H171" s="239">
        <f>IF(Inputs!$G$75="as generated",0,G174)</f>
        <v>79851.596287865919</v>
      </c>
      <c r="I171" s="239">
        <f>IF(Inputs!$G$75="as generated",0,H174)</f>
        <v>160892.98136042105</v>
      </c>
      <c r="J171" s="239">
        <f>IF(Inputs!$G$75="as generated",0,I174)</f>
        <v>243141.88307055726</v>
      </c>
      <c r="K171" s="239">
        <f>IF(Inputs!$G$75="as generated",0,J174)</f>
        <v>326616.29341617448</v>
      </c>
      <c r="L171" s="239">
        <f>IF(Inputs!$G$75="as generated",0,K174)</f>
        <v>411334.47247594141</v>
      </c>
      <c r="M171" s="239">
        <f>IF(Inputs!$G$75="as generated",0,L174)</f>
        <v>497314.95240369887</v>
      </c>
      <c r="N171" s="239">
        <f>IF(Inputs!$G$75="as generated",0,M174)</f>
        <v>584576.54148237989</v>
      </c>
      <c r="O171" s="239">
        <f>IF(Inputs!$G$75="as generated",0,N174)</f>
        <v>530777.72946036211</v>
      </c>
      <c r="P171" s="239">
        <f>IF(Inputs!$G$75="as generated",0,O174)</f>
        <v>375701.01977848361</v>
      </c>
      <c r="Q171" s="239">
        <f>IF(Inputs!$G$75="as generated",0,P174)</f>
        <v>248549.74847115242</v>
      </c>
      <c r="R171" s="239">
        <f>IF(Inputs!$G$75="as generated",0,Q174)</f>
        <v>43334.435533742071</v>
      </c>
      <c r="S171" s="239">
        <f>IF(Inputs!$G$75="as generated",0,R174)</f>
        <v>0</v>
      </c>
      <c r="T171" s="239">
        <f>IF(Inputs!$G$75="as generated",0,S174)</f>
        <v>0</v>
      </c>
      <c r="U171" s="239">
        <f>IF(Inputs!$G$75="as generated",0,T174)</f>
        <v>0</v>
      </c>
      <c r="V171" s="239">
        <f>IF(Inputs!$G$75="as generated",0,U174)</f>
        <v>0</v>
      </c>
      <c r="W171" s="239">
        <f>IF(Inputs!$G$75="as generated",0,V174)</f>
        <v>0</v>
      </c>
      <c r="X171" s="239">
        <f>IF(Inputs!$G$75="as generated",0,W174)</f>
        <v>0</v>
      </c>
      <c r="Y171" s="239">
        <f>IF(Inputs!$G$75="as generated",0,X174)</f>
        <v>0</v>
      </c>
      <c r="Z171" s="239">
        <f>IF(Inputs!$G$75="as generated",0,Y174)</f>
        <v>0</v>
      </c>
      <c r="AA171" s="239">
        <f>IF(Inputs!$G$75="as generated",0,Z174)</f>
        <v>0</v>
      </c>
      <c r="AB171" s="239">
        <f>IF(Inputs!$G$75="as generated",0,AA174)</f>
        <v>0</v>
      </c>
      <c r="AC171" s="239">
        <f>IF(Inputs!$G$75="as generated",0,AB174)</f>
        <v>0</v>
      </c>
      <c r="AD171" s="239">
        <f>IF(Inputs!$G$75="as generated",0,AC174)</f>
        <v>0</v>
      </c>
      <c r="AE171" s="239">
        <f>IF(Inputs!$G$75="as generated",0,AD174)</f>
        <v>0</v>
      </c>
      <c r="AF171" s="239">
        <f>IF(Inputs!$G$75="as generated",0,AE174)</f>
        <v>0</v>
      </c>
      <c r="AG171" s="239">
        <f>IF(Inputs!$G$75="as generated",0,AF174)</f>
        <v>0</v>
      </c>
      <c r="AH171" s="239">
        <f>IF(Inputs!$G$75="as generated",0,AG174)</f>
        <v>0</v>
      </c>
      <c r="AI171" s="239">
        <f>IF(Inputs!$G$75="as generated",0,AH174)</f>
        <v>0</v>
      </c>
      <c r="AJ171" s="239">
        <f>IF(Inputs!$G$75="as generated",0,AI174)</f>
        <v>0</v>
      </c>
    </row>
    <row r="172" spans="2:36" s="1" customFormat="1" x14ac:dyDescent="0.2">
      <c r="B172" s="221" t="s">
        <v>304</v>
      </c>
      <c r="C172" s="221"/>
      <c r="D172" s="221"/>
      <c r="E172" s="221"/>
      <c r="F172" s="221"/>
      <c r="G172" s="239">
        <f>IF(Inputs!$G$75="as generated",0,IF(G169&lt;=0,G166,0))</f>
        <v>79851.596287865919</v>
      </c>
      <c r="H172" s="239">
        <f>IF(Inputs!$G$75="as generated",0,IF(H169&lt;=0,H166,0))</f>
        <v>81041.385072555146</v>
      </c>
      <c r="I172" s="239">
        <f>IF(Inputs!$G$75="as generated",0,IF(I169&lt;=0,I166,0))</f>
        <v>82248.901710136211</v>
      </c>
      <c r="J172" s="239">
        <f>IF(Inputs!$G$75="as generated",0,IF(J169&lt;=0,J166,0))</f>
        <v>83474.410345617245</v>
      </c>
      <c r="K172" s="239">
        <f>IF(Inputs!$G$75="as generated",0,IF(K169&lt;=0,K166,0))</f>
        <v>84718.179059766931</v>
      </c>
      <c r="L172" s="239">
        <f>IF(Inputs!$G$75="as generated",0,IF(L169&lt;=0,L166,0))</f>
        <v>85980.479927757478</v>
      </c>
      <c r="M172" s="239">
        <f>IF(Inputs!$G$75="as generated",0,IF(M169&lt;=0,M166,0))</f>
        <v>87261.589078681063</v>
      </c>
      <c r="N172" s="239">
        <f>IF(Inputs!$G$75="as generated",0,IF(N169&lt;=0,N166,0))</f>
        <v>88561.786755953406</v>
      </c>
      <c r="O172" s="239">
        <f>IF(Inputs!$G$75="as generated",0,IF(O169&lt;=0,O166,0))</f>
        <v>89881.357378617104</v>
      </c>
      <c r="P172" s="239">
        <f>IF(Inputs!$G$75="as generated",0,IF(P169&lt;=0,P166,0))</f>
        <v>91220.589603558503</v>
      </c>
      <c r="Q172" s="239">
        <f>IF(Inputs!$G$75="as generated",0,IF(Q169&lt;=0,Q166,0))</f>
        <v>0</v>
      </c>
      <c r="R172" s="239">
        <f>IF(Inputs!$G$75="as generated",0,IF(R169&lt;=0,R166,0))</f>
        <v>0</v>
      </c>
      <c r="S172" s="239">
        <f>IF(Inputs!$G$75="as generated",0,IF(S169&lt;=0,S166,0))</f>
        <v>0</v>
      </c>
      <c r="T172" s="239">
        <f>IF(Inputs!$G$75="as generated",0,IF(T169&lt;=0,T166,0))</f>
        <v>0</v>
      </c>
      <c r="U172" s="239">
        <f>IF(Inputs!$G$75="as generated",0,IF(U169&lt;=0,U166,0))</f>
        <v>0</v>
      </c>
      <c r="V172" s="239">
        <f>IF(Inputs!$G$75="as generated",0,IF(V169&lt;=0,V166,0))</f>
        <v>0</v>
      </c>
      <c r="W172" s="239">
        <f>IF(Inputs!$G$75="as generated",0,IF(W169&lt;=0,W166,0))</f>
        <v>0</v>
      </c>
      <c r="X172" s="239">
        <f>IF(Inputs!$G$75="as generated",0,IF(X169&lt;=0,X166,0))</f>
        <v>0</v>
      </c>
      <c r="Y172" s="239">
        <f>IF(Inputs!$G$75="as generated",0,IF(Y169&lt;=0,Y166,0))</f>
        <v>0</v>
      </c>
      <c r="Z172" s="239">
        <f>IF(Inputs!$G$75="as generated",0,IF(Z169&lt;=0,Z166,0))</f>
        <v>0</v>
      </c>
      <c r="AA172" s="239">
        <f>IF(Inputs!$G$75="as generated",0,IF(AA169&lt;=0,AA166,0))</f>
        <v>0</v>
      </c>
      <c r="AB172" s="239">
        <f>IF(Inputs!$G$75="as generated",0,IF(AB169&lt;=0,AB166,0))</f>
        <v>0</v>
      </c>
      <c r="AC172" s="239">
        <f>IF(Inputs!$G$75="as generated",0,IF(AC169&lt;=0,AC166,0))</f>
        <v>0</v>
      </c>
      <c r="AD172" s="239">
        <f>IF(Inputs!$G$75="as generated",0,IF(AD169&lt;=0,AD166,0))</f>
        <v>0</v>
      </c>
      <c r="AE172" s="239">
        <f>IF(Inputs!$G$75="as generated",0,IF(AE169&lt;=0,AE166,0))</f>
        <v>0</v>
      </c>
      <c r="AF172" s="239">
        <f>IF(Inputs!$G$75="as generated",0,IF(AF169&lt;=0,AF166,0))</f>
        <v>0</v>
      </c>
      <c r="AG172" s="239">
        <f>IF(Inputs!$G$75="as generated",0,IF(AG169&lt;=0,AG166,0))</f>
        <v>0</v>
      </c>
      <c r="AH172" s="239">
        <f>IF(Inputs!$G$75="as generated",0,IF(AH169&lt;=0,AH166,0))</f>
        <v>0</v>
      </c>
      <c r="AI172" s="239">
        <f>IF(Inputs!$G$75="as generated",0,IF(AI169&lt;=0,AI166,0))</f>
        <v>0</v>
      </c>
      <c r="AJ172" s="239">
        <f>IF(Inputs!$G$75="as generated",0,IF(AJ169&lt;=0,AJ166,0))</f>
        <v>0</v>
      </c>
    </row>
    <row r="173" spans="2:36" s="1" customFormat="1" x14ac:dyDescent="0.2">
      <c r="B173" s="221" t="s">
        <v>305</v>
      </c>
      <c r="C173" s="221"/>
      <c r="D173" s="221"/>
      <c r="E173" s="221"/>
      <c r="F173" s="221"/>
      <c r="G173" s="239">
        <f>IF(Inputs!$G$75="as generated",0,IF(G$169&lt;0,MAX(G$169,-G$172),0))</f>
        <v>0</v>
      </c>
      <c r="H173" s="239">
        <f>IF(Inputs!$G$75="as generated",0,IF(H$169&lt;0,MAX(H$169,-G$174),0))</f>
        <v>0</v>
      </c>
      <c r="I173" s="239">
        <f>IF(Inputs!$G$75="as generated",0,IF(I$169&lt;0,MAX(I$169,-H$174),0))</f>
        <v>0</v>
      </c>
      <c r="J173" s="239">
        <f>IF(Inputs!$G$75="as generated",0,IF(J$169&lt;0,MAX(J$169,-I$174),0))</f>
        <v>0</v>
      </c>
      <c r="K173" s="239">
        <f>IF(Inputs!$G$75="as generated",0,IF(K$169&lt;0,MAX(K$169,-J$174),0))</f>
        <v>0</v>
      </c>
      <c r="L173" s="239">
        <f>IF(Inputs!$G$75="as generated",0,IF(L$169&lt;0,MAX(L$169,-K$174),0))</f>
        <v>0</v>
      </c>
      <c r="M173" s="239">
        <f>IF(Inputs!$G$75="as generated",0,IF(M$169&lt;0,MAX(M$169,-L$174),0))</f>
        <v>0</v>
      </c>
      <c r="N173" s="239">
        <f>IF(Inputs!$G$75="as generated",0,IF(N$169&lt;0,MAX(N$169,-M$174),0))</f>
        <v>-142360.59877797123</v>
      </c>
      <c r="O173" s="239">
        <f>IF(Inputs!$G$75="as generated",0,IF(O$169&lt;0,MAX(O$169,-N$174),0))</f>
        <v>-244958.06706049567</v>
      </c>
      <c r="P173" s="239">
        <f>IF(Inputs!$G$75="as generated",0,IF(P$169&lt;0,MAX(P$169,-O$174),0))</f>
        <v>-218371.86091088966</v>
      </c>
      <c r="Q173" s="239">
        <f>IF(Inputs!$G$75="as generated",0,IF(Q$169&lt;0,MAX(Q$169,-P$174),0))</f>
        <v>-205215.31293741034</v>
      </c>
      <c r="R173" s="239">
        <f>IF(Inputs!$G$75="as generated",0,IF(R$169&lt;0,MAX(R$169,-Q$174),0))</f>
        <v>-43334.435533742071</v>
      </c>
      <c r="S173" s="239">
        <f>IF(Inputs!$G$75="as generated",0,IF(S$169&lt;0,MAX(S$169,-R$174),0))</f>
        <v>0</v>
      </c>
      <c r="T173" s="239">
        <f>IF(Inputs!$G$75="as generated",0,IF(T$169&lt;0,MAX(T$169,-S$174),0))</f>
        <v>0</v>
      </c>
      <c r="U173" s="239">
        <f>IF(Inputs!$G$75="as generated",0,IF(U$169&lt;0,MAX(U$169,-T$174),0))</f>
        <v>0</v>
      </c>
      <c r="V173" s="239">
        <f>IF(Inputs!$G$75="as generated",0,IF(V$169&lt;0,MAX(V$169,-U$174),0))</f>
        <v>0</v>
      </c>
      <c r="W173" s="239">
        <f>IF(Inputs!$G$75="as generated",0,IF(W$169&lt;0,MAX(W$169,-V$174),0))</f>
        <v>0</v>
      </c>
      <c r="X173" s="239">
        <f>IF(Inputs!$G$75="as generated",0,IF(X$169&lt;0,MAX(X$169,-W$174),0))</f>
        <v>0</v>
      </c>
      <c r="Y173" s="239">
        <f>IF(Inputs!$G$75="as generated",0,IF(Y$169&lt;0,MAX(Y$169,-X$174),0))</f>
        <v>0</v>
      </c>
      <c r="Z173" s="239">
        <f>IF(Inputs!$G$75="as generated",0,IF(Z$169&lt;0,MAX(Z$169,-Y$174),0))</f>
        <v>0</v>
      </c>
      <c r="AA173" s="239">
        <f>IF(Inputs!$G$75="as generated",0,IF(AA$169&lt;0,MAX(AA$169,-Z$174),0))</f>
        <v>0</v>
      </c>
      <c r="AB173" s="239">
        <f>IF(Inputs!$G$75="as generated",0,IF(AB$169&lt;0,MAX(AB$169,-AA$174),0))</f>
        <v>0</v>
      </c>
      <c r="AC173" s="239">
        <f>IF(Inputs!$G$75="as generated",0,IF(AC$169&lt;0,MAX(AC$169,-AB$174),0))</f>
        <v>0</v>
      </c>
      <c r="AD173" s="239">
        <f>IF(Inputs!$G$75="as generated",0,IF(AD$169&lt;0,MAX(AD$169,-AC$174),0))</f>
        <v>0</v>
      </c>
      <c r="AE173" s="239">
        <f>IF(Inputs!$G$75="as generated",0,IF(AE$169&lt;0,MAX(AE$169,-AD$174),0))</f>
        <v>0</v>
      </c>
      <c r="AF173" s="239">
        <f>IF(Inputs!$G$75="as generated",0,IF(AF$169&lt;0,MAX(AF$169,-AE$174),0))</f>
        <v>0</v>
      </c>
      <c r="AG173" s="239">
        <f>IF(Inputs!$G$75="as generated",0,IF(AG$169&lt;0,MAX(AG$169,-AF$174),0))</f>
        <v>0</v>
      </c>
      <c r="AH173" s="239">
        <f>IF(Inputs!$G$75="as generated",0,IF(AH$169&lt;0,MAX(AH$169,-AG$174),0))</f>
        <v>0</v>
      </c>
      <c r="AI173" s="239">
        <f>IF(Inputs!$G$75="as generated",0,IF(AI$169&lt;0,MAX(AI$169,-AH$174),0))</f>
        <v>0</v>
      </c>
      <c r="AJ173" s="239">
        <f>IF(Inputs!$G$75="as generated",0,IF(AJ$169&lt;0,MAX(AJ$169,-AI$174),0))</f>
        <v>0</v>
      </c>
    </row>
    <row r="174" spans="2:36" s="1" customFormat="1" x14ac:dyDescent="0.2">
      <c r="B174" s="221" t="s">
        <v>306</v>
      </c>
      <c r="C174" s="221"/>
      <c r="D174" s="221"/>
      <c r="E174" s="221"/>
      <c r="F174" s="239">
        <v>0</v>
      </c>
      <c r="G174" s="239">
        <f>SUM(G171:G173)</f>
        <v>79851.596287865919</v>
      </c>
      <c r="H174" s="239">
        <f t="shared" ref="H174:AJ174" si="55">SUM(H171:H173)</f>
        <v>160892.98136042105</v>
      </c>
      <c r="I174" s="239">
        <f t="shared" si="55"/>
        <v>243141.88307055726</v>
      </c>
      <c r="J174" s="239">
        <f t="shared" si="55"/>
        <v>326616.29341617448</v>
      </c>
      <c r="K174" s="239">
        <f t="shared" si="55"/>
        <v>411334.47247594141</v>
      </c>
      <c r="L174" s="239">
        <f t="shared" si="55"/>
        <v>497314.95240369887</v>
      </c>
      <c r="M174" s="239">
        <f t="shared" si="55"/>
        <v>584576.54148237989</v>
      </c>
      <c r="N174" s="239">
        <f t="shared" si="55"/>
        <v>530777.72946036211</v>
      </c>
      <c r="O174" s="239">
        <f t="shared" si="55"/>
        <v>375701.01977848361</v>
      </c>
      <c r="P174" s="239">
        <f t="shared" si="55"/>
        <v>248549.74847115242</v>
      </c>
      <c r="Q174" s="239">
        <f t="shared" si="55"/>
        <v>43334.435533742071</v>
      </c>
      <c r="R174" s="239">
        <f t="shared" si="55"/>
        <v>0</v>
      </c>
      <c r="S174" s="239">
        <f t="shared" si="55"/>
        <v>0</v>
      </c>
      <c r="T174" s="239">
        <f t="shared" si="55"/>
        <v>0</v>
      </c>
      <c r="U174" s="239">
        <f t="shared" si="55"/>
        <v>0</v>
      </c>
      <c r="V174" s="239">
        <f t="shared" si="55"/>
        <v>0</v>
      </c>
      <c r="W174" s="239">
        <f t="shared" si="55"/>
        <v>0</v>
      </c>
      <c r="X174" s="239">
        <f t="shared" si="55"/>
        <v>0</v>
      </c>
      <c r="Y174" s="239">
        <f t="shared" si="55"/>
        <v>0</v>
      </c>
      <c r="Z174" s="239">
        <f t="shared" si="55"/>
        <v>0</v>
      </c>
      <c r="AA174" s="239">
        <f t="shared" si="55"/>
        <v>0</v>
      </c>
      <c r="AB174" s="239">
        <f t="shared" si="55"/>
        <v>0</v>
      </c>
      <c r="AC174" s="239">
        <f t="shared" si="55"/>
        <v>0</v>
      </c>
      <c r="AD174" s="239">
        <f t="shared" si="55"/>
        <v>0</v>
      </c>
      <c r="AE174" s="239">
        <f t="shared" si="55"/>
        <v>0</v>
      </c>
      <c r="AF174" s="239">
        <f t="shared" si="55"/>
        <v>0</v>
      </c>
      <c r="AG174" s="239">
        <f t="shared" si="55"/>
        <v>0</v>
      </c>
      <c r="AH174" s="239">
        <f t="shared" si="55"/>
        <v>0</v>
      </c>
      <c r="AI174" s="239">
        <f t="shared" si="55"/>
        <v>0</v>
      </c>
      <c r="AJ174" s="239">
        <f t="shared" si="55"/>
        <v>0</v>
      </c>
    </row>
    <row r="175" spans="2:36" s="1" customFormat="1" x14ac:dyDescent="0.2">
      <c r="B175" s="221"/>
      <c r="C175" s="221"/>
      <c r="D175" s="221"/>
      <c r="E175" s="221"/>
      <c r="F175" s="221"/>
      <c r="G175" s="221"/>
      <c r="H175" s="245"/>
      <c r="I175" s="221"/>
      <c r="J175" s="221"/>
      <c r="K175" s="221"/>
      <c r="L175" s="221"/>
      <c r="M175" s="221"/>
      <c r="N175" s="221"/>
      <c r="O175" s="221"/>
      <c r="P175" s="221"/>
      <c r="Q175" s="221"/>
      <c r="R175" s="221"/>
      <c r="S175" s="221"/>
      <c r="T175" s="221"/>
      <c r="U175" s="221"/>
      <c r="V175" s="221"/>
      <c r="W175" s="221"/>
      <c r="X175" s="221"/>
      <c r="Y175" s="221"/>
      <c r="Z175" s="221"/>
      <c r="AA175" s="221"/>
      <c r="AB175" s="221"/>
      <c r="AC175" s="221"/>
      <c r="AD175" s="221"/>
      <c r="AE175" s="221"/>
      <c r="AF175" s="221"/>
      <c r="AG175" s="221"/>
      <c r="AH175" s="221"/>
      <c r="AI175" s="221"/>
      <c r="AJ175" s="221"/>
    </row>
    <row r="176" spans="2:36" s="1" customFormat="1" ht="15.75" x14ac:dyDescent="0.25">
      <c r="B176" s="220" t="s">
        <v>266</v>
      </c>
      <c r="C176" s="220"/>
      <c r="D176" s="220"/>
      <c r="E176" s="221"/>
      <c r="F176" s="221"/>
      <c r="G176" s="244"/>
      <c r="H176" s="245"/>
      <c r="I176" s="221"/>
      <c r="J176" s="221"/>
      <c r="K176" s="221"/>
      <c r="L176" s="221"/>
      <c r="M176" s="221"/>
      <c r="N176" s="221"/>
      <c r="O176" s="221"/>
      <c r="P176" s="221"/>
      <c r="Q176" s="221"/>
      <c r="R176" s="221"/>
      <c r="S176" s="221"/>
      <c r="T176" s="221"/>
      <c r="U176" s="221"/>
      <c r="V176" s="221"/>
      <c r="W176" s="221"/>
      <c r="X176" s="221"/>
      <c r="Y176" s="221"/>
      <c r="Z176" s="221"/>
      <c r="AA176" s="221"/>
      <c r="AB176" s="221"/>
      <c r="AC176" s="221"/>
      <c r="AD176" s="221"/>
      <c r="AE176" s="221"/>
      <c r="AF176" s="221"/>
      <c r="AG176" s="221"/>
      <c r="AH176" s="221"/>
      <c r="AI176" s="221"/>
      <c r="AJ176" s="221"/>
    </row>
    <row r="177" spans="2:36" s="1" customFormat="1" x14ac:dyDescent="0.2">
      <c r="B177" s="221" t="s">
        <v>263</v>
      </c>
      <c r="C177" s="221"/>
      <c r="D177" s="221"/>
      <c r="E177" s="221"/>
      <c r="F177" s="221"/>
      <c r="G177" s="298">
        <f>IF(OR(Inputs!$G$73="No",Inputs!$Q$33="Performance-Based",Inputs!$Q$33="Neither"),0,IF(G$2&lt;=Inputs!$Q$36,($C$99*(Inputs!$Q$34*(1-Inputs!$G$74))*Inputs!$Q$35)/Inputs!$Q$36,0))</f>
        <v>0</v>
      </c>
      <c r="H177" s="298">
        <f>IF(OR(Inputs!$G$73="No",Inputs!$Q$33="Performance-Based",Inputs!$Q$33="Neither"),0,IF(H$2&lt;=Inputs!$Q$36,($C$99*(Inputs!$Q$34*(1-Inputs!$G$74))*Inputs!$Q$35)/Inputs!$Q$36,0))</f>
        <v>0</v>
      </c>
      <c r="I177" s="298">
        <f>IF(OR(Inputs!$G$73="No",Inputs!$Q$33="Performance-Based",Inputs!$Q$33="Neither"),0,IF(I$2&lt;=Inputs!$Q$36,($C$99*(Inputs!$Q$34*(1-Inputs!$G$74))*Inputs!$Q$35)/Inputs!$Q$36,0))</f>
        <v>0</v>
      </c>
      <c r="J177" s="298">
        <f>IF(OR(Inputs!$G$73="No",Inputs!$Q$33="Performance-Based",Inputs!$Q$33="Neither"),0,IF(J$2&lt;=Inputs!$Q$36,($C$99*(Inputs!$Q$34*(1-Inputs!$G$74))*Inputs!$Q$35)/Inputs!$Q$36,0))</f>
        <v>0</v>
      </c>
      <c r="K177" s="298">
        <f>IF(OR(Inputs!$G$73="No",Inputs!$Q$33="Performance-Based",Inputs!$Q$33="Neither"),0,IF(K$2&lt;=Inputs!$Q$36,($C$99*(Inputs!$Q$34*(1-Inputs!$G$74))*Inputs!$Q$35)/Inputs!$Q$36,0))</f>
        <v>0</v>
      </c>
      <c r="L177" s="298">
        <f>IF(OR(Inputs!$G$73="No",Inputs!$Q$33="Performance-Based",Inputs!$Q$33="Neither"),0,IF(L$2&lt;=Inputs!$Q$36,($C$99*(Inputs!$Q$34*(1-Inputs!$G$74))*Inputs!$Q$35)/Inputs!$Q$36,0))</f>
        <v>0</v>
      </c>
      <c r="M177" s="298">
        <f>IF(OR(Inputs!$G$73="No",Inputs!$Q$33="Performance-Based",Inputs!$Q$33="Neither"),0,IF(M$2&lt;=Inputs!$Q$36,($C$99*(Inputs!$Q$34*(1-Inputs!$G$74))*Inputs!$Q$35)/Inputs!$Q$36,0))</f>
        <v>0</v>
      </c>
      <c r="N177" s="298">
        <f>IF(OR(Inputs!$G$73="No",Inputs!$Q$33="Performance-Based",Inputs!$Q$33="Neither"),0,IF(N$2&lt;=Inputs!$Q$36,($C$99*(Inputs!$Q$34*(1-Inputs!$G$74))*Inputs!$Q$35)/Inputs!$Q$36,0))</f>
        <v>0</v>
      </c>
      <c r="O177" s="298">
        <f>IF(OR(Inputs!$G$73="No",Inputs!$Q$33="Performance-Based",Inputs!$Q$33="Neither"),0,IF(O$2&lt;=Inputs!$Q$36,($C$99*(Inputs!$Q$34*(1-Inputs!$G$74))*Inputs!$Q$35)/Inputs!$Q$36,0))</f>
        <v>0</v>
      </c>
      <c r="P177" s="298">
        <f>IF(OR(Inputs!$G$73="No",Inputs!$Q$33="Performance-Based",Inputs!$Q$33="Neither"),0,IF(P$2&lt;=Inputs!$Q$36,($C$99*(Inputs!$Q$34*(1-Inputs!$G$74))*Inputs!$Q$35)/Inputs!$Q$36,0))</f>
        <v>0</v>
      </c>
      <c r="Q177" s="298">
        <f>IF(OR(Inputs!$G$73="No",Inputs!$Q$33="Performance-Based",Inputs!$Q$33="Neither"),0,IF(Q$2&lt;=Inputs!$Q$36,($C$99*(Inputs!$Q$34*(1-Inputs!$G$74))*Inputs!$Q$35)/Inputs!$Q$36,0))</f>
        <v>0</v>
      </c>
      <c r="R177" s="298">
        <f>IF(OR(Inputs!$G$73="No",Inputs!$Q$33="Performance-Based",Inputs!$Q$33="Neither"),0,IF(R$2&lt;=Inputs!$Q$36,($C$99*(Inputs!$Q$34*(1-Inputs!$G$74))*Inputs!$Q$35)/Inputs!$Q$36,0))</f>
        <v>0</v>
      </c>
      <c r="S177" s="298">
        <f>IF(OR(Inputs!$G$73="No",Inputs!$Q$33="Performance-Based",Inputs!$Q$33="Neither"),0,IF(S$2&lt;=Inputs!$Q$36,($C$99*(Inputs!$Q$34*(1-Inputs!$G$74))*Inputs!$Q$35)/Inputs!$Q$36,0))</f>
        <v>0</v>
      </c>
      <c r="T177" s="298">
        <f>IF(OR(Inputs!$G$73="No",Inputs!$Q$33="Performance-Based",Inputs!$Q$33="Neither"),0,IF(T$2&lt;=Inputs!$Q$36,($C$99*(Inputs!$Q$34*(1-Inputs!$G$74))*Inputs!$Q$35)/Inputs!$Q$36,0))</f>
        <v>0</v>
      </c>
      <c r="U177" s="298">
        <f>IF(OR(Inputs!$G$73="No",Inputs!$Q$33="Performance-Based",Inputs!$Q$33="Neither"),0,IF(U$2&lt;=Inputs!$Q$36,($C$99*(Inputs!$Q$34*(1-Inputs!$G$74))*Inputs!$Q$35)/Inputs!$Q$36,0))</f>
        <v>0</v>
      </c>
      <c r="V177" s="298">
        <f>IF(OR(Inputs!$G$73="No",Inputs!$Q$33="Performance-Based",Inputs!$Q$33="Neither"),0,IF(V$2&lt;=Inputs!$Q$36,($C$99*(Inputs!$Q$34*(1-Inputs!$G$74))*Inputs!$Q$35)/Inputs!$Q$36,0))</f>
        <v>0</v>
      </c>
      <c r="W177" s="298">
        <f>IF(OR(Inputs!$G$73="No",Inputs!$Q$33="Performance-Based",Inputs!$Q$33="Neither"),0,IF(W$2&lt;=Inputs!$Q$36,($C$99*(Inputs!$Q$34*(1-Inputs!$G$74))*Inputs!$Q$35)/Inputs!$Q$36,0))</f>
        <v>0</v>
      </c>
      <c r="X177" s="298">
        <f>IF(OR(Inputs!$G$73="No",Inputs!$Q$33="Performance-Based",Inputs!$Q$33="Neither"),0,IF(X$2&lt;=Inputs!$Q$36,($C$99*(Inputs!$Q$34*(1-Inputs!$G$74))*Inputs!$Q$35)/Inputs!$Q$36,0))</f>
        <v>0</v>
      </c>
      <c r="Y177" s="298">
        <f>IF(OR(Inputs!$G$73="No",Inputs!$Q$33="Performance-Based",Inputs!$Q$33="Neither"),0,IF(Y$2&lt;=Inputs!$Q$36,($C$99*(Inputs!$Q$34*(1-Inputs!$G$74))*Inputs!$Q$35)/Inputs!$Q$36,0))</f>
        <v>0</v>
      </c>
      <c r="Z177" s="298">
        <f>IF(OR(Inputs!$G$73="No",Inputs!$Q$33="Performance-Based",Inputs!$Q$33="Neither"),0,IF(Z$2&lt;=Inputs!$Q$36,($C$99*(Inputs!$Q$34*(1-Inputs!$G$74))*Inputs!$Q$35)/Inputs!$Q$36,0))</f>
        <v>0</v>
      </c>
      <c r="AA177" s="298">
        <f>IF(OR(Inputs!$G$73="No",Inputs!$Q$33="Performance-Based",Inputs!$Q$33="Neither"),0,IF(AA$2&lt;=Inputs!$Q$36,($C$99*(Inputs!$Q$34*(1-Inputs!$G$74))*Inputs!$Q$35)/Inputs!$Q$36,0))</f>
        <v>0</v>
      </c>
      <c r="AB177" s="298">
        <f>IF(OR(Inputs!$G$73="No",Inputs!$Q$33="Performance-Based",Inputs!$Q$33="Neither"),0,IF(AB$2&lt;=Inputs!$Q$36,($C$99*(Inputs!$Q$34*(1-Inputs!$G$74))*Inputs!$Q$35)/Inputs!$Q$36,0))</f>
        <v>0</v>
      </c>
      <c r="AC177" s="298">
        <f>IF(OR(Inputs!$G$73="No",Inputs!$Q$33="Performance-Based",Inputs!$Q$33="Neither"),0,IF(AC$2&lt;=Inputs!$Q$36,($C$99*(Inputs!$Q$34*(1-Inputs!$G$74))*Inputs!$Q$35)/Inputs!$Q$36,0))</f>
        <v>0</v>
      </c>
      <c r="AD177" s="298">
        <f>IF(OR(Inputs!$G$73="No",Inputs!$Q$33="Performance-Based",Inputs!$Q$33="Neither"),0,IF(AD$2&lt;=Inputs!$Q$36,($C$99*(Inputs!$Q$34*(1-Inputs!$G$74))*Inputs!$Q$35)/Inputs!$Q$36,0))</f>
        <v>0</v>
      </c>
      <c r="AE177" s="298">
        <f>IF(OR(Inputs!$G$73="No",Inputs!$Q$33="Performance-Based",Inputs!$Q$33="Neither"),0,IF(AE$2&lt;=Inputs!$Q$36,($C$99*(Inputs!$Q$34*(1-Inputs!$G$74))*Inputs!$Q$35)/Inputs!$Q$36,0))</f>
        <v>0</v>
      </c>
      <c r="AF177" s="298">
        <f>IF(OR(Inputs!$G$73="No",Inputs!$Q$33="Performance-Based",Inputs!$Q$33="Neither"),0,IF(AF$2&lt;=Inputs!$Q$36,($C$99*(Inputs!$Q$34*(1-Inputs!$G$74))*Inputs!$Q$35)/Inputs!$Q$36,0))</f>
        <v>0</v>
      </c>
      <c r="AG177" s="298">
        <f>IF(OR(Inputs!$G$73="No",Inputs!$Q$33="Performance-Based",Inputs!$Q$33="Neither"),0,IF(AG$2&lt;=Inputs!$Q$36,($C$99*(Inputs!$Q$34*(1-Inputs!$G$74))*Inputs!$Q$35)/Inputs!$Q$36,0))</f>
        <v>0</v>
      </c>
      <c r="AH177" s="298">
        <f>IF(OR(Inputs!$G$73="No",Inputs!$Q$33="Performance-Based",Inputs!$Q$33="Neither"),0,IF(AH$2&lt;=Inputs!$Q$36,($C$99*(Inputs!$Q$34*(1-Inputs!$G$74))*Inputs!$Q$35)/Inputs!$Q$36,0))</f>
        <v>0</v>
      </c>
      <c r="AI177" s="298">
        <f>IF(OR(Inputs!$G$73="No",Inputs!$Q$33="Performance-Based",Inputs!$Q$33="Neither"),0,IF(AI$2&lt;=Inputs!$Q$36,($C$99*(Inputs!$Q$34*(1-Inputs!$G$74))*Inputs!$Q$35)/Inputs!$Q$36,0))</f>
        <v>0</v>
      </c>
      <c r="AJ177" s="298">
        <f>IF(OR(Inputs!$G$73="No",Inputs!$Q$33="Performance-Based",Inputs!$Q$33="Neither"),0,IF(AJ$2&lt;=Inputs!$Q$36,($C$99*(Inputs!$Q$34*(1-Inputs!$G$74))*Inputs!$Q$35)/Inputs!$Q$36,0))</f>
        <v>0</v>
      </c>
    </row>
    <row r="178" spans="2:36" s="1" customFormat="1" x14ac:dyDescent="0.2">
      <c r="B178" s="221" t="s">
        <v>221</v>
      </c>
      <c r="C178" s="221"/>
      <c r="D178" s="221"/>
      <c r="E178" s="221"/>
      <c r="F178" s="221"/>
      <c r="G178" s="239">
        <f>IF(OR(Inputs!$G$73="No",Inputs!$Q$33="Cost-Based",Inputs!$Q$33="Neither"),0,IF(Inputs!$Q$38="Tax Credit",IF(G$2&gt;Inputs!$Q$43,0,IF(Inputs!$Q$39=0,Inputs!$Q$41/100*G$10*Inputs!$Q$42*G$5,MIN(Inputs!$Q$39,Inputs!$Q$41/100*G$10*Inputs!$Q$42*G$5))),0))</f>
        <v>0</v>
      </c>
      <c r="H178" s="239">
        <f>IF(OR(Inputs!$G$73="No",Inputs!$Q$33="Cost-Based",Inputs!$Q$33="Neither"),0,IF(Inputs!$Q$38="Tax Credit",IF(H$2&gt;Inputs!$Q$43,0,IF(Inputs!$Q$39=0,Inputs!$Q$41/100*H$10*Inputs!$Q$42*H$5,MIN(Inputs!$Q$39,Inputs!$Q$41/100*H$10*Inputs!$Q$42*H$5))),0))</f>
        <v>0</v>
      </c>
      <c r="I178" s="239">
        <f>IF(OR(Inputs!$G$73="No",Inputs!$Q$33="Cost-Based",Inputs!$Q$33="Neither"),0,IF(Inputs!$Q$38="Tax Credit",IF(I$2&gt;Inputs!$Q$43,0,IF(Inputs!$Q$39=0,Inputs!$Q$41/100*I$10*Inputs!$Q$42*I$5,MIN(Inputs!$Q$39,Inputs!$Q$41/100*I$10*Inputs!$Q$42*I$5))),0))</f>
        <v>0</v>
      </c>
      <c r="J178" s="239">
        <f>IF(OR(Inputs!$G$73="No",Inputs!$Q$33="Cost-Based",Inputs!$Q$33="Neither"),0,IF(Inputs!$Q$38="Tax Credit",IF(J$2&gt;Inputs!$Q$43,0,IF(Inputs!$Q$39=0,Inputs!$Q$41/100*J$10*Inputs!$Q$42*J$5,MIN(Inputs!$Q$39,Inputs!$Q$41/100*J$10*Inputs!$Q$42*J$5))),0))</f>
        <v>0</v>
      </c>
      <c r="K178" s="239">
        <f>IF(OR(Inputs!$G$73="No",Inputs!$Q$33="Cost-Based",Inputs!$Q$33="Neither"),0,IF(Inputs!$Q$38="Tax Credit",IF(K$2&gt;Inputs!$Q$43,0,IF(Inputs!$Q$39=0,Inputs!$Q$41/100*K$10*Inputs!$Q$42*K$5,MIN(Inputs!$Q$39,Inputs!$Q$41/100*K$10*Inputs!$Q$42*K$5))),0))</f>
        <v>0</v>
      </c>
      <c r="L178" s="239">
        <f>IF(OR(Inputs!$G$73="No",Inputs!$Q$33="Cost-Based",Inputs!$Q$33="Neither"),0,IF(Inputs!$Q$38="Tax Credit",IF(L$2&gt;Inputs!$Q$43,0,IF(Inputs!$Q$39=0,Inputs!$Q$41/100*L$10*Inputs!$Q$42*L$5,MIN(Inputs!$Q$39,Inputs!$Q$41/100*L$10*Inputs!$Q$42*L$5))),0))</f>
        <v>0</v>
      </c>
      <c r="M178" s="239">
        <f>IF(OR(Inputs!$G$73="No",Inputs!$Q$33="Cost-Based",Inputs!$Q$33="Neither"),0,IF(Inputs!$Q$38="Tax Credit",IF(M$2&gt;Inputs!$Q$43,0,IF(Inputs!$Q$39=0,Inputs!$Q$41/100*M$10*Inputs!$Q$42*M$5,MIN(Inputs!$Q$39,Inputs!$Q$41/100*M$10*Inputs!$Q$42*M$5))),0))</f>
        <v>0</v>
      </c>
      <c r="N178" s="239">
        <f>IF(OR(Inputs!$G$73="No",Inputs!$Q$33="Cost-Based",Inputs!$Q$33="Neither"),0,IF(Inputs!$Q$38="Tax Credit",IF(N$2&gt;Inputs!$Q$43,0,IF(Inputs!$Q$39=0,Inputs!$Q$41/100*N$10*Inputs!$Q$42*N$5,MIN(Inputs!$Q$39,Inputs!$Q$41/100*N$10*Inputs!$Q$42*N$5))),0))</f>
        <v>0</v>
      </c>
      <c r="O178" s="239">
        <f>IF(OR(Inputs!$G$73="No",Inputs!$Q$33="Cost-Based",Inputs!$Q$33="Neither"),0,IF(Inputs!$Q$38="Tax Credit",IF(O$2&gt;Inputs!$Q$43,0,IF(Inputs!$Q$39=0,Inputs!$Q$41/100*O$10*Inputs!$Q$42*O$5,MIN(Inputs!$Q$39,Inputs!$Q$41/100*O$10*Inputs!$Q$42*O$5))),0))</f>
        <v>0</v>
      </c>
      <c r="P178" s="239">
        <f>IF(OR(Inputs!$G$73="No",Inputs!$Q$33="Cost-Based",Inputs!$Q$33="Neither"),0,IF(Inputs!$Q$38="Tax Credit",IF(P$2&gt;Inputs!$Q$43,0,IF(Inputs!$Q$39=0,Inputs!$Q$41/100*P$10*Inputs!$Q$42*P$5,MIN(Inputs!$Q$39,Inputs!$Q$41/100*P$10*Inputs!$Q$42*P$5))),0))</f>
        <v>0</v>
      </c>
      <c r="Q178" s="239">
        <f>IF(OR(Inputs!$G$73="No",Inputs!$Q$33="Cost-Based",Inputs!$Q$33="Neither"),0,IF(Inputs!$Q$38="Tax Credit",IF(Q$2&gt;Inputs!$Q$43,0,IF(Inputs!$Q$39=0,Inputs!$Q$41/100*Q$10*Inputs!$Q$42*Q$5,MIN(Inputs!$Q$39,Inputs!$Q$41/100*Q$10*Inputs!$Q$42*Q$5))),0))</f>
        <v>0</v>
      </c>
      <c r="R178" s="239">
        <f>IF(OR(Inputs!$G$73="No",Inputs!$Q$33="Cost-Based",Inputs!$Q$33="Neither"),0,IF(Inputs!$Q$38="Tax Credit",IF(R$2&gt;Inputs!$Q$43,0,IF(Inputs!$Q$39=0,Inputs!$Q$41/100*R$10*Inputs!$Q$42*R$5,MIN(Inputs!$Q$39,Inputs!$Q$41/100*R$10*Inputs!$Q$42*R$5))),0))</f>
        <v>0</v>
      </c>
      <c r="S178" s="239">
        <f>IF(OR(Inputs!$G$73="No",Inputs!$Q$33="Cost-Based",Inputs!$Q$33="Neither"),0,IF(Inputs!$Q$38="Tax Credit",IF(S$2&gt;Inputs!$Q$43,0,IF(Inputs!$Q$39=0,Inputs!$Q$41/100*S$10*Inputs!$Q$42*S$5,MIN(Inputs!$Q$39,Inputs!$Q$41/100*S$10*Inputs!$Q$42*S$5))),0))</f>
        <v>0</v>
      </c>
      <c r="T178" s="239">
        <f>IF(OR(Inputs!$G$73="No",Inputs!$Q$33="Cost-Based",Inputs!$Q$33="Neither"),0,IF(Inputs!$Q$38="Tax Credit",IF(T$2&gt;Inputs!$Q$43,0,IF(Inputs!$Q$39=0,Inputs!$Q$41/100*T$10*Inputs!$Q$42*T$5,MIN(Inputs!$Q$39,Inputs!$Q$41/100*T$10*Inputs!$Q$42*T$5))),0))</f>
        <v>0</v>
      </c>
      <c r="U178" s="239">
        <f>IF(OR(Inputs!$G$73="No",Inputs!$Q$33="Cost-Based",Inputs!$Q$33="Neither"),0,IF(Inputs!$Q$38="Tax Credit",IF(U$2&gt;Inputs!$Q$43,0,IF(Inputs!$Q$39=0,Inputs!$Q$41/100*U$10*Inputs!$Q$42*U$5,MIN(Inputs!$Q$39,Inputs!$Q$41/100*U$10*Inputs!$Q$42*U$5))),0))</f>
        <v>0</v>
      </c>
      <c r="V178" s="239">
        <f>IF(OR(Inputs!$G$73="No",Inputs!$Q$33="Cost-Based",Inputs!$Q$33="Neither"),0,IF(Inputs!$Q$38="Tax Credit",IF(V$2&gt;Inputs!$Q$43,0,IF(Inputs!$Q$39=0,Inputs!$Q$41/100*V$10*Inputs!$Q$42*V$5,MIN(Inputs!$Q$39,Inputs!$Q$41/100*V$10*Inputs!$Q$42*V$5))),0))</f>
        <v>0</v>
      </c>
      <c r="W178" s="239">
        <f>IF(OR(Inputs!$G$73="No",Inputs!$Q$33="Cost-Based",Inputs!$Q$33="Neither"),0,IF(Inputs!$Q$38="Tax Credit",IF(W$2&gt;Inputs!$Q$43,0,IF(Inputs!$Q$39=0,Inputs!$Q$41/100*W$10*Inputs!$Q$42*W$5,MIN(Inputs!$Q$39,Inputs!$Q$41/100*W$10*Inputs!$Q$42*W$5))),0))</f>
        <v>0</v>
      </c>
      <c r="X178" s="239">
        <f>IF(OR(Inputs!$G$73="No",Inputs!$Q$33="Cost-Based",Inputs!$Q$33="Neither"),0,IF(Inputs!$Q$38="Tax Credit",IF(X$2&gt;Inputs!$Q$43,0,IF(Inputs!$Q$39=0,Inputs!$Q$41/100*X$10*Inputs!$Q$42*X$5,MIN(Inputs!$Q$39,Inputs!$Q$41/100*X$10*Inputs!$Q$42*X$5))),0))</f>
        <v>0</v>
      </c>
      <c r="Y178" s="239">
        <f>IF(OR(Inputs!$G$73="No",Inputs!$Q$33="Cost-Based",Inputs!$Q$33="Neither"),0,IF(Inputs!$Q$38="Tax Credit",IF(Y$2&gt;Inputs!$Q$43,0,IF(Inputs!$Q$39=0,Inputs!$Q$41/100*Y$10*Inputs!$Q$42*Y$5,MIN(Inputs!$Q$39,Inputs!$Q$41/100*Y$10*Inputs!$Q$42*Y$5))),0))</f>
        <v>0</v>
      </c>
      <c r="Z178" s="239">
        <f>IF(OR(Inputs!$G$73="No",Inputs!$Q$33="Cost-Based",Inputs!$Q$33="Neither"),0,IF(Inputs!$Q$38="Tax Credit",IF(Z$2&gt;Inputs!$Q$43,0,IF(Inputs!$Q$39=0,Inputs!$Q$41/100*Z$10*Inputs!$Q$42*Z$5,MIN(Inputs!$Q$39,Inputs!$Q$41/100*Z$10*Inputs!$Q$42*Z$5))),0))</f>
        <v>0</v>
      </c>
      <c r="AA178" s="239">
        <f>IF(OR(Inputs!$G$73="No",Inputs!$Q$33="Cost-Based",Inputs!$Q$33="Neither"),0,IF(Inputs!$Q$38="Tax Credit",IF(AA$2&gt;Inputs!$Q$43,0,IF(Inputs!$Q$39=0,Inputs!$Q$41/100*AA$10*Inputs!$Q$42*AA$5,MIN(Inputs!$Q$39,Inputs!$Q$41/100*AA$10*Inputs!$Q$42*AA$5))),0))</f>
        <v>0</v>
      </c>
      <c r="AB178" s="239">
        <f>IF(OR(Inputs!$G$73="No",Inputs!$Q$33="Cost-Based",Inputs!$Q$33="Neither"),0,IF(Inputs!$Q$38="Tax Credit",IF(AB$2&gt;Inputs!$Q$43,0,IF(Inputs!$Q$39=0,Inputs!$Q$41/100*AB$10*Inputs!$Q$42*AB$5,MIN(Inputs!$Q$39,Inputs!$Q$41/100*AB$10*Inputs!$Q$42*AB$5))),0))</f>
        <v>0</v>
      </c>
      <c r="AC178" s="239">
        <f>IF(OR(Inputs!$G$73="No",Inputs!$Q$33="Cost-Based",Inputs!$Q$33="Neither"),0,IF(Inputs!$Q$38="Tax Credit",IF(AC$2&gt;Inputs!$Q$43,0,IF(Inputs!$Q$39=0,Inputs!$Q$41/100*AC$10*Inputs!$Q$42*AC$5,MIN(Inputs!$Q$39,Inputs!$Q$41/100*AC$10*Inputs!$Q$42*AC$5))),0))</f>
        <v>0</v>
      </c>
      <c r="AD178" s="239">
        <f>IF(OR(Inputs!$G$73="No",Inputs!$Q$33="Cost-Based",Inputs!$Q$33="Neither"),0,IF(Inputs!$Q$38="Tax Credit",IF(AD$2&gt;Inputs!$Q$43,0,IF(Inputs!$Q$39=0,Inputs!$Q$41/100*AD$10*Inputs!$Q$42*AD$5,MIN(Inputs!$Q$39,Inputs!$Q$41/100*AD$10*Inputs!$Q$42*AD$5))),0))</f>
        <v>0</v>
      </c>
      <c r="AE178" s="239">
        <f>IF(OR(Inputs!$G$73="No",Inputs!$Q$33="Cost-Based",Inputs!$Q$33="Neither"),0,IF(Inputs!$Q$38="Tax Credit",IF(AE$2&gt;Inputs!$Q$43,0,IF(Inputs!$Q$39=0,Inputs!$Q$41/100*AE$10*Inputs!$Q$42*AE$5,MIN(Inputs!$Q$39,Inputs!$Q$41/100*AE$10*Inputs!$Q$42*AE$5))),0))</f>
        <v>0</v>
      </c>
      <c r="AF178" s="239">
        <f>IF(OR(Inputs!$G$73="No",Inputs!$Q$33="Cost-Based",Inputs!$Q$33="Neither"),0,IF(Inputs!$Q$38="Tax Credit",IF(AF$2&gt;Inputs!$Q$43,0,IF(Inputs!$Q$39=0,Inputs!$Q$41/100*AF$10*Inputs!$Q$42*AF$5,MIN(Inputs!$Q$39,Inputs!$Q$41/100*AF$10*Inputs!$Q$42*AF$5))),0))</f>
        <v>0</v>
      </c>
      <c r="AG178" s="239">
        <f>IF(OR(Inputs!$G$73="No",Inputs!$Q$33="Cost-Based",Inputs!$Q$33="Neither"),0,IF(Inputs!$Q$38="Tax Credit",IF(AG$2&gt;Inputs!$Q$43,0,IF(Inputs!$Q$39=0,Inputs!$Q$41/100*AG$10*Inputs!$Q$42*AG$5,MIN(Inputs!$Q$39,Inputs!$Q$41/100*AG$10*Inputs!$Q$42*AG$5))),0))</f>
        <v>0</v>
      </c>
      <c r="AH178" s="239">
        <f>IF(OR(Inputs!$G$73="No",Inputs!$Q$33="Cost-Based",Inputs!$Q$33="Neither"),0,IF(Inputs!$Q$38="Tax Credit",IF(AH$2&gt;Inputs!$Q$43,0,IF(Inputs!$Q$39=0,Inputs!$Q$41/100*AH$10*Inputs!$Q$42*AH$5,MIN(Inputs!$Q$39,Inputs!$Q$41/100*AH$10*Inputs!$Q$42*AH$5))),0))</f>
        <v>0</v>
      </c>
      <c r="AI178" s="239">
        <f>IF(OR(Inputs!$G$73="No",Inputs!$Q$33="Cost-Based",Inputs!$Q$33="Neither"),0,IF(Inputs!$Q$38="Tax Credit",IF(AI$2&gt;Inputs!$Q$43,0,IF(Inputs!$Q$39=0,Inputs!$Q$41/100*AI$10*Inputs!$Q$42*AI$5,MIN(Inputs!$Q$39,Inputs!$Q$41/100*AI$10*Inputs!$Q$42*AI$5))),0))</f>
        <v>0</v>
      </c>
      <c r="AJ178" s="239">
        <f>IF(OR(Inputs!$G$73="No",Inputs!$Q$33="Cost-Based",Inputs!$Q$33="Neither"),0,IF(Inputs!$Q$38="Tax Credit",IF(AJ$2&gt;Inputs!$Q$43,0,IF(Inputs!$Q$39=0,Inputs!$Q$41/100*AJ$10*Inputs!$Q$42*AJ$5,MIN(Inputs!$Q$39,Inputs!$Q$41/100*AJ$10*Inputs!$Q$42*AJ$5))),0))</f>
        <v>0</v>
      </c>
    </row>
    <row r="179" spans="2:36" s="1" customFormat="1" ht="15.75" x14ac:dyDescent="0.25">
      <c r="B179" s="221"/>
      <c r="C179" s="221"/>
      <c r="D179" s="221"/>
      <c r="E179" s="221"/>
      <c r="F179" s="221"/>
      <c r="G179" s="244"/>
      <c r="H179" s="245"/>
      <c r="I179" s="221"/>
      <c r="J179" s="221"/>
      <c r="K179" s="221"/>
      <c r="L179" s="221"/>
      <c r="M179" s="221"/>
      <c r="N179" s="221"/>
      <c r="O179" s="221"/>
      <c r="P179" s="221"/>
      <c r="Q179" s="221"/>
      <c r="R179" s="221"/>
      <c r="S179" s="221"/>
      <c r="T179" s="221"/>
      <c r="U179" s="221"/>
      <c r="V179" s="221"/>
      <c r="W179" s="221"/>
      <c r="X179" s="221"/>
      <c r="Y179" s="221"/>
      <c r="Z179" s="221"/>
      <c r="AA179" s="221"/>
      <c r="AB179" s="221"/>
      <c r="AC179" s="221"/>
      <c r="AD179" s="221"/>
      <c r="AE179" s="221"/>
      <c r="AF179" s="221"/>
      <c r="AG179" s="221"/>
      <c r="AH179" s="221"/>
      <c r="AI179" s="221"/>
      <c r="AJ179" s="221"/>
    </row>
    <row r="180" spans="2:36" s="1" customFormat="1" x14ac:dyDescent="0.2">
      <c r="B180" s="221" t="s">
        <v>264</v>
      </c>
      <c r="C180" s="221"/>
      <c r="D180" s="221"/>
      <c r="E180" s="221"/>
      <c r="F180" s="221"/>
      <c r="G180" s="239">
        <f>SUM(G177:G178)</f>
        <v>0</v>
      </c>
      <c r="H180" s="239">
        <f t="shared" ref="H180:AJ180" si="56">SUM(H177:H178)</f>
        <v>0</v>
      </c>
      <c r="I180" s="239">
        <f t="shared" si="56"/>
        <v>0</v>
      </c>
      <c r="J180" s="239">
        <f t="shared" si="56"/>
        <v>0</v>
      </c>
      <c r="K180" s="239">
        <f t="shared" si="56"/>
        <v>0</v>
      </c>
      <c r="L180" s="239">
        <f t="shared" si="56"/>
        <v>0</v>
      </c>
      <c r="M180" s="239">
        <f t="shared" si="56"/>
        <v>0</v>
      </c>
      <c r="N180" s="239">
        <f t="shared" si="56"/>
        <v>0</v>
      </c>
      <c r="O180" s="239">
        <f t="shared" si="56"/>
        <v>0</v>
      </c>
      <c r="P180" s="239">
        <f t="shared" si="56"/>
        <v>0</v>
      </c>
      <c r="Q180" s="239">
        <f t="shared" si="56"/>
        <v>0</v>
      </c>
      <c r="R180" s="239">
        <f t="shared" si="56"/>
        <v>0</v>
      </c>
      <c r="S180" s="239">
        <f t="shared" si="56"/>
        <v>0</v>
      </c>
      <c r="T180" s="239">
        <f t="shared" si="56"/>
        <v>0</v>
      </c>
      <c r="U180" s="239">
        <f t="shared" si="56"/>
        <v>0</v>
      </c>
      <c r="V180" s="239">
        <f t="shared" si="56"/>
        <v>0</v>
      </c>
      <c r="W180" s="239">
        <f t="shared" si="56"/>
        <v>0</v>
      </c>
      <c r="X180" s="239">
        <f t="shared" si="56"/>
        <v>0</v>
      </c>
      <c r="Y180" s="239">
        <f t="shared" si="56"/>
        <v>0</v>
      </c>
      <c r="Z180" s="239">
        <f t="shared" si="56"/>
        <v>0</v>
      </c>
      <c r="AA180" s="239">
        <f t="shared" si="56"/>
        <v>0</v>
      </c>
      <c r="AB180" s="239">
        <f t="shared" si="56"/>
        <v>0</v>
      </c>
      <c r="AC180" s="239">
        <f t="shared" si="56"/>
        <v>0</v>
      </c>
      <c r="AD180" s="239">
        <f t="shared" si="56"/>
        <v>0</v>
      </c>
      <c r="AE180" s="239">
        <f t="shared" si="56"/>
        <v>0</v>
      </c>
      <c r="AF180" s="239">
        <f t="shared" si="56"/>
        <v>0</v>
      </c>
      <c r="AG180" s="239">
        <f t="shared" si="56"/>
        <v>0</v>
      </c>
      <c r="AH180" s="239">
        <f t="shared" si="56"/>
        <v>0</v>
      </c>
      <c r="AI180" s="239">
        <f t="shared" si="56"/>
        <v>0</v>
      </c>
      <c r="AJ180" s="239">
        <f t="shared" si="56"/>
        <v>0</v>
      </c>
    </row>
    <row r="181" spans="2:36" s="1" customFormat="1" x14ac:dyDescent="0.2">
      <c r="B181" s="221"/>
      <c r="C181" s="221"/>
      <c r="D181" s="221"/>
      <c r="E181" s="221"/>
      <c r="F181" s="221"/>
      <c r="G181" s="239"/>
      <c r="H181" s="239"/>
      <c r="I181" s="239"/>
      <c r="J181" s="239"/>
      <c r="K181" s="239"/>
      <c r="L181" s="239"/>
      <c r="M181" s="239"/>
      <c r="N181" s="239"/>
      <c r="O181" s="239"/>
      <c r="P181" s="239"/>
      <c r="Q181" s="239"/>
      <c r="R181" s="239"/>
      <c r="S181" s="239"/>
      <c r="T181" s="239"/>
      <c r="U181" s="239"/>
      <c r="V181" s="239"/>
      <c r="W181" s="239"/>
      <c r="X181" s="239"/>
      <c r="Y181" s="239"/>
      <c r="Z181" s="239"/>
      <c r="AA181" s="239"/>
      <c r="AB181" s="239"/>
      <c r="AC181" s="239"/>
      <c r="AD181" s="239"/>
      <c r="AE181" s="239"/>
      <c r="AF181" s="239"/>
      <c r="AG181" s="239"/>
      <c r="AH181" s="239"/>
      <c r="AI181" s="239"/>
      <c r="AJ181" s="239"/>
    </row>
    <row r="182" spans="2:36" s="1" customFormat="1" x14ac:dyDescent="0.2">
      <c r="B182" s="299" t="s">
        <v>265</v>
      </c>
      <c r="C182" s="299"/>
      <c r="D182" s="299"/>
      <c r="E182" s="221"/>
      <c r="F182" s="221"/>
      <c r="G182" s="239"/>
      <c r="H182" s="239"/>
      <c r="I182" s="239"/>
      <c r="J182" s="239"/>
      <c r="K182" s="239"/>
      <c r="L182" s="239"/>
      <c r="M182" s="239"/>
      <c r="N182" s="239"/>
      <c r="O182" s="239"/>
      <c r="P182" s="239"/>
      <c r="Q182" s="239"/>
      <c r="R182" s="239"/>
      <c r="S182" s="239"/>
      <c r="T182" s="239"/>
      <c r="U182" s="239"/>
      <c r="V182" s="239"/>
      <c r="W182" s="239"/>
      <c r="X182" s="239"/>
      <c r="Y182" s="239"/>
      <c r="Z182" s="239"/>
      <c r="AA182" s="239"/>
      <c r="AB182" s="239"/>
      <c r="AC182" s="239"/>
      <c r="AD182" s="239"/>
      <c r="AE182" s="239"/>
      <c r="AF182" s="239"/>
      <c r="AG182" s="239"/>
      <c r="AH182" s="239"/>
      <c r="AI182" s="239"/>
      <c r="AJ182" s="239"/>
    </row>
    <row r="183" spans="2:36" s="1" customFormat="1" x14ac:dyDescent="0.2">
      <c r="B183" s="221" t="str">
        <f>B64</f>
        <v>State Income Taxes Saved / (Paid), before ITC/PTC</v>
      </c>
      <c r="C183" s="221"/>
      <c r="D183" s="221"/>
      <c r="E183" s="221"/>
      <c r="F183" s="221"/>
      <c r="G183" s="239">
        <f>IF(Inputs!$G$77="as generated","N/A",'Cash Flow'!G64)</f>
        <v>0</v>
      </c>
      <c r="H183" s="239">
        <f>IF(Inputs!$G$77="as generated","N/A",'Cash Flow'!H64)</f>
        <v>0</v>
      </c>
      <c r="I183" s="239">
        <f>IF(Inputs!$G$77="as generated","N/A",'Cash Flow'!I64)</f>
        <v>0</v>
      </c>
      <c r="J183" s="239">
        <f>IF(Inputs!$G$77="as generated","N/A",'Cash Flow'!J64)</f>
        <v>0</v>
      </c>
      <c r="K183" s="239">
        <f>IF(Inputs!$G$77="as generated","N/A",'Cash Flow'!K64)</f>
        <v>0</v>
      </c>
      <c r="L183" s="239">
        <f>IF(Inputs!$G$77="as generated","N/A",'Cash Flow'!L64)</f>
        <v>0</v>
      </c>
      <c r="M183" s="239">
        <f>IF(Inputs!$G$77="as generated","N/A",'Cash Flow'!M64)</f>
        <v>0</v>
      </c>
      <c r="N183" s="239">
        <f>IF(Inputs!$G$77="as generated","N/A",'Cash Flow'!N64)</f>
        <v>-37785.014507814383</v>
      </c>
      <c r="O183" s="239">
        <f>IF(Inputs!$G$77="as generated","N/A",'Cash Flow'!O64)</f>
        <v>-65016.192662426649</v>
      </c>
      <c r="P183" s="239">
        <f>IF(Inputs!$G$77="as generated","N/A",'Cash Flow'!P64)</f>
        <v>-57959.74450406128</v>
      </c>
      <c r="Q183" s="239">
        <f>IF(Inputs!$G$77="as generated","N/A",'Cash Flow'!Q64)</f>
        <v>-54467.764557938746</v>
      </c>
      <c r="R183" s="239">
        <f>IF(Inputs!$G$77="as generated","N/A",'Cash Flow'!R64)</f>
        <v>-62430.665251407518</v>
      </c>
      <c r="S183" s="239">
        <f>IF(Inputs!$G$77="as generated","N/A",'Cash Flow'!S64)</f>
        <v>-68197.450031069995</v>
      </c>
      <c r="T183" s="239">
        <f>IF(Inputs!$G$77="as generated","N/A",'Cash Flow'!T64)</f>
        <v>-70662.689450452803</v>
      </c>
      <c r="U183" s="239">
        <f>IF(Inputs!$G$77="as generated","N/A",'Cash Flow'!U64)</f>
        <v>-75729.479233895487</v>
      </c>
      <c r="V183" s="239">
        <f>IF(Inputs!$G$77="as generated","N/A",'Cash Flow'!V64)</f>
        <v>-83045.055587070892</v>
      </c>
      <c r="W183" s="239">
        <f>IF(Inputs!$G$77="as generated","N/A",'Cash Flow'!W64)</f>
        <v>-87914.732956821026</v>
      </c>
      <c r="X183" s="239">
        <f>IF(Inputs!$G$77="as generated","N/A",'Cash Flow'!X64)</f>
        <v>-90715.723488634321</v>
      </c>
      <c r="Y183" s="239">
        <f>IF(Inputs!$G$77="as generated","N/A",'Cash Flow'!Y64)</f>
        <v>-93513.630874199021</v>
      </c>
      <c r="Z183" s="239">
        <f>IF(Inputs!$G$77="as generated","N/A",'Cash Flow'!Z64)</f>
        <v>-85285.939335445059</v>
      </c>
      <c r="AA183" s="239">
        <f>IF(Inputs!$G$77="as generated","N/A",'Cash Flow'!AA64)</f>
        <v>0</v>
      </c>
      <c r="AB183" s="239">
        <f>IF(Inputs!$G$77="as generated","N/A",'Cash Flow'!AB64)</f>
        <v>-903.73207365324117</v>
      </c>
      <c r="AC183" s="239">
        <f>IF(Inputs!$G$77="as generated","N/A",'Cash Flow'!AC64)</f>
        <v>-7737.0317304723258</v>
      </c>
      <c r="AD183" s="239">
        <f>IF(Inputs!$G$77="as generated","N/A",'Cash Flow'!AD64)</f>
        <v>-8209.5502547606829</v>
      </c>
      <c r="AE183" s="239">
        <f>IF(Inputs!$G$77="as generated","N/A",'Cash Flow'!AE64)</f>
        <v>-11260.508715731245</v>
      </c>
      <c r="AF183" s="239">
        <f>IF(Inputs!$G$77="as generated","N/A",'Cash Flow'!AF64)</f>
        <v>-1.2369127944111825E-14</v>
      </c>
      <c r="AG183" s="239">
        <f>IF(Inputs!$G$77="as generated","N/A",'Cash Flow'!AG64)</f>
        <v>0</v>
      </c>
      <c r="AH183" s="239">
        <f>IF(Inputs!$G$77="as generated","N/A",'Cash Flow'!AH64)</f>
        <v>0</v>
      </c>
      <c r="AI183" s="239">
        <f>IF(Inputs!$G$77="as generated","N/A",'Cash Flow'!AI64)</f>
        <v>0</v>
      </c>
      <c r="AJ183" s="239">
        <f>IF(Inputs!$G$77="as generated","N/A",'Cash Flow'!AJ64)</f>
        <v>0</v>
      </c>
    </row>
    <row r="184" spans="2:36" s="1" customFormat="1" x14ac:dyDescent="0.2">
      <c r="B184" s="221"/>
      <c r="C184" s="221"/>
      <c r="D184" s="221"/>
      <c r="E184" s="221"/>
      <c r="F184" s="221"/>
      <c r="G184" s="239"/>
      <c r="H184" s="239"/>
      <c r="I184" s="239"/>
      <c r="J184" s="239"/>
      <c r="K184" s="239"/>
      <c r="L184" s="239"/>
      <c r="M184" s="239"/>
      <c r="N184" s="239"/>
      <c r="O184" s="239"/>
      <c r="P184" s="239"/>
      <c r="Q184" s="239"/>
      <c r="R184" s="239"/>
      <c r="S184" s="239"/>
      <c r="T184" s="239"/>
      <c r="U184" s="239"/>
      <c r="V184" s="239"/>
      <c r="W184" s="239"/>
      <c r="X184" s="239"/>
      <c r="Y184" s="239"/>
      <c r="Z184" s="239"/>
      <c r="AA184" s="239"/>
      <c r="AB184" s="239"/>
      <c r="AC184" s="239"/>
      <c r="AD184" s="239"/>
      <c r="AE184" s="239"/>
      <c r="AF184" s="239"/>
      <c r="AG184" s="239"/>
      <c r="AH184" s="239"/>
      <c r="AI184" s="239"/>
      <c r="AJ184" s="239"/>
    </row>
    <row r="185" spans="2:36" s="1" customFormat="1" x14ac:dyDescent="0.2">
      <c r="B185" s="221" t="s">
        <v>303</v>
      </c>
      <c r="C185" s="221"/>
      <c r="D185" s="221"/>
      <c r="E185" s="221"/>
      <c r="F185" s="221"/>
      <c r="G185" s="239">
        <v>0</v>
      </c>
      <c r="H185" s="239">
        <f>IF(Inputs!$G$77="as generated",0,G188)</f>
        <v>0</v>
      </c>
      <c r="I185" s="239">
        <f>IF(Inputs!$G$77="as generated",0,H188)</f>
        <v>0</v>
      </c>
      <c r="J185" s="239">
        <f>IF(Inputs!$G$77="as generated",0,I188)</f>
        <v>0</v>
      </c>
      <c r="K185" s="239">
        <f>IF(Inputs!$G$77="as generated",0,J188)</f>
        <v>0</v>
      </c>
      <c r="L185" s="239">
        <f>IF(Inputs!$G$77="as generated",0,K188)</f>
        <v>0</v>
      </c>
      <c r="M185" s="239">
        <f>IF(Inputs!$G$77="as generated",0,L188)</f>
        <v>0</v>
      </c>
      <c r="N185" s="239">
        <f>IF(Inputs!$G$77="as generated",0,M188)</f>
        <v>0</v>
      </c>
      <c r="O185" s="239">
        <f>IF(Inputs!$G$77="as generated",0,N188)</f>
        <v>0</v>
      </c>
      <c r="P185" s="239">
        <f>IF(Inputs!$G$77="as generated",0,O188)</f>
        <v>0</v>
      </c>
      <c r="Q185" s="239">
        <f>IF(Inputs!$G$77="as generated",0,P188)</f>
        <v>0</v>
      </c>
      <c r="R185" s="239">
        <f>IF(Inputs!$G$77="as generated",0,Q188)</f>
        <v>0</v>
      </c>
      <c r="S185" s="239">
        <f>IF(Inputs!$G$77="as generated",0,R188)</f>
        <v>0</v>
      </c>
      <c r="T185" s="239">
        <f>IF(Inputs!$G$77="as generated",0,S188)</f>
        <v>0</v>
      </c>
      <c r="U185" s="239">
        <f>IF(Inputs!$G$77="as generated",0,T188)</f>
        <v>0</v>
      </c>
      <c r="V185" s="239">
        <f>IF(Inputs!$G$77="as generated",0,U188)</f>
        <v>0</v>
      </c>
      <c r="W185" s="239">
        <f>IF(Inputs!$G$77="as generated",0,V188)</f>
        <v>0</v>
      </c>
      <c r="X185" s="239">
        <f>IF(Inputs!$G$77="as generated",0,W188)</f>
        <v>0</v>
      </c>
      <c r="Y185" s="239">
        <f>IF(Inputs!$G$77="as generated",0,X188)</f>
        <v>0</v>
      </c>
      <c r="Z185" s="239">
        <f>IF(Inputs!$G$77="as generated",0,Y188)</f>
        <v>0</v>
      </c>
      <c r="AA185" s="239">
        <f>IF(Inputs!$G$77="as generated",0,Z188)</f>
        <v>0</v>
      </c>
      <c r="AB185" s="239">
        <f>IF(Inputs!$G$77="as generated",0,AA188)</f>
        <v>0</v>
      </c>
      <c r="AC185" s="239">
        <f>IF(Inputs!$G$77="as generated",0,AB188)</f>
        <v>0</v>
      </c>
      <c r="AD185" s="239">
        <f>IF(Inputs!$G$77="as generated",0,AC188)</f>
        <v>0</v>
      </c>
      <c r="AE185" s="239">
        <f>IF(Inputs!$G$77="as generated",0,AD188)</f>
        <v>0</v>
      </c>
      <c r="AF185" s="239">
        <f>IF(Inputs!$G$77="as generated",0,AE188)</f>
        <v>0</v>
      </c>
      <c r="AG185" s="239">
        <f>IF(Inputs!$G$77="as generated",0,AF188)</f>
        <v>0</v>
      </c>
      <c r="AH185" s="239">
        <f>IF(Inputs!$G$77="as generated",0,AG188)</f>
        <v>0</v>
      </c>
      <c r="AI185" s="239">
        <f>IF(Inputs!$G$77="as generated",0,AH188)</f>
        <v>0</v>
      </c>
      <c r="AJ185" s="239">
        <f>IF(Inputs!$G$77="as generated",0,AI188)</f>
        <v>0</v>
      </c>
    </row>
    <row r="186" spans="2:36" s="1" customFormat="1" x14ac:dyDescent="0.2">
      <c r="B186" s="221" t="s">
        <v>304</v>
      </c>
      <c r="C186" s="221"/>
      <c r="D186" s="221"/>
      <c r="E186" s="221"/>
      <c r="F186" s="221"/>
      <c r="G186" s="239">
        <f>IF(Inputs!$G$77="as generated",0,IF(G183&lt;=0,G180,0))</f>
        <v>0</v>
      </c>
      <c r="H186" s="239">
        <f>IF(Inputs!$G$77="as generated",0,IF(H183&lt;=0,H180,0))</f>
        <v>0</v>
      </c>
      <c r="I186" s="239">
        <f>IF(Inputs!$G$77="as generated",0,IF(I183&lt;=0,I180,0))</f>
        <v>0</v>
      </c>
      <c r="J186" s="239">
        <f>IF(Inputs!$G$77="as generated",0,IF(J183&lt;=0,J180,0))</f>
        <v>0</v>
      </c>
      <c r="K186" s="239">
        <f>IF(Inputs!$G$77="as generated",0,IF(K183&lt;=0,K180,0))</f>
        <v>0</v>
      </c>
      <c r="L186" s="239">
        <f>IF(Inputs!$G$77="as generated",0,IF(L183&lt;=0,L180,0))</f>
        <v>0</v>
      </c>
      <c r="M186" s="239">
        <f>IF(Inputs!$G$77="as generated",0,IF(M183&lt;=0,M180,0))</f>
        <v>0</v>
      </c>
      <c r="N186" s="239">
        <f>IF(Inputs!$G$77="as generated",0,IF(N183&lt;=0,N180,0))</f>
        <v>0</v>
      </c>
      <c r="O186" s="239">
        <f>IF(Inputs!$G$77="as generated",0,IF(O183&lt;=0,O180,0))</f>
        <v>0</v>
      </c>
      <c r="P186" s="239">
        <f>IF(Inputs!$G$77="as generated",0,IF(P183&lt;=0,P180,0))</f>
        <v>0</v>
      </c>
      <c r="Q186" s="239">
        <f>IF(Inputs!$G$77="as generated",0,IF(Q183&lt;=0,Q180,0))</f>
        <v>0</v>
      </c>
      <c r="R186" s="239">
        <f>IF(Inputs!$G$77="as generated",0,IF(R183&lt;=0,R180,0))</f>
        <v>0</v>
      </c>
      <c r="S186" s="239">
        <f>IF(Inputs!$G$77="as generated",0,IF(S183&lt;=0,S180,0))</f>
        <v>0</v>
      </c>
      <c r="T186" s="239">
        <f>IF(Inputs!$G$77="as generated",0,IF(T183&lt;=0,T180,0))</f>
        <v>0</v>
      </c>
      <c r="U186" s="239">
        <f>IF(Inputs!$G$77="as generated",0,IF(U183&lt;=0,U180,0))</f>
        <v>0</v>
      </c>
      <c r="V186" s="239">
        <f>IF(Inputs!$G$77="as generated",0,IF(V183&lt;=0,V180,0))</f>
        <v>0</v>
      </c>
      <c r="W186" s="239">
        <f>IF(Inputs!$G$77="as generated",0,IF(W183&lt;=0,W180,0))</f>
        <v>0</v>
      </c>
      <c r="X186" s="239">
        <f>IF(Inputs!$G$77="as generated",0,IF(X183&lt;=0,X180,0))</f>
        <v>0</v>
      </c>
      <c r="Y186" s="239">
        <f>IF(Inputs!$G$77="as generated",0,IF(Y183&lt;=0,Y180,0))</f>
        <v>0</v>
      </c>
      <c r="Z186" s="239">
        <f>IF(Inputs!$G$77="as generated",0,IF(Z183&lt;=0,Z180,0))</f>
        <v>0</v>
      </c>
      <c r="AA186" s="239">
        <f>IF(Inputs!$G$77="as generated",0,IF(AA183&lt;=0,AA180,0))</f>
        <v>0</v>
      </c>
      <c r="AB186" s="239">
        <f>IF(Inputs!$G$77="as generated",0,IF(AB183&lt;=0,AB180,0))</f>
        <v>0</v>
      </c>
      <c r="AC186" s="239">
        <f>IF(Inputs!$G$77="as generated",0,IF(AC183&lt;=0,AC180,0))</f>
        <v>0</v>
      </c>
      <c r="AD186" s="239">
        <f>IF(Inputs!$G$77="as generated",0,IF(AD183&lt;=0,AD180,0))</f>
        <v>0</v>
      </c>
      <c r="AE186" s="239">
        <f>IF(Inputs!$G$77="as generated",0,IF(AE183&lt;=0,AE180,0))</f>
        <v>0</v>
      </c>
      <c r="AF186" s="239">
        <f>IF(Inputs!$G$77="as generated",0,IF(AF183&lt;=0,AF180,0))</f>
        <v>0</v>
      </c>
      <c r="AG186" s="239">
        <f>IF(Inputs!$G$77="as generated",0,IF(AG183&lt;=0,AG180,0))</f>
        <v>0</v>
      </c>
      <c r="AH186" s="239">
        <f>IF(Inputs!$G$77="as generated",0,IF(AH183&lt;=0,AH180,0))</f>
        <v>0</v>
      </c>
      <c r="AI186" s="239">
        <f>IF(Inputs!$G$77="as generated",0,IF(AI183&lt;=0,AI180,0))</f>
        <v>0</v>
      </c>
      <c r="AJ186" s="239">
        <f>IF(Inputs!$G$77="as generated",0,IF(AJ183&lt;=0,AJ180,0))</f>
        <v>0</v>
      </c>
    </row>
    <row r="187" spans="2:36" s="1" customFormat="1" x14ac:dyDescent="0.2">
      <c r="B187" s="221" t="s">
        <v>305</v>
      </c>
      <c r="C187" s="221"/>
      <c r="D187" s="221"/>
      <c r="E187" s="221"/>
      <c r="F187" s="221"/>
      <c r="G187" s="239">
        <f>IF(Inputs!$G$77="as generated",0,IF(G$183&lt;0,MAX(G$183,-F$188),0))</f>
        <v>0</v>
      </c>
      <c r="H187" s="239">
        <f>IF(Inputs!$G$77="as generated",0,IF(H$183&lt;0,MAX(H$183,-G$188),0))</f>
        <v>0</v>
      </c>
      <c r="I187" s="239">
        <f>IF(Inputs!$G$77="as generated",0,IF(I$183&lt;0,MAX(I$183,-H$188),0))</f>
        <v>0</v>
      </c>
      <c r="J187" s="239">
        <f>IF(Inputs!$G$77="as generated",0,IF(J$183&lt;0,MAX(J$183,-I$188),0))</f>
        <v>0</v>
      </c>
      <c r="K187" s="239">
        <f>IF(Inputs!$G$77="as generated",0,IF(K$183&lt;0,MAX(K$183,-J$188),0))</f>
        <v>0</v>
      </c>
      <c r="L187" s="239">
        <f>IF(Inputs!$G$77="as generated",0,IF(L$183&lt;0,MAX(L$183,-K$188),0))</f>
        <v>0</v>
      </c>
      <c r="M187" s="239">
        <f>IF(Inputs!$G$77="as generated",0,IF(M$183&lt;0,MAX(M$183,-L$188),0))</f>
        <v>0</v>
      </c>
      <c r="N187" s="239">
        <f>IF(Inputs!$G$77="as generated",0,IF(N$183&lt;0,MAX(N$183,-M$188),0))</f>
        <v>0</v>
      </c>
      <c r="O187" s="239">
        <f>IF(Inputs!$G$77="as generated",0,IF(O$183&lt;0,MAX(O$183,-N$188),0))</f>
        <v>0</v>
      </c>
      <c r="P187" s="239">
        <f>IF(Inputs!$G$77="as generated",0,IF(P$183&lt;0,MAX(P$183,-O$188),0))</f>
        <v>0</v>
      </c>
      <c r="Q187" s="239">
        <f>IF(Inputs!$G$77="as generated",0,IF(Q$183&lt;0,MAX(Q$183,-P$188),0))</f>
        <v>0</v>
      </c>
      <c r="R187" s="239">
        <f>IF(Inputs!$G$77="as generated",0,IF(R$183&lt;0,MAX(R$183,-Q$188),0))</f>
        <v>0</v>
      </c>
      <c r="S187" s="239">
        <f>IF(Inputs!$G$77="as generated",0,IF(S$183&lt;0,MAX(S$183,-R$188),0))</f>
        <v>0</v>
      </c>
      <c r="T187" s="239">
        <f>IF(Inputs!$G$77="as generated",0,IF(T$183&lt;0,MAX(T$183,-S$188),0))</f>
        <v>0</v>
      </c>
      <c r="U187" s="239">
        <f>IF(Inputs!$G$77="as generated",0,IF(U$183&lt;0,MAX(U$183,-T$188),0))</f>
        <v>0</v>
      </c>
      <c r="V187" s="239">
        <f>IF(Inputs!$G$77="as generated",0,IF(V$183&lt;0,MAX(V$183,-U$188),0))</f>
        <v>0</v>
      </c>
      <c r="W187" s="239">
        <f>IF(Inputs!$G$77="as generated",0,IF(W$183&lt;0,MAX(W$183,-V$188),0))</f>
        <v>0</v>
      </c>
      <c r="X187" s="239">
        <f>IF(Inputs!$G$77="as generated",0,IF(X$183&lt;0,MAX(X$183,-W$188),0))</f>
        <v>0</v>
      </c>
      <c r="Y187" s="239">
        <f>IF(Inputs!$G$77="as generated",0,IF(Y$183&lt;0,MAX(Y$183,-X$188),0))</f>
        <v>0</v>
      </c>
      <c r="Z187" s="239">
        <f>IF(Inputs!$G$77="as generated",0,IF(Z$183&lt;0,MAX(Z$183,-Y$188),0))</f>
        <v>0</v>
      </c>
      <c r="AA187" s="239">
        <f>IF(Inputs!$G$77="as generated",0,IF(AA$183&lt;0,MAX(AA$183,-Z$188),0))</f>
        <v>0</v>
      </c>
      <c r="AB187" s="239">
        <f>IF(Inputs!$G$77="as generated",0,IF(AB$183&lt;0,MAX(AB$183,-AA$188),0))</f>
        <v>0</v>
      </c>
      <c r="AC187" s="239">
        <f>IF(Inputs!$G$77="as generated",0,IF(AC$183&lt;0,MAX(AC$183,-AB$188),0))</f>
        <v>0</v>
      </c>
      <c r="AD187" s="239">
        <f>IF(Inputs!$G$77="as generated",0,IF(AD$183&lt;0,MAX(AD$183,-AC$188),0))</f>
        <v>0</v>
      </c>
      <c r="AE187" s="239">
        <f>IF(Inputs!$G$77="as generated",0,IF(AE$183&lt;0,MAX(AE$183,-AD$188),0))</f>
        <v>0</v>
      </c>
      <c r="AF187" s="239">
        <f>IF(Inputs!$G$77="as generated",0,IF(AF$183&lt;0,MAX(AF$183,-AE$188),0))</f>
        <v>0</v>
      </c>
      <c r="AG187" s="239">
        <f>IF(Inputs!$G$77="as generated",0,IF(AG$183&lt;0,MAX(AG$183,-AF$188),0))</f>
        <v>0</v>
      </c>
      <c r="AH187" s="239">
        <f>IF(Inputs!$G$77="as generated",0,IF(AH$183&lt;0,MAX(AH$183,-AG$188),0))</f>
        <v>0</v>
      </c>
      <c r="AI187" s="239">
        <f>IF(Inputs!$G$77="as generated",0,IF(AI$183&lt;0,MAX(AI$183,-AH$188),0))</f>
        <v>0</v>
      </c>
      <c r="AJ187" s="239">
        <f>IF(Inputs!$G$77="as generated",0,IF(AJ$183&lt;0,MAX(AJ$183,-AI$188),0))</f>
        <v>0</v>
      </c>
    </row>
    <row r="188" spans="2:36" s="1" customFormat="1" x14ac:dyDescent="0.2">
      <c r="B188" s="221" t="s">
        <v>306</v>
      </c>
      <c r="C188" s="221"/>
      <c r="D188" s="221"/>
      <c r="E188" s="221"/>
      <c r="F188" s="239">
        <v>0</v>
      </c>
      <c r="G188" s="239">
        <f>SUM(G185:G187)</f>
        <v>0</v>
      </c>
      <c r="H188" s="239">
        <f t="shared" ref="H188:AJ188" si="57">SUM(H185:H187)</f>
        <v>0</v>
      </c>
      <c r="I188" s="239">
        <f t="shared" si="57"/>
        <v>0</v>
      </c>
      <c r="J188" s="239">
        <f t="shared" si="57"/>
        <v>0</v>
      </c>
      <c r="K188" s="239">
        <f t="shared" si="57"/>
        <v>0</v>
      </c>
      <c r="L188" s="239">
        <f t="shared" si="57"/>
        <v>0</v>
      </c>
      <c r="M188" s="239">
        <f t="shared" si="57"/>
        <v>0</v>
      </c>
      <c r="N188" s="239">
        <f t="shared" si="57"/>
        <v>0</v>
      </c>
      <c r="O188" s="239">
        <f t="shared" si="57"/>
        <v>0</v>
      </c>
      <c r="P188" s="239">
        <f t="shared" si="57"/>
        <v>0</v>
      </c>
      <c r="Q188" s="239">
        <f t="shared" si="57"/>
        <v>0</v>
      </c>
      <c r="R188" s="239">
        <f t="shared" si="57"/>
        <v>0</v>
      </c>
      <c r="S188" s="239">
        <f t="shared" si="57"/>
        <v>0</v>
      </c>
      <c r="T188" s="239">
        <f t="shared" si="57"/>
        <v>0</v>
      </c>
      <c r="U188" s="239">
        <f t="shared" si="57"/>
        <v>0</v>
      </c>
      <c r="V188" s="239">
        <f t="shared" si="57"/>
        <v>0</v>
      </c>
      <c r="W188" s="239">
        <f t="shared" si="57"/>
        <v>0</v>
      </c>
      <c r="X188" s="239">
        <f t="shared" si="57"/>
        <v>0</v>
      </c>
      <c r="Y188" s="239">
        <f t="shared" si="57"/>
        <v>0</v>
      </c>
      <c r="Z188" s="239">
        <f t="shared" si="57"/>
        <v>0</v>
      </c>
      <c r="AA188" s="239">
        <f t="shared" si="57"/>
        <v>0</v>
      </c>
      <c r="AB188" s="239">
        <f t="shared" si="57"/>
        <v>0</v>
      </c>
      <c r="AC188" s="239">
        <f t="shared" si="57"/>
        <v>0</v>
      </c>
      <c r="AD188" s="239">
        <f t="shared" si="57"/>
        <v>0</v>
      </c>
      <c r="AE188" s="239">
        <f t="shared" si="57"/>
        <v>0</v>
      </c>
      <c r="AF188" s="239">
        <f t="shared" si="57"/>
        <v>0</v>
      </c>
      <c r="AG188" s="239">
        <f t="shared" si="57"/>
        <v>0</v>
      </c>
      <c r="AH188" s="239">
        <f t="shared" si="57"/>
        <v>0</v>
      </c>
      <c r="AI188" s="239">
        <f t="shared" si="57"/>
        <v>0</v>
      </c>
      <c r="AJ188" s="239">
        <f t="shared" si="57"/>
        <v>0</v>
      </c>
    </row>
    <row r="189" spans="2:36" s="1" customFormat="1" ht="16.5" thickBot="1" x14ac:dyDescent="0.3">
      <c r="B189" s="241"/>
      <c r="C189" s="241"/>
      <c r="D189" s="241"/>
      <c r="E189" s="241"/>
      <c r="F189" s="241"/>
      <c r="G189" s="242"/>
      <c r="H189" s="243"/>
      <c r="I189" s="241"/>
      <c r="J189" s="241"/>
      <c r="K189" s="241"/>
      <c r="L189" s="241"/>
      <c r="M189" s="241"/>
      <c r="N189" s="241"/>
      <c r="O189" s="241"/>
      <c r="P189" s="241"/>
      <c r="Q189" s="241"/>
      <c r="R189" s="241"/>
      <c r="S189" s="241"/>
      <c r="T189" s="241"/>
      <c r="U189" s="241"/>
      <c r="V189" s="241"/>
      <c r="W189" s="241"/>
      <c r="X189" s="241"/>
      <c r="Y189" s="241"/>
      <c r="Z189" s="241"/>
      <c r="AA189" s="241"/>
      <c r="AB189" s="241"/>
      <c r="AC189" s="241"/>
      <c r="AD189" s="241"/>
      <c r="AE189" s="241"/>
      <c r="AF189" s="241"/>
      <c r="AG189" s="241"/>
      <c r="AH189" s="241"/>
      <c r="AI189" s="241"/>
      <c r="AJ189" s="241"/>
    </row>
    <row r="190" spans="2:36" x14ac:dyDescent="0.25">
      <c r="B190" s="260"/>
      <c r="C190" s="260"/>
      <c r="D190" s="260"/>
      <c r="E190" s="260"/>
      <c r="F190" s="260"/>
      <c r="G190" s="260"/>
      <c r="H190" s="260"/>
      <c r="I190" s="260"/>
      <c r="J190" s="260"/>
      <c r="K190" s="260"/>
      <c r="L190" s="260"/>
      <c r="M190" s="260"/>
      <c r="N190" s="260"/>
      <c r="O190" s="260"/>
      <c r="P190" s="260"/>
      <c r="Q190" s="260"/>
      <c r="R190" s="260"/>
      <c r="S190" s="260"/>
      <c r="T190" s="260"/>
      <c r="U190" s="260"/>
      <c r="V190" s="260"/>
      <c r="W190" s="260"/>
      <c r="X190" s="260"/>
      <c r="Y190" s="260"/>
      <c r="Z190" s="260"/>
      <c r="AA190" s="260"/>
      <c r="AB190" s="260"/>
      <c r="AC190" s="260"/>
      <c r="AD190" s="260"/>
      <c r="AE190" s="260"/>
      <c r="AF190" s="260"/>
      <c r="AG190" s="260"/>
      <c r="AH190" s="260"/>
      <c r="AI190" s="260"/>
      <c r="AJ190" s="260"/>
    </row>
    <row r="191" spans="2:36" ht="15.75" x14ac:dyDescent="0.25">
      <c r="B191" s="220" t="s">
        <v>152</v>
      </c>
      <c r="C191" s="220"/>
      <c r="D191" s="220"/>
      <c r="E191" s="260"/>
      <c r="F191" s="260"/>
      <c r="G191" s="260"/>
      <c r="H191" s="260"/>
      <c r="I191" s="260"/>
      <c r="J191" s="260"/>
      <c r="K191" s="260"/>
      <c r="L191" s="260"/>
      <c r="M191" s="260"/>
      <c r="N191" s="260"/>
      <c r="O191" s="260"/>
      <c r="P191" s="260"/>
      <c r="Q191" s="260"/>
      <c r="R191" s="260"/>
      <c r="S191" s="260"/>
      <c r="T191" s="260"/>
      <c r="U191" s="260"/>
      <c r="V191" s="260"/>
      <c r="W191" s="260"/>
      <c r="X191" s="260"/>
      <c r="Y191" s="260"/>
      <c r="Z191" s="260"/>
      <c r="AA191" s="260"/>
      <c r="AB191" s="260"/>
      <c r="AC191" s="260"/>
      <c r="AD191" s="260"/>
      <c r="AE191" s="260"/>
      <c r="AF191" s="260"/>
      <c r="AG191" s="260"/>
      <c r="AH191" s="260"/>
      <c r="AI191" s="260"/>
      <c r="AJ191" s="260"/>
    </row>
    <row r="192" spans="2:36" ht="15.75" x14ac:dyDescent="0.25">
      <c r="B192" s="238" t="s">
        <v>93</v>
      </c>
      <c r="C192" s="238"/>
      <c r="D192" s="238"/>
      <c r="E192" s="260"/>
      <c r="F192" s="277">
        <v>0</v>
      </c>
      <c r="G192" s="256">
        <f>F197</f>
        <v>203609.77022297902</v>
      </c>
      <c r="H192" s="256">
        <f t="shared" ref="H192:AJ192" si="58">G197</f>
        <v>261054.21466742345</v>
      </c>
      <c r="I192" s="256">
        <f t="shared" si="58"/>
        <v>318498.65911186789</v>
      </c>
      <c r="J192" s="256">
        <f t="shared" si="58"/>
        <v>375943.10355631233</v>
      </c>
      <c r="K192" s="256">
        <f t="shared" si="58"/>
        <v>433387.54800075677</v>
      </c>
      <c r="L192" s="256">
        <f t="shared" si="58"/>
        <v>490831.99244520121</v>
      </c>
      <c r="M192" s="256">
        <f t="shared" si="58"/>
        <v>548276.43688964564</v>
      </c>
      <c r="N192" s="256">
        <f t="shared" si="58"/>
        <v>605720.88133409014</v>
      </c>
      <c r="O192" s="256">
        <f t="shared" si="58"/>
        <v>663165.32577853464</v>
      </c>
      <c r="P192" s="256">
        <f t="shared" si="58"/>
        <v>720609.77022297913</v>
      </c>
      <c r="Q192" s="256">
        <f t="shared" si="58"/>
        <v>203609.77022297913</v>
      </c>
      <c r="R192" s="256">
        <f t="shared" si="58"/>
        <v>263498.65911186801</v>
      </c>
      <c r="S192" s="256">
        <f t="shared" si="58"/>
        <v>323387.54800075688</v>
      </c>
      <c r="T192" s="256">
        <f t="shared" si="58"/>
        <v>383276.43688964576</v>
      </c>
      <c r="U192" s="256">
        <f t="shared" si="58"/>
        <v>443165.32577853464</v>
      </c>
      <c r="V192" s="256">
        <f t="shared" si="58"/>
        <v>503054.21466742351</v>
      </c>
      <c r="W192" s="256">
        <f t="shared" si="58"/>
        <v>562943.10355631239</v>
      </c>
      <c r="X192" s="256">
        <f t="shared" si="58"/>
        <v>622831.99244520126</v>
      </c>
      <c r="Y192" s="256">
        <f t="shared" si="58"/>
        <v>682720.88133409014</v>
      </c>
      <c r="Z192" s="256">
        <f t="shared" si="58"/>
        <v>619732.0666006814</v>
      </c>
      <c r="AA192" s="256">
        <f t="shared" si="58"/>
        <v>80732.066600681399</v>
      </c>
      <c r="AB192" s="256">
        <f t="shared" si="58"/>
        <v>80732.066600681399</v>
      </c>
      <c r="AC192" s="256">
        <f t="shared" si="58"/>
        <v>80732.066600681399</v>
      </c>
      <c r="AD192" s="256">
        <f t="shared" si="58"/>
        <v>80732.066600681399</v>
      </c>
      <c r="AE192" s="256">
        <f t="shared" si="58"/>
        <v>80732.066600681399</v>
      </c>
      <c r="AF192" s="256">
        <f t="shared" si="58"/>
        <v>1.4551915228366852E-11</v>
      </c>
      <c r="AG192" s="256">
        <f t="shared" si="58"/>
        <v>0</v>
      </c>
      <c r="AH192" s="256">
        <f t="shared" si="58"/>
        <v>0</v>
      </c>
      <c r="AI192" s="256">
        <f t="shared" si="58"/>
        <v>0</v>
      </c>
      <c r="AJ192" s="256">
        <f t="shared" si="58"/>
        <v>0</v>
      </c>
    </row>
    <row r="193" spans="2:36" ht="15.75" x14ac:dyDescent="0.25">
      <c r="B193" s="238" t="s">
        <v>42</v>
      </c>
      <c r="C193" s="238"/>
      <c r="D193" s="238"/>
      <c r="E193" s="260"/>
      <c r="F193" s="256">
        <f>Inputs!$Q$63</f>
        <v>122877.70362229762</v>
      </c>
      <c r="G193" s="256">
        <f>IF(G$2=Inputs!$G$52+1,-$F$193,0)</f>
        <v>0</v>
      </c>
      <c r="H193" s="256">
        <f>IF(H$2=Inputs!$G$52+1,-$F$193,0)</f>
        <v>0</v>
      </c>
      <c r="I193" s="256">
        <f>IF(I$2=Inputs!$G$52+1,-$F$193,0)</f>
        <v>0</v>
      </c>
      <c r="J193" s="256">
        <f>IF(J$2=Inputs!$G$52+1,-$F$193,0)</f>
        <v>0</v>
      </c>
      <c r="K193" s="256">
        <f>IF(K$2=Inputs!$G$52+1,-$F$193,0)</f>
        <v>0</v>
      </c>
      <c r="L193" s="256">
        <f>IF(L$2=Inputs!$G$52+1,-$F$193,0)</f>
        <v>0</v>
      </c>
      <c r="M193" s="256">
        <f>IF(M$2=Inputs!$G$52+1,-$F$193,0)</f>
        <v>0</v>
      </c>
      <c r="N193" s="256">
        <f>IF(N$2=Inputs!$G$52+1,-$F$193,0)</f>
        <v>0</v>
      </c>
      <c r="O193" s="256">
        <f>IF(O$2=Inputs!$G$52+1,-$F$193,0)</f>
        <v>0</v>
      </c>
      <c r="P193" s="256">
        <f>IF(P$2=Inputs!$G$52+1,-$F$193,0)</f>
        <v>0</v>
      </c>
      <c r="Q193" s="256">
        <f>IF(Q$2=Inputs!$G$52+1,-$F$193,0)</f>
        <v>0</v>
      </c>
      <c r="R193" s="256">
        <f>IF(R$2=Inputs!$G$52+1,-$F$193,0)</f>
        <v>0</v>
      </c>
      <c r="S193" s="256">
        <f>IF(S$2=Inputs!$G$52+1,-$F$193,0)</f>
        <v>0</v>
      </c>
      <c r="T193" s="256">
        <f>IF(T$2=Inputs!$G$52+1,-$F$193,0)</f>
        <v>0</v>
      </c>
      <c r="U193" s="256">
        <f>IF(U$2=Inputs!$G$52+1,-$F$193,0)</f>
        <v>0</v>
      </c>
      <c r="V193" s="256">
        <f>IF(V$2=Inputs!$G$52+1,-$F$193,0)</f>
        <v>0</v>
      </c>
      <c r="W193" s="256">
        <f>IF(W$2=Inputs!$G$52+1,-$F$193,0)</f>
        <v>0</v>
      </c>
      <c r="X193" s="256">
        <f>IF(X$2=Inputs!$G$52+1,-$F$193,0)</f>
        <v>0</v>
      </c>
      <c r="Y193" s="256">
        <f>IF(Y$2=Inputs!$G$52+1,-$F$193,0)</f>
        <v>-122877.70362229762</v>
      </c>
      <c r="Z193" s="256">
        <f>IF(Z$2=Inputs!$G$52+1,-$F$193,0)</f>
        <v>0</v>
      </c>
      <c r="AA193" s="256">
        <f>IF(AA$2=Inputs!$G$52+1,-$F$193,0)</f>
        <v>0</v>
      </c>
      <c r="AB193" s="256">
        <f>IF(AB$2=Inputs!$G$52+1,-$F$193,0)</f>
        <v>0</v>
      </c>
      <c r="AC193" s="256">
        <f>IF(AC$2=Inputs!$G$52+1,-$F$193,0)</f>
        <v>0</v>
      </c>
      <c r="AD193" s="256">
        <f>IF(AD$2=Inputs!$G$52+1,-$F$193,0)</f>
        <v>0</v>
      </c>
      <c r="AE193" s="256">
        <f>IF(AE$2=Inputs!$G$52+1,-$F$193,0)</f>
        <v>0</v>
      </c>
      <c r="AF193" s="256">
        <f>IF(AF$2=Inputs!$G$52+1,-$F$193,0)</f>
        <v>0</v>
      </c>
      <c r="AG193" s="256">
        <f>IF(AG$2=Inputs!$G$52+1,-$F$193,0)</f>
        <v>0</v>
      </c>
      <c r="AH193" s="256">
        <f>IF(AH$2=Inputs!$G$52+1,-$F$193,0)</f>
        <v>0</v>
      </c>
      <c r="AI193" s="256">
        <f>IF(AI$2=Inputs!$G$52+1,-$F$193,0)</f>
        <v>0</v>
      </c>
      <c r="AJ193" s="256">
        <f>IF(AJ$2=Inputs!$G$52+1,-$F$193,0)</f>
        <v>0</v>
      </c>
    </row>
    <row r="194" spans="2:36" ht="15.75" x14ac:dyDescent="0.25">
      <c r="B194" s="238" t="s">
        <v>207</v>
      </c>
      <c r="C194" s="238"/>
      <c r="D194" s="238"/>
      <c r="E194" s="260"/>
      <c r="F194" s="256">
        <f>Inputs!$Q$66</f>
        <v>80732.066600681384</v>
      </c>
      <c r="G194" s="256">
        <f>IF(G$2=Inputs!$G$15,-$F$194,0)</f>
        <v>0</v>
      </c>
      <c r="H194" s="256">
        <f>IF(H$2=Inputs!$G$15,-$F$194,0)</f>
        <v>0</v>
      </c>
      <c r="I194" s="256">
        <f>IF(I$2=Inputs!$G$15,-$F$194,0)</f>
        <v>0</v>
      </c>
      <c r="J194" s="256">
        <f>IF(J$2=Inputs!$G$15,-$F$194,0)</f>
        <v>0</v>
      </c>
      <c r="K194" s="256">
        <f>IF(K$2=Inputs!$G$15,-$F$194,0)</f>
        <v>0</v>
      </c>
      <c r="L194" s="256">
        <f>IF(L$2=Inputs!$G$15,-$F$194,0)</f>
        <v>0</v>
      </c>
      <c r="M194" s="256">
        <f>IF(M$2=Inputs!$G$15,-$F$194,0)</f>
        <v>0</v>
      </c>
      <c r="N194" s="256">
        <f>IF(N$2=Inputs!$G$15,-$F$194,0)</f>
        <v>0</v>
      </c>
      <c r="O194" s="256">
        <f>IF(O$2=Inputs!$G$15,-$F$194,0)</f>
        <v>0</v>
      </c>
      <c r="P194" s="256">
        <f>IF(P$2=Inputs!$G$15,-$F$194,0)</f>
        <v>0</v>
      </c>
      <c r="Q194" s="256">
        <f>IF(Q$2=Inputs!$G$15,-$F$194,0)</f>
        <v>0</v>
      </c>
      <c r="R194" s="256">
        <f>IF(R$2=Inputs!$G$15,-$F$194,0)</f>
        <v>0</v>
      </c>
      <c r="S194" s="256">
        <f>IF(S$2=Inputs!$G$15,-$F$194,0)</f>
        <v>0</v>
      </c>
      <c r="T194" s="256">
        <f>IF(T$2=Inputs!$G$15,-$F$194,0)</f>
        <v>0</v>
      </c>
      <c r="U194" s="256">
        <f>IF(U$2=Inputs!$G$15,-$F$194,0)</f>
        <v>0</v>
      </c>
      <c r="V194" s="256">
        <f>IF(V$2=Inputs!$G$15,-$F$194,0)</f>
        <v>0</v>
      </c>
      <c r="W194" s="256">
        <f>IF(W$2=Inputs!$G$15,-$F$194,0)</f>
        <v>0</v>
      </c>
      <c r="X194" s="256">
        <f>IF(X$2=Inputs!$G$15,-$F$194,0)</f>
        <v>0</v>
      </c>
      <c r="Y194" s="256">
        <f>IF(Y$2=Inputs!$G$15,-$F$194,0)</f>
        <v>0</v>
      </c>
      <c r="Z194" s="256">
        <f>IF(Z$2=Inputs!$G$15,-$F$194,0)</f>
        <v>0</v>
      </c>
      <c r="AA194" s="256">
        <f>IF(AA$2=Inputs!$G$15,-$F$194,0)</f>
        <v>0</v>
      </c>
      <c r="AB194" s="256">
        <f>IF(AB$2=Inputs!$G$15,-$F$194,0)</f>
        <v>0</v>
      </c>
      <c r="AC194" s="256">
        <f>IF(AC$2=Inputs!$G$15,-$F$194,0)</f>
        <v>0</v>
      </c>
      <c r="AD194" s="256">
        <f>IF(AD$2=Inputs!$G$15,-$F$194,0)</f>
        <v>0</v>
      </c>
      <c r="AE194" s="256">
        <f>IF(AE$2=Inputs!$G$15,-$F$194,0)</f>
        <v>-80732.066600681384</v>
      </c>
      <c r="AF194" s="256">
        <f>IF(AF$2=Inputs!$G$15,-$F$194,0)</f>
        <v>0</v>
      </c>
      <c r="AG194" s="256">
        <f>IF(AG$2=Inputs!$G$15,-$F$194,0)</f>
        <v>0</v>
      </c>
      <c r="AH194" s="256">
        <f>IF(AH$2=Inputs!$G$15,-$F$194,0)</f>
        <v>0</v>
      </c>
      <c r="AI194" s="256">
        <f>IF(AI$2=Inputs!$G$15,-$F$194,0)</f>
        <v>0</v>
      </c>
      <c r="AJ194" s="256">
        <f>IF(AJ$2=Inputs!$G$15,-$F$194,0)</f>
        <v>0</v>
      </c>
    </row>
    <row r="195" spans="2:36" ht="15.75" x14ac:dyDescent="0.25">
      <c r="B195" s="238" t="s">
        <v>212</v>
      </c>
      <c r="C195" s="238"/>
      <c r="D195" s="238"/>
      <c r="E195" s="260"/>
      <c r="F195" s="277">
        <v>0</v>
      </c>
      <c r="G195" s="256">
        <f>IF(G$2&lt;Inputs!$Q$50,$E$129/(Inputs!$Q$50-1),IF(G$2=Inputs!$Q$50,-($E$129),IF(AND(G$2&gt;Inputs!$Q$50,G$2&lt;Inputs!$Q$52),($E$132)/(Inputs!$Q$52-Inputs!$Q$50-1),IF(G$2=Inputs!$Q$52,-($E$132),0))))</f>
        <v>57444.444444444445</v>
      </c>
      <c r="H195" s="256">
        <f>IF(H$2&lt;Inputs!$Q$50,$E$129/(Inputs!$Q$50-1),IF(H$2=Inputs!$Q$50,-($E$129),IF(AND(H$2&gt;Inputs!$Q$50,H$2&lt;Inputs!$Q$52),($E$132)/(Inputs!$Q$52-Inputs!$Q$50-1),IF(H$2=Inputs!$Q$52,-($E$132),0))))</f>
        <v>57444.444444444445</v>
      </c>
      <c r="I195" s="256">
        <f>IF(I$2&lt;Inputs!$Q$50,$E$129/(Inputs!$Q$50-1),IF(I$2=Inputs!$Q$50,-($E$129),IF(AND(I$2&gt;Inputs!$Q$50,I$2&lt;Inputs!$Q$52),($E$132)/(Inputs!$Q$52-Inputs!$Q$50-1),IF(I$2=Inputs!$Q$52,-($E$132),0))))</f>
        <v>57444.444444444445</v>
      </c>
      <c r="J195" s="256">
        <f>IF(J$2&lt;Inputs!$Q$50,$E$129/(Inputs!$Q$50-1),IF(J$2=Inputs!$Q$50,-($E$129),IF(AND(J$2&gt;Inputs!$Q$50,J$2&lt;Inputs!$Q$52),($E$132)/(Inputs!$Q$52-Inputs!$Q$50-1),IF(J$2=Inputs!$Q$52,-($E$132),0))))</f>
        <v>57444.444444444445</v>
      </c>
      <c r="K195" s="256">
        <f>IF(K$2&lt;Inputs!$Q$50,$E$129/(Inputs!$Q$50-1),IF(K$2=Inputs!$Q$50,-($E$129),IF(AND(K$2&gt;Inputs!$Q$50,K$2&lt;Inputs!$Q$52),($E$132)/(Inputs!$Q$52-Inputs!$Q$50-1),IF(K$2=Inputs!$Q$52,-($E$132),0))))</f>
        <v>57444.444444444445</v>
      </c>
      <c r="L195" s="256">
        <f>IF(L$2&lt;Inputs!$Q$50,$E$129/(Inputs!$Q$50-1),IF(L$2=Inputs!$Q$50,-($E$129),IF(AND(L$2&gt;Inputs!$Q$50,L$2&lt;Inputs!$Q$52),($E$132)/(Inputs!$Q$52-Inputs!$Q$50-1),IF(L$2=Inputs!$Q$52,-($E$132),0))))</f>
        <v>57444.444444444445</v>
      </c>
      <c r="M195" s="256">
        <f>IF(M$2&lt;Inputs!$Q$50,$E$129/(Inputs!$Q$50-1),IF(M$2=Inputs!$Q$50,-($E$129),IF(AND(M$2&gt;Inputs!$Q$50,M$2&lt;Inputs!$Q$52),($E$132)/(Inputs!$Q$52-Inputs!$Q$50-1),IF(M$2=Inputs!$Q$52,-($E$132),0))))</f>
        <v>57444.444444444445</v>
      </c>
      <c r="N195" s="256">
        <f>IF(N$2&lt;Inputs!$Q$50,$E$129/(Inputs!$Q$50-1),IF(N$2=Inputs!$Q$50,-($E$129),IF(AND(N$2&gt;Inputs!$Q$50,N$2&lt;Inputs!$Q$52),($E$132)/(Inputs!$Q$52-Inputs!$Q$50-1),IF(N$2=Inputs!$Q$52,-($E$132),0))))</f>
        <v>57444.444444444445</v>
      </c>
      <c r="O195" s="256">
        <f>IF(O$2&lt;Inputs!$Q$50,$E$129/(Inputs!$Q$50-1),IF(O$2=Inputs!$Q$50,-($E$129),IF(AND(O$2&gt;Inputs!$Q$50,O$2&lt;Inputs!$Q$52),($E$132)/(Inputs!$Q$52-Inputs!$Q$50-1),IF(O$2=Inputs!$Q$52,-($E$132),0))))</f>
        <v>57444.444444444445</v>
      </c>
      <c r="P195" s="256">
        <f>IF(P$2&lt;Inputs!$Q$50,$E$129/(Inputs!$Q$50-1),IF(P$2=Inputs!$Q$50,-($E$129),IF(AND(P$2&gt;Inputs!$Q$50,P$2&lt;Inputs!$Q$52),($E$132)/(Inputs!$Q$52-Inputs!$Q$50-1),IF(P$2=Inputs!$Q$52,-($E$132),0))))</f>
        <v>-517000</v>
      </c>
      <c r="Q195" s="256">
        <f>IF(Q$2&lt;Inputs!$Q$50,$E$129/(Inputs!$Q$50-1),IF(Q$2=Inputs!$Q$50,-($E$129),IF(AND(Q$2&gt;Inputs!$Q$50,Q$2&lt;Inputs!$Q$52),($E$132)/(Inputs!$Q$52-Inputs!$Q$50-1),IF(Q$2=Inputs!$Q$52,-($E$132),0))))</f>
        <v>59888.888888888891</v>
      </c>
      <c r="R195" s="256">
        <f>IF(R$2&lt;Inputs!$Q$50,$E$129/(Inputs!$Q$50-1),IF(R$2=Inputs!$Q$50,-($E$129),IF(AND(R$2&gt;Inputs!$Q$50,R$2&lt;Inputs!$Q$52),($E$132)/(Inputs!$Q$52-Inputs!$Q$50-1),IF(R$2=Inputs!$Q$52,-($E$132),0))))</f>
        <v>59888.888888888891</v>
      </c>
      <c r="S195" s="256">
        <f>IF(S$2&lt;Inputs!$Q$50,$E$129/(Inputs!$Q$50-1),IF(S$2=Inputs!$Q$50,-($E$129),IF(AND(S$2&gt;Inputs!$Q$50,S$2&lt;Inputs!$Q$52),($E$132)/(Inputs!$Q$52-Inputs!$Q$50-1),IF(S$2=Inputs!$Q$52,-($E$132),0))))</f>
        <v>59888.888888888891</v>
      </c>
      <c r="T195" s="256">
        <f>IF(T$2&lt;Inputs!$Q$50,$E$129/(Inputs!$Q$50-1),IF(T$2=Inputs!$Q$50,-($E$129),IF(AND(T$2&gt;Inputs!$Q$50,T$2&lt;Inputs!$Q$52),($E$132)/(Inputs!$Q$52-Inputs!$Q$50-1),IF(T$2=Inputs!$Q$52,-($E$132),0))))</f>
        <v>59888.888888888891</v>
      </c>
      <c r="U195" s="256">
        <f>IF(U$2&lt;Inputs!$Q$50,$E$129/(Inputs!$Q$50-1),IF(U$2=Inputs!$Q$50,-($E$129),IF(AND(U$2&gt;Inputs!$Q$50,U$2&lt;Inputs!$Q$52),($E$132)/(Inputs!$Q$52-Inputs!$Q$50-1),IF(U$2=Inputs!$Q$52,-($E$132),0))))</f>
        <v>59888.888888888891</v>
      </c>
      <c r="V195" s="256">
        <f>IF(V$2&lt;Inputs!$Q$50,$E$129/(Inputs!$Q$50-1),IF(V$2=Inputs!$Q$50,-($E$129),IF(AND(V$2&gt;Inputs!$Q$50,V$2&lt;Inputs!$Q$52),($E$132)/(Inputs!$Q$52-Inputs!$Q$50-1),IF(V$2=Inputs!$Q$52,-($E$132),0))))</f>
        <v>59888.888888888891</v>
      </c>
      <c r="W195" s="256">
        <f>IF(W$2&lt;Inputs!$Q$50,$E$129/(Inputs!$Q$50-1),IF(W$2=Inputs!$Q$50,-($E$129),IF(AND(W$2&gt;Inputs!$Q$50,W$2&lt;Inputs!$Q$52),($E$132)/(Inputs!$Q$52-Inputs!$Q$50-1),IF(W$2=Inputs!$Q$52,-($E$132),0))))</f>
        <v>59888.888888888891</v>
      </c>
      <c r="X195" s="256">
        <f>IF(X$2&lt;Inputs!$Q$50,$E$129/(Inputs!$Q$50-1),IF(X$2=Inputs!$Q$50,-($E$129),IF(AND(X$2&gt;Inputs!$Q$50,X$2&lt;Inputs!$Q$52),($E$132)/(Inputs!$Q$52-Inputs!$Q$50-1),IF(X$2=Inputs!$Q$52,-($E$132),0))))</f>
        <v>59888.888888888891</v>
      </c>
      <c r="Y195" s="256">
        <f>IF(Y$2&lt;Inputs!$Q$50,$E$129/(Inputs!$Q$50-1),IF(Y$2=Inputs!$Q$50,-($E$129),IF(AND(Y$2&gt;Inputs!$Q$50,Y$2&lt;Inputs!$Q$52),($E$132)/(Inputs!$Q$52-Inputs!$Q$50-1),IF(Y$2=Inputs!$Q$52,-($E$132),0))))</f>
        <v>59888.888888888891</v>
      </c>
      <c r="Z195" s="256">
        <f>IF(Z$2&lt;Inputs!$Q$50,$E$129/(Inputs!$Q$50-1),IF(Z$2=Inputs!$Q$50,-($E$129),IF(AND(Z$2&gt;Inputs!$Q$50,Z$2&lt;Inputs!$Q$52),($E$132)/(Inputs!$Q$52-Inputs!$Q$50-1),IF(Z$2=Inputs!$Q$52,-($E$132),0))))</f>
        <v>-539000</v>
      </c>
      <c r="AA195" s="256">
        <f>IF(AA$2&lt;Inputs!$Q$50,$E$129/(Inputs!$Q$50-1),IF(AA$2=Inputs!$Q$50,-($E$129),IF(AND(AA$2&gt;Inputs!$Q$50,AA$2&lt;Inputs!$Q$52),($E$132)/(Inputs!$Q$52-Inputs!$Q$50-1),IF(AA$2=Inputs!$Q$52,-($E$132),0))))</f>
        <v>0</v>
      </c>
      <c r="AB195" s="256">
        <f>IF(AB$2&lt;Inputs!$Q$50,$E$129/(Inputs!$Q$50-1),IF(AB$2=Inputs!$Q$50,-($E$129),IF(AND(AB$2&gt;Inputs!$Q$50,AB$2&lt;Inputs!$Q$52),($E$132)/(Inputs!$Q$52-Inputs!$Q$50-1),IF(AB$2=Inputs!$Q$52,-($E$132),0))))</f>
        <v>0</v>
      </c>
      <c r="AC195" s="256">
        <f>IF(AC$2&lt;Inputs!$Q$50,$E$129/(Inputs!$Q$50-1),IF(AC$2=Inputs!$Q$50,-($E$129),IF(AND(AC$2&gt;Inputs!$Q$50,AC$2&lt;Inputs!$Q$52),($E$132)/(Inputs!$Q$52-Inputs!$Q$50-1),IF(AC$2=Inputs!$Q$52,-($E$132),0))))</f>
        <v>0</v>
      </c>
      <c r="AD195" s="256">
        <f>IF(AD$2&lt;Inputs!$Q$50,$E$129/(Inputs!$Q$50-1),IF(AD$2=Inputs!$Q$50,-($E$129),IF(AND(AD$2&gt;Inputs!$Q$50,AD$2&lt;Inputs!$Q$52),($E$132)/(Inputs!$Q$52-Inputs!$Q$50-1),IF(AD$2=Inputs!$Q$52,-($E$132),0))))</f>
        <v>0</v>
      </c>
      <c r="AE195" s="256">
        <f>IF(AE$2&lt;Inputs!$Q$50,$E$129/(Inputs!$Q$50-1),IF(AE$2=Inputs!$Q$50,-($E$129),IF(AND(AE$2&gt;Inputs!$Q$50,AE$2&lt;Inputs!$Q$52),($E$132)/(Inputs!$Q$52-Inputs!$Q$50-1),IF(AE$2=Inputs!$Q$52,-($E$132),0))))</f>
        <v>0</v>
      </c>
      <c r="AF195" s="256">
        <f>IF(AF$2&lt;Inputs!$Q$50,$E$129/(Inputs!$Q$50-1),IF(AF$2=Inputs!$Q$50,-($E$129),IF(AND(AF$2&gt;Inputs!$Q$50,AF$2&lt;Inputs!$Q$52),($E$132)/(Inputs!$Q$52-Inputs!$Q$50-1),IF(AF$2=Inputs!$Q$52,-($E$132),0))))</f>
        <v>0</v>
      </c>
      <c r="AG195" s="256">
        <f>IF(AG$2&lt;Inputs!$Q$50,$E$129/(Inputs!$Q$50-1),IF(AG$2=Inputs!$Q$50,-($E$129),IF(AND(AG$2&gt;Inputs!$Q$50,AG$2&lt;Inputs!$Q$52),($E$132)/(Inputs!$Q$52-Inputs!$Q$50-1),IF(AG$2=Inputs!$Q$52,-($E$132),0))))</f>
        <v>0</v>
      </c>
      <c r="AH195" s="256">
        <f>IF(AH$2&lt;Inputs!$Q$50,$E$129/(Inputs!$Q$50-1),IF(AH$2=Inputs!$Q$50,-($E$129),IF(AND(AH$2&gt;Inputs!$Q$50,AH$2&lt;Inputs!$Q$52),($E$132)/(Inputs!$Q$52-Inputs!$Q$50-1),IF(AH$2=Inputs!$Q$52,-($E$132),0))))</f>
        <v>0</v>
      </c>
      <c r="AI195" s="256">
        <f>IF(AI$2&lt;Inputs!$Q$50,$E$129/(Inputs!$Q$50-1),IF(AI$2=Inputs!$Q$50,-($E$129),IF(AND(AI$2&gt;Inputs!$Q$50,AI$2&lt;Inputs!$Q$52),($E$132)/(Inputs!$Q$52-Inputs!$Q$50-1),IF(AI$2=Inputs!$Q$52,-($E$132),0))))</f>
        <v>0</v>
      </c>
      <c r="AJ195" s="256">
        <f>IF(AJ$2&lt;Inputs!$Q$50,$E$129/(Inputs!$Q$50-1),IF(AJ$2=Inputs!$Q$50,-($E$129),IF(AND(AJ$2&gt;Inputs!$Q$50,AJ$2&lt;Inputs!$Q$52),($E$132)/(Inputs!$Q$52-Inputs!$Q$50-1),IF(AJ$2=Inputs!$Q$52,-($E$132),0))))</f>
        <v>0</v>
      </c>
    </row>
    <row r="196" spans="2:36" ht="15.75" x14ac:dyDescent="0.25">
      <c r="B196" s="238" t="s">
        <v>47</v>
      </c>
      <c r="C196" s="238"/>
      <c r="D196" s="238"/>
      <c r="E196" s="260"/>
      <c r="F196" s="277">
        <v>0</v>
      </c>
      <c r="G196" s="256">
        <f>IF(OR(G$2&gt;Inputs!$G$15,Inputs!$Q$57="salvage"),0,Inputs!$Q$58/Inputs!$Q$8)</f>
        <v>0</v>
      </c>
      <c r="H196" s="256">
        <f>IF(OR(H$2&gt;Inputs!$G$15,Inputs!$Q$57="salvage"),0,Inputs!$Q$58/Inputs!$Q$8)</f>
        <v>0</v>
      </c>
      <c r="I196" s="256">
        <f>IF(OR(I$2&gt;Inputs!$G$15,Inputs!$Q$57="salvage"),0,Inputs!$Q$58/Inputs!$Q$8)</f>
        <v>0</v>
      </c>
      <c r="J196" s="256">
        <f>IF(OR(J$2&gt;Inputs!$G$15,Inputs!$Q$57="salvage"),0,Inputs!$Q$58/Inputs!$Q$8)</f>
        <v>0</v>
      </c>
      <c r="K196" s="256">
        <f>IF(OR(K$2&gt;Inputs!$G$15,Inputs!$Q$57="salvage"),0,Inputs!$Q$58/Inputs!$Q$8)</f>
        <v>0</v>
      </c>
      <c r="L196" s="256">
        <f>IF(OR(L$2&gt;Inputs!$G$15,Inputs!$Q$57="salvage"),0,Inputs!$Q$58/Inputs!$Q$8)</f>
        <v>0</v>
      </c>
      <c r="M196" s="256">
        <f>IF(OR(M$2&gt;Inputs!$G$15,Inputs!$Q$57="salvage"),0,Inputs!$Q$58/Inputs!$Q$8)</f>
        <v>0</v>
      </c>
      <c r="N196" s="256">
        <f>IF(OR(N$2&gt;Inputs!$G$15,Inputs!$Q$57="salvage"),0,Inputs!$Q$58/Inputs!$Q$8)</f>
        <v>0</v>
      </c>
      <c r="O196" s="256">
        <f>IF(OR(O$2&gt;Inputs!$G$15,Inputs!$Q$57="salvage"),0,Inputs!$Q$58/Inputs!$Q$8)</f>
        <v>0</v>
      </c>
      <c r="P196" s="256">
        <f>IF(OR(P$2&gt;Inputs!$G$15,Inputs!$Q$57="salvage"),0,Inputs!$Q$58/Inputs!$Q$8)</f>
        <v>0</v>
      </c>
      <c r="Q196" s="256">
        <f>IF(OR(Q$2&gt;Inputs!$G$15,Inputs!$Q$57="salvage"),0,Inputs!$Q$58/Inputs!$Q$8)</f>
        <v>0</v>
      </c>
      <c r="R196" s="256">
        <f>IF(OR(R$2&gt;Inputs!$G$15,Inputs!$Q$57="salvage"),0,Inputs!$Q$58/Inputs!$Q$8)</f>
        <v>0</v>
      </c>
      <c r="S196" s="256">
        <f>IF(OR(S$2&gt;Inputs!$G$15,Inputs!$Q$57="salvage"),0,Inputs!$Q$58/Inputs!$Q$8)</f>
        <v>0</v>
      </c>
      <c r="T196" s="256">
        <f>IF(OR(T$2&gt;Inputs!$G$15,Inputs!$Q$57="salvage"),0,Inputs!$Q$58/Inputs!$Q$8)</f>
        <v>0</v>
      </c>
      <c r="U196" s="256">
        <f>IF(OR(U$2&gt;Inputs!$G$15,Inputs!$Q$57="salvage"),0,Inputs!$Q$58/Inputs!$Q$8)</f>
        <v>0</v>
      </c>
      <c r="V196" s="256">
        <f>IF(OR(V$2&gt;Inputs!$G$15,Inputs!$Q$57="salvage"),0,Inputs!$Q$58/Inputs!$Q$8)</f>
        <v>0</v>
      </c>
      <c r="W196" s="256">
        <f>IF(OR(W$2&gt;Inputs!$G$15,Inputs!$Q$57="salvage"),0,Inputs!$Q$58/Inputs!$Q$8)</f>
        <v>0</v>
      </c>
      <c r="X196" s="256">
        <f>IF(OR(X$2&gt;Inputs!$G$15,Inputs!$Q$57="salvage"),0,Inputs!$Q$58/Inputs!$Q$8)</f>
        <v>0</v>
      </c>
      <c r="Y196" s="256">
        <f>IF(OR(Y$2&gt;Inputs!$G$15,Inputs!$Q$57="salvage"),0,Inputs!$Q$58/Inputs!$Q$8)</f>
        <v>0</v>
      </c>
      <c r="Z196" s="256">
        <f>IF(OR(Z$2&gt;Inputs!$G$15,Inputs!$Q$57="salvage"),0,Inputs!$Q$58/Inputs!$Q$8)</f>
        <v>0</v>
      </c>
      <c r="AA196" s="256">
        <f>IF(OR(AA$2&gt;Inputs!$G$15,Inputs!$Q$57="salvage"),0,Inputs!$Q$58/Inputs!$Q$8)</f>
        <v>0</v>
      </c>
      <c r="AB196" s="256">
        <f>IF(OR(AB$2&gt;Inputs!$G$15,Inputs!$Q$57="salvage"),0,Inputs!$Q$58/Inputs!$Q$8)</f>
        <v>0</v>
      </c>
      <c r="AC196" s="256">
        <f>IF(OR(AC$2&gt;Inputs!$G$15,Inputs!$Q$57="salvage"),0,Inputs!$Q$58/Inputs!$Q$8)</f>
        <v>0</v>
      </c>
      <c r="AD196" s="256">
        <f>IF(OR(AD$2&gt;Inputs!$G$15,Inputs!$Q$57="salvage"),0,Inputs!$Q$58/Inputs!$Q$8)</f>
        <v>0</v>
      </c>
      <c r="AE196" s="256">
        <f>IF(OR(AE$2&gt;Inputs!$G$15,Inputs!$Q$57="salvage"),0,Inputs!$Q$58/Inputs!$Q$8)</f>
        <v>0</v>
      </c>
      <c r="AF196" s="256">
        <f>IF(OR(AF$2&gt;Inputs!$G$15,Inputs!$Q$57="salvage"),0,Inputs!$Q$58/Inputs!$Q$8)</f>
        <v>0</v>
      </c>
      <c r="AG196" s="256">
        <f>IF(OR(AG$2&gt;Inputs!$G$15,Inputs!$Q$57="salvage"),0,Inputs!$Q$58/Inputs!$Q$8)</f>
        <v>0</v>
      </c>
      <c r="AH196" s="256">
        <f>IF(OR(AH$2&gt;Inputs!$G$15,Inputs!$Q$57="salvage"),0,Inputs!$Q$58/Inputs!$Q$8)</f>
        <v>0</v>
      </c>
      <c r="AI196" s="256">
        <f>IF(OR(AI$2&gt;Inputs!$G$15,Inputs!$Q$57="salvage"),0,Inputs!$Q$58/Inputs!$Q$8)</f>
        <v>0</v>
      </c>
      <c r="AJ196" s="256">
        <f>IF(OR(AJ$2&gt;Inputs!$G$15,Inputs!$Q$57="salvage"),0,Inputs!$Q$58/Inputs!$Q$8)</f>
        <v>0</v>
      </c>
    </row>
    <row r="197" spans="2:36" ht="15.75" x14ac:dyDescent="0.25">
      <c r="B197" s="221" t="s">
        <v>95</v>
      </c>
      <c r="C197" s="221"/>
      <c r="D197" s="221"/>
      <c r="E197" s="260"/>
      <c r="F197" s="256">
        <f>IF(F$2&gt;Inputs!$G$15,0,SUM(F192:F196))</f>
        <v>203609.77022297902</v>
      </c>
      <c r="G197" s="256">
        <f>IF(G$2&gt;Inputs!$G$15,0,SUM(G192:G196))</f>
        <v>261054.21466742345</v>
      </c>
      <c r="H197" s="256">
        <f>IF(H$2&gt;Inputs!$G$15,0,SUM(H192:H196))</f>
        <v>318498.65911186789</v>
      </c>
      <c r="I197" s="256">
        <f>IF(I$2&gt;Inputs!$G$15,0,SUM(I192:I196))</f>
        <v>375943.10355631233</v>
      </c>
      <c r="J197" s="256">
        <f>IF(J$2&gt;Inputs!$G$15,0,SUM(J192:J196))</f>
        <v>433387.54800075677</v>
      </c>
      <c r="K197" s="256">
        <f>IF(K$2&gt;Inputs!$G$15,0,SUM(K192:K196))</f>
        <v>490831.99244520121</v>
      </c>
      <c r="L197" s="256">
        <f>IF(L$2&gt;Inputs!$G$15,0,SUM(L192:L196))</f>
        <v>548276.43688964564</v>
      </c>
      <c r="M197" s="256">
        <f>IF(M$2&gt;Inputs!$G$15,0,SUM(M192:M196))</f>
        <v>605720.88133409014</v>
      </c>
      <c r="N197" s="256">
        <f>IF(N$2&gt;Inputs!$G$15,0,SUM(N192:N196))</f>
        <v>663165.32577853464</v>
      </c>
      <c r="O197" s="256">
        <f>IF(O$2&gt;Inputs!$G$15,0,SUM(O192:O196))</f>
        <v>720609.77022297913</v>
      </c>
      <c r="P197" s="256">
        <f>IF(P$2&gt;Inputs!$G$15,0,SUM(P192:P196))</f>
        <v>203609.77022297913</v>
      </c>
      <c r="Q197" s="256">
        <f>IF(Q$2&gt;Inputs!$G$15,0,SUM(Q192:Q196))</f>
        <v>263498.65911186801</v>
      </c>
      <c r="R197" s="256">
        <f>IF(R$2&gt;Inputs!$G$15,0,SUM(R192:R196))</f>
        <v>323387.54800075688</v>
      </c>
      <c r="S197" s="256">
        <f>IF(S$2&gt;Inputs!$G$15,0,SUM(S192:S196))</f>
        <v>383276.43688964576</v>
      </c>
      <c r="T197" s="256">
        <f>IF(T$2&gt;Inputs!$G$15,0,SUM(T192:T196))</f>
        <v>443165.32577853464</v>
      </c>
      <c r="U197" s="256">
        <f>IF(U$2&gt;Inputs!$G$15,0,SUM(U192:U196))</f>
        <v>503054.21466742351</v>
      </c>
      <c r="V197" s="256">
        <f>IF(V$2&gt;Inputs!$G$15,0,SUM(V192:V196))</f>
        <v>562943.10355631239</v>
      </c>
      <c r="W197" s="256">
        <f>IF(W$2&gt;Inputs!$G$15,0,SUM(W192:W196))</f>
        <v>622831.99244520126</v>
      </c>
      <c r="X197" s="256">
        <f>IF(X$2&gt;Inputs!$G$15,0,SUM(X192:X196))</f>
        <v>682720.88133409014</v>
      </c>
      <c r="Y197" s="256">
        <f>IF(Y$2&gt;Inputs!$G$15,0,SUM(Y192:Y196))</f>
        <v>619732.0666006814</v>
      </c>
      <c r="Z197" s="256">
        <f>IF(Z$2&gt;Inputs!$G$15,0,SUM(Z192:Z196))</f>
        <v>80732.066600681399</v>
      </c>
      <c r="AA197" s="256">
        <f>IF(AA$2&gt;Inputs!$G$15,0,SUM(AA192:AA196))</f>
        <v>80732.066600681399</v>
      </c>
      <c r="AB197" s="256">
        <f>IF(AB$2&gt;Inputs!$G$15,0,SUM(AB192:AB196))</f>
        <v>80732.066600681399</v>
      </c>
      <c r="AC197" s="256">
        <f>IF(AC$2&gt;Inputs!$G$15,0,SUM(AC192:AC196))</f>
        <v>80732.066600681399</v>
      </c>
      <c r="AD197" s="256">
        <f>IF(AD$2&gt;Inputs!$G$15,0,SUM(AD192:AD196))</f>
        <v>80732.066600681399</v>
      </c>
      <c r="AE197" s="256">
        <f>IF(AE$2&gt;Inputs!$G$15,0,SUM(AE192:AE196))</f>
        <v>1.4551915228366852E-11</v>
      </c>
      <c r="AF197" s="256">
        <f>IF(AF$2&gt;Inputs!$G$15,0,SUM(AF192:AF196))</f>
        <v>0</v>
      </c>
      <c r="AG197" s="256">
        <f>IF(AG$2&gt;Inputs!$G$15,0,SUM(AG192:AG196))</f>
        <v>0</v>
      </c>
      <c r="AH197" s="256">
        <f>IF(AH$2&gt;Inputs!$G$15,0,SUM(AH192:AH196))</f>
        <v>0</v>
      </c>
      <c r="AI197" s="256">
        <f>IF(AI$2&gt;Inputs!$G$15,0,SUM(AI192:AI196))</f>
        <v>0</v>
      </c>
      <c r="AJ197" s="256">
        <f>IF(AJ$2&gt;Inputs!$G$15,0,SUM(AJ192:AJ196))</f>
        <v>0</v>
      </c>
    </row>
    <row r="198" spans="2:36" ht="15.75" x14ac:dyDescent="0.25">
      <c r="B198" s="220"/>
      <c r="C198" s="220"/>
      <c r="D198" s="220"/>
      <c r="E198" s="260"/>
      <c r="F198" s="256"/>
      <c r="G198" s="256"/>
      <c r="H198" s="256"/>
      <c r="I198" s="256"/>
      <c r="J198" s="256"/>
      <c r="K198" s="256"/>
      <c r="L198" s="256"/>
      <c r="M198" s="256"/>
      <c r="N198" s="260"/>
      <c r="O198" s="260"/>
      <c r="P198" s="260"/>
      <c r="Q198" s="260"/>
      <c r="R198" s="260"/>
      <c r="S198" s="260"/>
      <c r="T198" s="260"/>
      <c r="U198" s="260"/>
      <c r="V198" s="260"/>
      <c r="W198" s="260"/>
      <c r="X198" s="260"/>
      <c r="Y198" s="260"/>
      <c r="Z198" s="260"/>
      <c r="AA198" s="260"/>
      <c r="AB198" s="260"/>
      <c r="AC198" s="260"/>
      <c r="AD198" s="260"/>
      <c r="AE198" s="260"/>
      <c r="AF198" s="260"/>
      <c r="AG198" s="260"/>
      <c r="AH198" s="260"/>
      <c r="AI198" s="260"/>
      <c r="AJ198" s="260"/>
    </row>
    <row r="199" spans="2:36" ht="15.75" x14ac:dyDescent="0.25">
      <c r="B199" s="221" t="s">
        <v>208</v>
      </c>
      <c r="C199" s="221"/>
      <c r="D199" s="221"/>
      <c r="E199" s="260"/>
      <c r="F199" s="256"/>
      <c r="G199" s="256">
        <f>AVERAGE(G192,G197)*Inputs!$Q$67</f>
        <v>4646.6398489040248</v>
      </c>
      <c r="H199" s="256">
        <f>AVERAGE(H192,H197)*Inputs!$Q$67</f>
        <v>5795.5287377929126</v>
      </c>
      <c r="I199" s="256">
        <f>AVERAGE(I192,I197)*Inputs!$Q$67</f>
        <v>6944.4176266818031</v>
      </c>
      <c r="J199" s="256">
        <f>AVERAGE(J192,J197)*Inputs!$Q$67</f>
        <v>8093.3065155706909</v>
      </c>
      <c r="K199" s="256">
        <f>AVERAGE(K192,K197)*Inputs!$Q$67</f>
        <v>9242.1954044595805</v>
      </c>
      <c r="L199" s="256">
        <f>AVERAGE(L192,L197)*Inputs!$Q$67</f>
        <v>10391.084293348467</v>
      </c>
      <c r="M199" s="256">
        <f>AVERAGE(M192,M197)*Inputs!$Q$67</f>
        <v>11539.973182237358</v>
      </c>
      <c r="N199" s="256">
        <f>AVERAGE(N192,N197)*Inputs!$Q$67</f>
        <v>12688.862071126248</v>
      </c>
      <c r="O199" s="256">
        <f>AVERAGE(O192,O197)*Inputs!$Q$67</f>
        <v>13837.750960015139</v>
      </c>
      <c r="P199" s="256">
        <f>AVERAGE(P192,P197)*Inputs!$Q$67</f>
        <v>9242.1954044595823</v>
      </c>
      <c r="Q199" s="256">
        <f>AVERAGE(Q192,Q197)*Inputs!$Q$67</f>
        <v>4671.0842933484719</v>
      </c>
      <c r="R199" s="256">
        <f>AVERAGE(R192,R197)*Inputs!$Q$67</f>
        <v>5868.8620711262492</v>
      </c>
      <c r="S199" s="256">
        <f>AVERAGE(S192,S197)*Inputs!$Q$67</f>
        <v>7066.6398489040266</v>
      </c>
      <c r="T199" s="256">
        <f>AVERAGE(T192,T197)*Inputs!$Q$67</f>
        <v>8264.4176266818049</v>
      </c>
      <c r="U199" s="256">
        <f>AVERAGE(U192,U197)*Inputs!$Q$67</f>
        <v>9462.1954044595823</v>
      </c>
      <c r="V199" s="256">
        <f>AVERAGE(V192,V197)*Inputs!$Q$67</f>
        <v>10659.973182237358</v>
      </c>
      <c r="W199" s="256">
        <f>AVERAGE(W192,W197)*Inputs!$Q$67</f>
        <v>11857.750960015137</v>
      </c>
      <c r="X199" s="256">
        <f>AVERAGE(X192,X197)*Inputs!$Q$67</f>
        <v>13055.528737792913</v>
      </c>
      <c r="Y199" s="256">
        <f>AVERAGE(Y192,Y197)*Inputs!$Q$67</f>
        <v>13024.529479347715</v>
      </c>
      <c r="Z199" s="256">
        <f>AVERAGE(Z192,Z197)*Inputs!$Q$67</f>
        <v>7004.641332013628</v>
      </c>
      <c r="AA199" s="256">
        <f>AVERAGE(AA192,AA197)*Inputs!$Q$67</f>
        <v>1614.641332013628</v>
      </c>
      <c r="AB199" s="256">
        <f>AVERAGE(AB192,AB197)*Inputs!$Q$67</f>
        <v>1614.641332013628</v>
      </c>
      <c r="AC199" s="256">
        <f>AVERAGE(AC192,AC197)*Inputs!$Q$67</f>
        <v>1614.641332013628</v>
      </c>
      <c r="AD199" s="256">
        <f>AVERAGE(AD192,AD197)*Inputs!$Q$67</f>
        <v>1614.641332013628</v>
      </c>
      <c r="AE199" s="256">
        <f>AVERAGE(AE192,AE197)*Inputs!$Q$67</f>
        <v>807.32066600681412</v>
      </c>
      <c r="AF199" s="256">
        <f>AVERAGE(AF192,AF197)*Inputs!$Q$67</f>
        <v>1.4551915228366852E-13</v>
      </c>
      <c r="AG199" s="256">
        <f>AVERAGE(AG192,AG197)*Inputs!$Q$67</f>
        <v>0</v>
      </c>
      <c r="AH199" s="256">
        <f>AVERAGE(AH192,AH197)*Inputs!$Q$67</f>
        <v>0</v>
      </c>
      <c r="AI199" s="256">
        <f>AVERAGE(AI192,AI197)*Inputs!$Q$67</f>
        <v>0</v>
      </c>
      <c r="AJ199" s="256">
        <f>AVERAGE(AJ192,AJ197)*Inputs!$Q$67</f>
        <v>0</v>
      </c>
    </row>
    <row r="200" spans="2:36" ht="15.75" x14ac:dyDescent="0.25">
      <c r="B200" s="221" t="s">
        <v>209</v>
      </c>
      <c r="C200" s="221"/>
      <c r="D200" s="221"/>
      <c r="E200" s="260"/>
      <c r="F200" s="260"/>
      <c r="G200" s="256">
        <f>SUM(G193:G196)</f>
        <v>57444.444444444445</v>
      </c>
      <c r="H200" s="256">
        <f t="shared" ref="H200:AJ200" si="59">SUM(H193:H196)</f>
        <v>57444.444444444445</v>
      </c>
      <c r="I200" s="256">
        <f t="shared" si="59"/>
        <v>57444.444444444445</v>
      </c>
      <c r="J200" s="256">
        <f t="shared" si="59"/>
        <v>57444.444444444445</v>
      </c>
      <c r="K200" s="256">
        <f t="shared" si="59"/>
        <v>57444.444444444445</v>
      </c>
      <c r="L200" s="256">
        <f t="shared" si="59"/>
        <v>57444.444444444445</v>
      </c>
      <c r="M200" s="256">
        <f t="shared" si="59"/>
        <v>57444.444444444445</v>
      </c>
      <c r="N200" s="256">
        <f t="shared" si="59"/>
        <v>57444.444444444445</v>
      </c>
      <c r="O200" s="256">
        <f t="shared" si="59"/>
        <v>57444.444444444445</v>
      </c>
      <c r="P200" s="256">
        <f t="shared" si="59"/>
        <v>-517000</v>
      </c>
      <c r="Q200" s="256">
        <f t="shared" si="59"/>
        <v>59888.888888888891</v>
      </c>
      <c r="R200" s="256">
        <f t="shared" si="59"/>
        <v>59888.888888888891</v>
      </c>
      <c r="S200" s="256">
        <f t="shared" si="59"/>
        <v>59888.888888888891</v>
      </c>
      <c r="T200" s="256">
        <f t="shared" si="59"/>
        <v>59888.888888888891</v>
      </c>
      <c r="U200" s="256">
        <f t="shared" si="59"/>
        <v>59888.888888888891</v>
      </c>
      <c r="V200" s="256">
        <f t="shared" si="59"/>
        <v>59888.888888888891</v>
      </c>
      <c r="W200" s="256">
        <f t="shared" si="59"/>
        <v>59888.888888888891</v>
      </c>
      <c r="X200" s="256">
        <f t="shared" si="59"/>
        <v>59888.888888888891</v>
      </c>
      <c r="Y200" s="256">
        <f t="shared" si="59"/>
        <v>-62988.814733408726</v>
      </c>
      <c r="Z200" s="256">
        <f t="shared" si="59"/>
        <v>-539000</v>
      </c>
      <c r="AA200" s="256">
        <f t="shared" si="59"/>
        <v>0</v>
      </c>
      <c r="AB200" s="256">
        <f t="shared" si="59"/>
        <v>0</v>
      </c>
      <c r="AC200" s="256">
        <f t="shared" si="59"/>
        <v>0</v>
      </c>
      <c r="AD200" s="256">
        <f t="shared" si="59"/>
        <v>0</v>
      </c>
      <c r="AE200" s="256">
        <f t="shared" si="59"/>
        <v>-80732.066600681384</v>
      </c>
      <c r="AF200" s="256">
        <f t="shared" si="59"/>
        <v>0</v>
      </c>
      <c r="AG200" s="256">
        <f t="shared" si="59"/>
        <v>0</v>
      </c>
      <c r="AH200" s="256">
        <f t="shared" si="59"/>
        <v>0</v>
      </c>
      <c r="AI200" s="256">
        <f t="shared" si="59"/>
        <v>0</v>
      </c>
      <c r="AJ200" s="256">
        <f t="shared" si="59"/>
        <v>0</v>
      </c>
    </row>
    <row r="201" spans="2:36" ht="16.5" thickBot="1" x14ac:dyDescent="0.3">
      <c r="B201" s="261"/>
      <c r="C201" s="261"/>
      <c r="D201" s="261"/>
      <c r="E201" s="262"/>
      <c r="F201" s="263"/>
      <c r="G201" s="263"/>
      <c r="H201" s="263"/>
      <c r="I201" s="263"/>
      <c r="J201" s="263"/>
      <c r="K201" s="263"/>
      <c r="L201" s="263"/>
      <c r="M201" s="263"/>
      <c r="N201" s="263"/>
      <c r="O201" s="263"/>
      <c r="P201" s="263"/>
      <c r="Q201" s="263"/>
      <c r="R201" s="263"/>
      <c r="S201" s="263"/>
      <c r="T201" s="263"/>
      <c r="U201" s="263"/>
      <c r="V201" s="263"/>
      <c r="W201" s="263"/>
      <c r="X201" s="263"/>
      <c r="Y201" s="263"/>
      <c r="Z201" s="263"/>
      <c r="AA201" s="263"/>
      <c r="AB201" s="263"/>
      <c r="AC201" s="263"/>
      <c r="AD201" s="263"/>
      <c r="AE201" s="263"/>
      <c r="AF201" s="263"/>
      <c r="AG201" s="263"/>
      <c r="AH201" s="263"/>
      <c r="AI201" s="263"/>
      <c r="AJ201" s="263"/>
    </row>
    <row r="202" spans="2:36" ht="15.75" x14ac:dyDescent="0.25">
      <c r="B202" s="254"/>
      <c r="C202" s="254"/>
      <c r="D202" s="254"/>
      <c r="E202" s="260"/>
      <c r="F202" s="256"/>
      <c r="G202" s="367"/>
      <c r="H202" s="256"/>
      <c r="I202" s="256"/>
      <c r="J202" s="256"/>
      <c r="K202" s="256"/>
      <c r="L202" s="256"/>
      <c r="M202" s="256"/>
      <c r="N202" s="256"/>
      <c r="O202" s="256"/>
      <c r="P202" s="256"/>
      <c r="Q202" s="256"/>
      <c r="R202" s="256"/>
      <c r="S202" s="256"/>
      <c r="T202" s="256"/>
      <c r="U202" s="256"/>
      <c r="V202" s="256"/>
      <c r="W202" s="256"/>
      <c r="X202" s="256"/>
      <c r="Y202" s="256"/>
      <c r="Z202" s="256"/>
      <c r="AA202" s="256"/>
      <c r="AB202" s="256"/>
      <c r="AC202" s="256"/>
      <c r="AD202" s="256"/>
      <c r="AE202" s="256"/>
      <c r="AF202" s="256"/>
      <c r="AG202" s="256"/>
      <c r="AH202" s="256"/>
      <c r="AI202" s="256"/>
      <c r="AJ202" s="256"/>
    </row>
    <row r="203" spans="2:36" ht="15.75" x14ac:dyDescent="0.25">
      <c r="B203" s="373" t="s">
        <v>295</v>
      </c>
      <c r="C203" s="373"/>
      <c r="D203" s="373"/>
      <c r="E203" s="260"/>
      <c r="F203" s="256"/>
      <c r="G203" s="368" t="s">
        <v>296</v>
      </c>
      <c r="H203" s="256"/>
      <c r="I203" s="256"/>
      <c r="J203" s="260"/>
      <c r="K203" s="368" t="s">
        <v>296</v>
      </c>
      <c r="L203" s="256"/>
      <c r="M203" s="256"/>
      <c r="N203" s="260"/>
      <c r="O203" s="368" t="s">
        <v>296</v>
      </c>
      <c r="P203" s="256"/>
      <c r="Q203" s="256"/>
      <c r="R203" s="368" t="s">
        <v>298</v>
      </c>
      <c r="S203" s="368" t="s">
        <v>299</v>
      </c>
      <c r="T203" s="260"/>
      <c r="U203" s="260"/>
      <c r="V203" s="256"/>
      <c r="W203" s="256"/>
      <c r="X203" s="256"/>
      <c r="Y203" s="256"/>
      <c r="Z203" s="256"/>
      <c r="AA203" s="256"/>
      <c r="AB203" s="256"/>
      <c r="AC203" s="256"/>
      <c r="AD203" s="256"/>
      <c r="AE203" s="256"/>
      <c r="AF203" s="256"/>
      <c r="AG203" s="256"/>
      <c r="AH203" s="256"/>
      <c r="AI203" s="256"/>
      <c r="AJ203" s="256"/>
    </row>
    <row r="204" spans="2:36" ht="15.75" x14ac:dyDescent="0.25">
      <c r="B204" s="254" t="s">
        <v>300</v>
      </c>
      <c r="C204" s="254"/>
      <c r="D204" s="254"/>
      <c r="E204" s="260"/>
      <c r="F204" s="256"/>
      <c r="G204" s="256">
        <f>$D$72</f>
        <v>-7270.0642853749205</v>
      </c>
      <c r="H204" s="256"/>
      <c r="I204" s="256"/>
      <c r="J204" s="260"/>
      <c r="K204" s="256">
        <f>$D$72</f>
        <v>-7270.0642853749205</v>
      </c>
      <c r="L204" s="256"/>
      <c r="M204" s="256"/>
      <c r="N204" s="260"/>
      <c r="O204" s="256">
        <f>$D$72</f>
        <v>-7270.0642853749205</v>
      </c>
      <c r="P204" s="256"/>
      <c r="Q204" s="256"/>
      <c r="R204" s="369">
        <f>LOOKUP(MIN($P$205:$P$215),$O$205:$O$215,$N$205:$N$215)</f>
        <v>27.800000000000011</v>
      </c>
      <c r="S204" s="369">
        <f>LOOKUP(MAX($Q$205:$Q$215),$O$205:$O$215,$N$205:$N$215)</f>
        <v>27.900000000000013</v>
      </c>
      <c r="T204" s="409"/>
      <c r="U204" s="260"/>
      <c r="V204" s="256"/>
      <c r="W204" s="256"/>
      <c r="X204" s="256"/>
      <c r="Y204" s="256"/>
      <c r="Z204" s="256"/>
      <c r="AA204" s="256"/>
      <c r="AB204" s="256"/>
      <c r="AC204" s="256"/>
      <c r="AD204" s="256"/>
      <c r="AE204" s="256"/>
      <c r="AF204" s="256"/>
      <c r="AG204" s="256"/>
      <c r="AH204" s="256"/>
      <c r="AI204" s="256"/>
      <c r="AJ204" s="256"/>
    </row>
    <row r="205" spans="2:36" ht="15.75" x14ac:dyDescent="0.25">
      <c r="B205" s="254"/>
      <c r="C205" s="254"/>
      <c r="D205" s="254"/>
      <c r="E205" s="260"/>
      <c r="F205" s="370">
        <v>0</v>
      </c>
      <c r="G205" s="256">
        <f t="dataTable" ref="G205:G215" dt2D="0" dtr="0" r1="G72"/>
        <v>-5177161.6825795826</v>
      </c>
      <c r="H205" s="256"/>
      <c r="I205" s="256"/>
      <c r="J205" s="371">
        <f>LOOKUP(MIN($H$205:$H$215),$G$205:$G$215,$F$205:$F$215)</f>
        <v>20</v>
      </c>
      <c r="K205" s="256">
        <f t="dataTable" ref="K205:K215" dt2D="0" dtr="0" r1="G72" ca="1"/>
        <v>-1281232.1017820097</v>
      </c>
      <c r="L205" s="256"/>
      <c r="M205" s="256"/>
      <c r="N205" s="371">
        <f>LOOKUP(MIN($L$205:$L$215),$K$205:$K$215,$J$205:$J$215)</f>
        <v>27</v>
      </c>
      <c r="O205" s="256">
        <f t="dataTable" ref="O205:O215" dt2D="0" dtr="0" r1="G72" ca="1"/>
        <v>-138267.87529425096</v>
      </c>
      <c r="P205" s="256"/>
      <c r="Q205" s="256"/>
      <c r="R205" s="256"/>
      <c r="S205" s="256"/>
      <c r="T205" s="256"/>
      <c r="U205" s="256"/>
      <c r="V205" s="256"/>
      <c r="W205" s="256"/>
      <c r="X205" s="256"/>
      <c r="Y205" s="256"/>
      <c r="Z205" s="256"/>
      <c r="AA205" s="256"/>
      <c r="AB205" s="256"/>
      <c r="AC205" s="256"/>
      <c r="AD205" s="256"/>
      <c r="AE205" s="256"/>
      <c r="AF205" s="256"/>
      <c r="AG205" s="256"/>
      <c r="AH205" s="256"/>
      <c r="AI205" s="256"/>
      <c r="AJ205" s="256"/>
    </row>
    <row r="206" spans="2:36" ht="15.75" x14ac:dyDescent="0.25">
      <c r="B206" s="260"/>
      <c r="C206" s="260"/>
      <c r="D206" s="260"/>
      <c r="E206" s="260"/>
      <c r="F206" s="370">
        <v>10</v>
      </c>
      <c r="G206" s="256">
        <v>-3187726.3465889385</v>
      </c>
      <c r="H206" s="256" t="str">
        <f t="shared" ref="H206:H215" si="60">IF(AND($G206&lt;0,$G207&gt;0),$G206,"")</f>
        <v/>
      </c>
      <c r="I206" s="256" t="str">
        <f t="shared" ref="I206:I215" si="61">IF(AND($G206&gt;0,$G205&lt;0),$G206,"")</f>
        <v/>
      </c>
      <c r="J206" s="371">
        <f>J205+1</f>
        <v>21</v>
      </c>
      <c r="K206" s="256">
        <v>-1109975.8275061804</v>
      </c>
      <c r="L206" s="256" t="str">
        <f t="shared" ref="L206:L215" si="62">IF(AND($K206&lt;0,$K207&gt;0),$K206,"")</f>
        <v/>
      </c>
      <c r="M206" s="256" t="str">
        <f t="shared" ref="M206:M215" si="63">IF(AND($K206&gt;0,$K205&lt;0),$K206,"")</f>
        <v/>
      </c>
      <c r="N206" s="371">
        <f>N205+0.1</f>
        <v>27.1</v>
      </c>
      <c r="O206" s="256">
        <v>-122856.36811661471</v>
      </c>
      <c r="P206" s="256" t="str">
        <f>IF(AND($O206&lt;0,$O207&gt;0),$O206,"")</f>
        <v/>
      </c>
      <c r="Q206" s="256" t="str">
        <f>IF(AND($O206&gt;0,$O205&lt;0),$O206,"")</f>
        <v/>
      </c>
      <c r="R206" s="256"/>
      <c r="S206" s="256"/>
      <c r="T206" s="256"/>
      <c r="U206" s="256"/>
      <c r="V206" s="256"/>
      <c r="W206" s="256"/>
      <c r="X206" s="256"/>
      <c r="Y206" s="256"/>
      <c r="Z206" s="256"/>
      <c r="AA206" s="256"/>
      <c r="AB206" s="256"/>
      <c r="AC206" s="256"/>
      <c r="AD206" s="256"/>
      <c r="AE206" s="256"/>
      <c r="AF206" s="256"/>
      <c r="AG206" s="256"/>
      <c r="AH206" s="256"/>
      <c r="AI206" s="256"/>
      <c r="AJ206" s="256"/>
    </row>
    <row r="207" spans="2:36" ht="15.75" x14ac:dyDescent="0.25">
      <c r="B207" s="260"/>
      <c r="C207" s="260"/>
      <c r="D207" s="260"/>
      <c r="E207" s="260"/>
      <c r="F207" s="370">
        <v>20</v>
      </c>
      <c r="G207" s="256">
        <v>-1281232.1017820097</v>
      </c>
      <c r="H207" s="256">
        <f t="shared" si="60"/>
        <v>-1281232.1017820097</v>
      </c>
      <c r="I207" s="256" t="str">
        <f t="shared" si="61"/>
        <v/>
      </c>
      <c r="J207" s="371">
        <f t="shared" ref="J207:J214" si="64">J206+1</f>
        <v>22</v>
      </c>
      <c r="K207" s="256">
        <v>-941646.37254646153</v>
      </c>
      <c r="L207" s="256" t="str">
        <f t="shared" si="62"/>
        <v/>
      </c>
      <c r="M207" s="256" t="str">
        <f t="shared" si="63"/>
        <v/>
      </c>
      <c r="N207" s="371">
        <f t="shared" ref="N207:N214" si="65">N206+0.1</f>
        <v>27.200000000000003</v>
      </c>
      <c r="O207" s="256">
        <v>-107444.86093901089</v>
      </c>
      <c r="P207" s="256" t="str">
        <f t="shared" ref="P207:P215" si="66">IF(AND($O207&lt;0,$O208&gt;0),$O207,"")</f>
        <v/>
      </c>
      <c r="Q207" s="256" t="str">
        <f t="shared" ref="Q207:Q215" si="67">IF(AND($O207&gt;0,$O206&lt;0),$O207,"")</f>
        <v/>
      </c>
      <c r="R207" s="256"/>
      <c r="S207" s="256"/>
      <c r="T207" s="256"/>
      <c r="U207" s="256"/>
      <c r="V207" s="256"/>
      <c r="W207" s="256"/>
      <c r="X207" s="256"/>
      <c r="Y207" s="256"/>
      <c r="Z207" s="256"/>
      <c r="AA207" s="256"/>
      <c r="AB207" s="256"/>
      <c r="AC207" s="256"/>
      <c r="AD207" s="256"/>
      <c r="AE207" s="256"/>
      <c r="AF207" s="256"/>
      <c r="AG207" s="256"/>
      <c r="AH207" s="256"/>
      <c r="AI207" s="256"/>
      <c r="AJ207" s="256"/>
    </row>
    <row r="208" spans="2:36" ht="15.75" x14ac:dyDescent="0.25">
      <c r="B208" s="260"/>
      <c r="C208" s="260"/>
      <c r="D208" s="260"/>
      <c r="E208" s="260"/>
      <c r="F208" s="370">
        <v>30</v>
      </c>
      <c r="G208" s="256">
        <v>315016.97177745838</v>
      </c>
      <c r="H208" s="256" t="str">
        <f t="shared" si="60"/>
        <v/>
      </c>
      <c r="I208" s="256">
        <f t="shared" si="61"/>
        <v>315016.97177745838</v>
      </c>
      <c r="J208" s="371">
        <f t="shared" si="64"/>
        <v>23</v>
      </c>
      <c r="K208" s="256">
        <v>-776006.32189445314</v>
      </c>
      <c r="L208" s="256" t="str">
        <f t="shared" si="62"/>
        <v/>
      </c>
      <c r="M208" s="256" t="str">
        <f t="shared" si="63"/>
        <v/>
      </c>
      <c r="N208" s="371">
        <f t="shared" si="65"/>
        <v>27.300000000000004</v>
      </c>
      <c r="O208" s="256">
        <v>-92033.353761438717</v>
      </c>
      <c r="P208" s="256" t="str">
        <f t="shared" si="66"/>
        <v/>
      </c>
      <c r="Q208" s="256" t="str">
        <f t="shared" si="67"/>
        <v/>
      </c>
      <c r="R208" s="256"/>
      <c r="S208" s="256"/>
      <c r="T208" s="256"/>
      <c r="U208" s="256"/>
      <c r="V208" s="256"/>
      <c r="W208" s="256"/>
      <c r="X208" s="256"/>
      <c r="Y208" s="256"/>
      <c r="Z208" s="256"/>
      <c r="AA208" s="256"/>
      <c r="AB208" s="256"/>
      <c r="AC208" s="256"/>
      <c r="AD208" s="256"/>
      <c r="AE208" s="256"/>
      <c r="AF208" s="256"/>
      <c r="AG208" s="256"/>
      <c r="AH208" s="256"/>
      <c r="AI208" s="256"/>
      <c r="AJ208" s="256"/>
    </row>
    <row r="209" spans="2:36" ht="15.75" x14ac:dyDescent="0.25">
      <c r="B209" s="260"/>
      <c r="C209" s="260"/>
      <c r="D209" s="260"/>
      <c r="E209" s="260"/>
      <c r="F209" s="370">
        <v>40</v>
      </c>
      <c r="G209" s="256">
        <v>1699186.9630421554</v>
      </c>
      <c r="H209" s="256" t="str">
        <f t="shared" si="60"/>
        <v/>
      </c>
      <c r="I209" s="256" t="str">
        <f t="shared" si="61"/>
        <v/>
      </c>
      <c r="J209" s="371">
        <f t="shared" si="64"/>
        <v>24</v>
      </c>
      <c r="K209" s="256">
        <v>-612795.34441007138</v>
      </c>
      <c r="L209" s="256" t="str">
        <f t="shared" si="62"/>
        <v/>
      </c>
      <c r="M209" s="256" t="str">
        <f t="shared" si="63"/>
        <v/>
      </c>
      <c r="N209" s="371">
        <f t="shared" si="65"/>
        <v>27.400000000000006</v>
      </c>
      <c r="O209" s="256">
        <v>-76621.846583900406</v>
      </c>
      <c r="P209" s="256" t="str">
        <f t="shared" si="66"/>
        <v/>
      </c>
      <c r="Q209" s="256" t="str">
        <f t="shared" si="67"/>
        <v/>
      </c>
      <c r="R209" s="256"/>
      <c r="S209" s="256"/>
      <c r="T209" s="256"/>
      <c r="U209" s="256"/>
      <c r="V209" s="256"/>
      <c r="W209" s="256"/>
      <c r="X209" s="256"/>
      <c r="Y209" s="256"/>
      <c r="Z209" s="256"/>
      <c r="AA209" s="256"/>
      <c r="AB209" s="256"/>
      <c r="AC209" s="256"/>
      <c r="AD209" s="256"/>
      <c r="AE209" s="256"/>
      <c r="AF209" s="256"/>
      <c r="AG209" s="256"/>
      <c r="AH209" s="256"/>
      <c r="AI209" s="256"/>
      <c r="AJ209" s="256"/>
    </row>
    <row r="210" spans="2:36" ht="15.75" x14ac:dyDescent="0.25">
      <c r="B210" s="260"/>
      <c r="C210" s="260"/>
      <c r="D210" s="260"/>
      <c r="E210" s="260"/>
      <c r="F210" s="370">
        <v>50</v>
      </c>
      <c r="G210" s="256">
        <v>2983952.0083913617</v>
      </c>
      <c r="H210" s="256" t="str">
        <f t="shared" si="60"/>
        <v/>
      </c>
      <c r="I210" s="256" t="str">
        <f t="shared" si="61"/>
        <v/>
      </c>
      <c r="J210" s="371">
        <f t="shared" si="64"/>
        <v>25</v>
      </c>
      <c r="K210" s="256">
        <v>-452085.3858553106</v>
      </c>
      <c r="L210" s="256" t="str">
        <f t="shared" si="62"/>
        <v/>
      </c>
      <c r="M210" s="256" t="str">
        <f t="shared" si="63"/>
        <v/>
      </c>
      <c r="N210" s="371">
        <f t="shared" si="65"/>
        <v>27.500000000000007</v>
      </c>
      <c r="O210" s="256">
        <v>-61210.339406393432</v>
      </c>
      <c r="P210" s="256" t="str">
        <f t="shared" si="66"/>
        <v/>
      </c>
      <c r="Q210" s="256" t="str">
        <f t="shared" si="67"/>
        <v/>
      </c>
      <c r="R210" s="256"/>
      <c r="S210" s="256"/>
      <c r="T210" s="256"/>
      <c r="U210" s="256"/>
      <c r="V210" s="256"/>
      <c r="W210" s="256"/>
      <c r="X210" s="256"/>
      <c r="Y210" s="256"/>
      <c r="Z210" s="256"/>
      <c r="AA210" s="256"/>
      <c r="AB210" s="256"/>
      <c r="AC210" s="256"/>
      <c r="AD210" s="256"/>
      <c r="AE210" s="256"/>
      <c r="AF210" s="256"/>
      <c r="AG210" s="256"/>
      <c r="AH210" s="256"/>
      <c r="AI210" s="256"/>
      <c r="AJ210" s="256"/>
    </row>
    <row r="211" spans="2:36" ht="15.75" x14ac:dyDescent="0.25">
      <c r="B211" s="260"/>
      <c r="C211" s="260"/>
      <c r="D211" s="260"/>
      <c r="E211" s="260"/>
      <c r="F211" s="370">
        <v>60</v>
      </c>
      <c r="G211" s="256">
        <v>4221078.6473310171</v>
      </c>
      <c r="H211" s="256" t="str">
        <f t="shared" si="60"/>
        <v/>
      </c>
      <c r="I211" s="256" t="str">
        <f t="shared" si="61"/>
        <v/>
      </c>
      <c r="J211" s="371">
        <f t="shared" si="64"/>
        <v>26</v>
      </c>
      <c r="K211" s="256">
        <v>-294090.97429962375</v>
      </c>
      <c r="L211" s="256" t="str">
        <f t="shared" si="62"/>
        <v/>
      </c>
      <c r="M211" s="256" t="str">
        <f t="shared" si="63"/>
        <v/>
      </c>
      <c r="N211" s="371">
        <f t="shared" si="65"/>
        <v>27.600000000000009</v>
      </c>
      <c r="O211" s="256">
        <v>-45798.832228919469</v>
      </c>
      <c r="P211" s="256" t="str">
        <f t="shared" si="66"/>
        <v/>
      </c>
      <c r="Q211" s="256" t="str">
        <f t="shared" si="67"/>
        <v/>
      </c>
      <c r="R211" s="256"/>
      <c r="S211" s="256"/>
      <c r="T211" s="256"/>
      <c r="U211" s="256"/>
      <c r="V211" s="256"/>
      <c r="W211" s="256"/>
      <c r="X211" s="256"/>
      <c r="Y211" s="256"/>
      <c r="Z211" s="256"/>
      <c r="AA211" s="256"/>
      <c r="AB211" s="256"/>
      <c r="AC211" s="256"/>
      <c r="AD211" s="256"/>
      <c r="AE211" s="256"/>
      <c r="AF211" s="256"/>
      <c r="AG211" s="256"/>
      <c r="AH211" s="256"/>
      <c r="AI211" s="256"/>
      <c r="AJ211" s="256"/>
    </row>
    <row r="212" spans="2:36" ht="15.75" x14ac:dyDescent="0.25">
      <c r="B212" s="260"/>
      <c r="C212" s="260"/>
      <c r="D212" s="260"/>
      <c r="E212" s="260"/>
      <c r="F212" s="370">
        <v>70</v>
      </c>
      <c r="G212" s="256">
        <v>5439413.2987267366</v>
      </c>
      <c r="H212" s="256" t="str">
        <f t="shared" si="60"/>
        <v/>
      </c>
      <c r="I212" s="256" t="str">
        <f t="shared" si="61"/>
        <v/>
      </c>
      <c r="J212" s="371">
        <f t="shared" si="64"/>
        <v>27</v>
      </c>
      <c r="K212" s="256">
        <v>-138267.87529425096</v>
      </c>
      <c r="L212" s="256">
        <f t="shared" si="62"/>
        <v>-138267.87529425096</v>
      </c>
      <c r="M212" s="256" t="str">
        <f t="shared" si="63"/>
        <v/>
      </c>
      <c r="N212" s="371">
        <f t="shared" si="65"/>
        <v>27.70000000000001</v>
      </c>
      <c r="O212" s="256">
        <v>-30387.325051477877</v>
      </c>
      <c r="P212" s="256" t="str">
        <f t="shared" si="66"/>
        <v/>
      </c>
      <c r="Q212" s="256" t="str">
        <f t="shared" si="67"/>
        <v/>
      </c>
      <c r="R212" s="256"/>
      <c r="S212" s="256"/>
      <c r="T212" s="256"/>
      <c r="U212" s="256"/>
      <c r="V212" s="256"/>
      <c r="W212" s="256"/>
      <c r="X212" s="256"/>
      <c r="Y212" s="256"/>
      <c r="Z212" s="256"/>
      <c r="AA212" s="256"/>
      <c r="AB212" s="256"/>
      <c r="AC212" s="256"/>
      <c r="AD212" s="256"/>
      <c r="AE212" s="256"/>
      <c r="AF212" s="256"/>
      <c r="AG212" s="256"/>
      <c r="AH212" s="256"/>
      <c r="AI212" s="256"/>
      <c r="AJ212" s="256"/>
    </row>
    <row r="213" spans="2:36" ht="15.75" x14ac:dyDescent="0.25">
      <c r="B213" s="260"/>
      <c r="C213" s="260"/>
      <c r="D213" s="260"/>
      <c r="E213" s="260"/>
      <c r="F213" s="370">
        <v>80</v>
      </c>
      <c r="G213" s="256">
        <v>6638198.6118676411</v>
      </c>
      <c r="H213" s="256" t="str">
        <f t="shared" si="60"/>
        <v/>
      </c>
      <c r="I213" s="256" t="str">
        <f t="shared" si="61"/>
        <v/>
      </c>
      <c r="J213" s="371">
        <f t="shared" si="64"/>
        <v>28</v>
      </c>
      <c r="K213" s="256">
        <v>15847.196480652046</v>
      </c>
      <c r="L213" s="256" t="str">
        <f t="shared" si="62"/>
        <v/>
      </c>
      <c r="M213" s="256">
        <f t="shared" si="63"/>
        <v>15847.196480652046</v>
      </c>
      <c r="N213" s="371">
        <f t="shared" si="65"/>
        <v>27.800000000000011</v>
      </c>
      <c r="O213" s="256">
        <v>-14975.817874068409</v>
      </c>
      <c r="P213" s="256">
        <f t="shared" si="66"/>
        <v>-14975.817874068409</v>
      </c>
      <c r="Q213" s="256" t="str">
        <f t="shared" si="67"/>
        <v/>
      </c>
      <c r="R213" s="256"/>
      <c r="S213" s="256"/>
      <c r="T213" s="256"/>
      <c r="U213" s="256"/>
      <c r="V213" s="256"/>
      <c r="W213" s="256"/>
      <c r="X213" s="256"/>
      <c r="Y213" s="256"/>
      <c r="Z213" s="256"/>
      <c r="AA213" s="256"/>
      <c r="AB213" s="256"/>
      <c r="AC213" s="256"/>
      <c r="AD213" s="256"/>
      <c r="AE213" s="256"/>
      <c r="AF213" s="256"/>
      <c r="AG213" s="256"/>
      <c r="AH213" s="256"/>
      <c r="AI213" s="256"/>
      <c r="AJ213" s="256"/>
    </row>
    <row r="214" spans="2:36" ht="15.75" x14ac:dyDescent="0.25">
      <c r="B214" s="260"/>
      <c r="C214" s="260"/>
      <c r="D214" s="260"/>
      <c r="E214" s="260"/>
      <c r="F214" s="370">
        <v>90</v>
      </c>
      <c r="G214" s="256">
        <v>7834021.0942334495</v>
      </c>
      <c r="H214" s="256" t="str">
        <f t="shared" si="60"/>
        <v/>
      </c>
      <c r="I214" s="256" t="str">
        <f t="shared" si="61"/>
        <v/>
      </c>
      <c r="J214" s="371">
        <f t="shared" si="64"/>
        <v>29</v>
      </c>
      <c r="K214" s="256">
        <v>167429.13218721445</v>
      </c>
      <c r="L214" s="256" t="str">
        <f t="shared" si="62"/>
        <v/>
      </c>
      <c r="M214" s="256" t="str">
        <f t="shared" si="63"/>
        <v/>
      </c>
      <c r="N214" s="371">
        <f t="shared" si="65"/>
        <v>27.900000000000013</v>
      </c>
      <c r="O214" s="256">
        <v>435.68930330896802</v>
      </c>
      <c r="P214" s="256" t="str">
        <f t="shared" si="66"/>
        <v/>
      </c>
      <c r="Q214" s="256">
        <f t="shared" si="67"/>
        <v>435.68930330896802</v>
      </c>
      <c r="R214" s="256"/>
      <c r="S214" s="256"/>
      <c r="T214" s="256"/>
      <c r="U214" s="256"/>
      <c r="V214" s="256"/>
      <c r="W214" s="256"/>
      <c r="X214" s="256"/>
      <c r="Y214" s="256"/>
      <c r="Z214" s="256"/>
      <c r="AA214" s="256"/>
      <c r="AB214" s="256"/>
      <c r="AC214" s="256"/>
      <c r="AD214" s="256"/>
      <c r="AE214" s="256"/>
      <c r="AF214" s="256"/>
      <c r="AG214" s="256"/>
      <c r="AH214" s="256"/>
      <c r="AI214" s="256"/>
      <c r="AJ214" s="256"/>
    </row>
    <row r="215" spans="2:36" ht="15.75" x14ac:dyDescent="0.25">
      <c r="B215" s="260"/>
      <c r="C215" s="260"/>
      <c r="D215" s="260"/>
      <c r="E215" s="260"/>
      <c r="F215" s="370">
        <v>100</v>
      </c>
      <c r="G215" s="256">
        <v>9029843.5758678857</v>
      </c>
      <c r="H215" s="256" t="str">
        <f t="shared" si="60"/>
        <v/>
      </c>
      <c r="I215" s="256" t="str">
        <f t="shared" si="61"/>
        <v/>
      </c>
      <c r="J215" s="371">
        <f>LOOKUP(MAX($I$205:$I$215),$G$205:$G$215,$F$205:$F$215)</f>
        <v>30</v>
      </c>
      <c r="K215" s="256">
        <v>315016.97177745838</v>
      </c>
      <c r="L215" s="256" t="str">
        <f t="shared" si="62"/>
        <v/>
      </c>
      <c r="M215" s="256" t="str">
        <f t="shared" si="63"/>
        <v/>
      </c>
      <c r="N215" s="371">
        <f>LOOKUP(MAX($M$205:$M$215),$K$205:$K$215,$J$205:$J$215)</f>
        <v>28</v>
      </c>
      <c r="O215" s="256">
        <v>15847.196480652046</v>
      </c>
      <c r="P215" s="256" t="str">
        <f t="shared" si="66"/>
        <v/>
      </c>
      <c r="Q215" s="256" t="str">
        <f t="shared" si="67"/>
        <v/>
      </c>
      <c r="R215" s="256"/>
      <c r="S215" s="256"/>
      <c r="T215" s="256"/>
      <c r="U215" s="256"/>
      <c r="V215" s="256"/>
      <c r="W215" s="256"/>
      <c r="X215" s="256"/>
      <c r="Y215" s="256"/>
      <c r="Z215" s="256"/>
      <c r="AA215" s="256"/>
      <c r="AB215" s="256"/>
      <c r="AC215" s="256"/>
      <c r="AD215" s="256"/>
      <c r="AE215" s="256"/>
      <c r="AF215" s="256"/>
      <c r="AG215" s="256"/>
      <c r="AH215" s="256"/>
      <c r="AI215" s="256"/>
      <c r="AJ215" s="256"/>
    </row>
    <row r="216" spans="2:36" ht="15.75" thickBot="1" x14ac:dyDescent="0.3">
      <c r="B216" s="262"/>
      <c r="C216" s="262"/>
      <c r="D216" s="262"/>
      <c r="E216" s="262"/>
      <c r="F216" s="372"/>
      <c r="G216" s="262"/>
      <c r="H216" s="262"/>
      <c r="I216" s="262"/>
      <c r="J216" s="262"/>
      <c r="K216" s="262"/>
      <c r="L216" s="262"/>
      <c r="M216" s="262"/>
      <c r="N216" s="262"/>
      <c r="O216" s="262"/>
      <c r="P216" s="262"/>
      <c r="Q216" s="262"/>
      <c r="R216" s="262"/>
      <c r="S216" s="262"/>
      <c r="T216" s="262"/>
      <c r="U216" s="262"/>
      <c r="V216" s="262"/>
      <c r="W216" s="262"/>
      <c r="X216" s="262"/>
      <c r="Y216" s="262"/>
      <c r="Z216" s="262"/>
      <c r="AA216" s="262"/>
      <c r="AB216" s="262"/>
      <c r="AC216" s="262"/>
      <c r="AD216" s="262"/>
      <c r="AE216" s="262"/>
      <c r="AF216" s="262"/>
      <c r="AG216" s="262"/>
      <c r="AH216" s="262"/>
      <c r="AI216" s="262"/>
      <c r="AJ216" s="262"/>
    </row>
    <row r="217" spans="2:36" x14ac:dyDescent="0.25">
      <c r="F217" s="366"/>
    </row>
    <row r="218" spans="2:36" x14ac:dyDescent="0.25">
      <c r="F218" s="366"/>
    </row>
    <row r="219" spans="2:36" x14ac:dyDescent="0.25">
      <c r="F219" s="366"/>
    </row>
    <row r="220" spans="2:36" x14ac:dyDescent="0.25">
      <c r="F220" s="366"/>
    </row>
    <row r="221" spans="2:36" x14ac:dyDescent="0.25">
      <c r="F221" s="366"/>
    </row>
    <row r="222" spans="2:36" x14ac:dyDescent="0.25">
      <c r="F222" s="366"/>
    </row>
    <row r="223" spans="2:36" x14ac:dyDescent="0.25">
      <c r="F223" s="366"/>
    </row>
    <row r="224" spans="2:36" x14ac:dyDescent="0.25">
      <c r="F224" s="366"/>
    </row>
    <row r="225" spans="6:6" x14ac:dyDescent="0.25">
      <c r="F225" s="366"/>
    </row>
    <row r="226" spans="6:6" x14ac:dyDescent="0.25">
      <c r="F226" s="366"/>
    </row>
    <row r="227" spans="6:6" x14ac:dyDescent="0.25">
      <c r="F227" s="366"/>
    </row>
    <row r="228" spans="6:6" x14ac:dyDescent="0.25">
      <c r="F228" s="366"/>
    </row>
  </sheetData>
  <mergeCells count="3">
    <mergeCell ref="C96:E96"/>
    <mergeCell ref="B70:C70"/>
    <mergeCell ref="B72:C72"/>
  </mergeCells>
  <dataValidations disablePrompts="1" count="1">
    <dataValidation type="list" allowBlank="1" showInputMessage="1" showErrorMessage="1" sqref="E65623 HW65623 RS65623 ABO65623 ALK65623 AVG65623 BFC65623 BOY65623 BYU65623 CIQ65623 CSM65623 DCI65623 DME65623 DWA65623 EFW65623 EPS65623 EZO65623 FJK65623 FTG65623 GDC65623 GMY65623 GWU65623 HGQ65623 HQM65623 IAI65623 IKE65623 IUA65623 JDW65623 JNS65623 JXO65623 KHK65623 KRG65623 LBC65623 LKY65623 LUU65623 MEQ65623 MOM65623 MYI65623 NIE65623 NSA65623 OBW65623 OLS65623 OVO65623 PFK65623 PPG65623 PZC65623 QIY65623 QSU65623 RCQ65623 RMM65623 RWI65623 SGE65623 SQA65623 SZW65623 TJS65623 TTO65623 UDK65623 UNG65623 UXC65623 VGY65623 VQU65623 WAQ65623 WKM65623 WUI65623 HW131159 RS131159 ABO131159 ALK131159 AVG131159 BFC131159 BOY131159 BYU131159 CIQ131159 CSM131159 DCI131159 DME131159 DWA131159 EFW131159 EPS131159 EZO131159 FJK131159 FTG131159 GDC131159 GMY131159 GWU131159 HGQ131159 HQM131159 IAI131159 IKE131159 IUA131159 JDW131159 JNS131159 JXO131159 KHK131159 KRG131159 LBC131159 LKY131159 LUU131159 MEQ131159 MOM131159 MYI131159 NIE131159 NSA131159 OBW131159 OLS131159 OVO131159 PFK131159 PPG131159 PZC131159 QIY131159 QSU131159 RCQ131159 RMM131159 RWI131159 SGE131159 SQA131159 SZW131159 TJS131159 TTO131159 UDK131159 UNG131159 UXC131159 VGY131159 VQU131159 WAQ131159 WKM131159 WUI131159 HW196695 RS196695 ABO196695 ALK196695 AVG196695 BFC196695 BOY196695 BYU196695 CIQ196695 CSM196695 DCI196695 DME196695 DWA196695 EFW196695 EPS196695 EZO196695 FJK196695 FTG196695 GDC196695 GMY196695 GWU196695 HGQ196695 HQM196695 IAI196695 IKE196695 IUA196695 JDW196695 JNS196695 JXO196695 KHK196695 KRG196695 LBC196695 LKY196695 LUU196695 MEQ196695 MOM196695 MYI196695 NIE196695 NSA196695 OBW196695 OLS196695 OVO196695 PFK196695 PPG196695 PZC196695 QIY196695 QSU196695 RCQ196695 RMM196695 RWI196695 SGE196695 SQA196695 SZW196695 TJS196695 TTO196695 UDK196695 UNG196695 UXC196695 VGY196695 VQU196695 WAQ196695 WKM196695 WUI196695 HW262231 RS262231 ABO262231 ALK262231 AVG262231 BFC262231 BOY262231 BYU262231 CIQ262231 CSM262231 DCI262231 DME262231 DWA262231 EFW262231 EPS262231 EZO262231 FJK262231 FTG262231 GDC262231 GMY262231 GWU262231 HGQ262231 HQM262231 IAI262231 IKE262231 IUA262231 JDW262231 JNS262231 JXO262231 KHK262231 KRG262231 LBC262231 LKY262231 LUU262231 MEQ262231 MOM262231 MYI262231 NIE262231 NSA262231 OBW262231 OLS262231 OVO262231 PFK262231 PPG262231 PZC262231 QIY262231 QSU262231 RCQ262231 RMM262231 RWI262231 SGE262231 SQA262231 SZW262231 TJS262231 TTO262231 UDK262231 UNG262231 UXC262231 VGY262231 VQU262231 WAQ262231 WKM262231 WUI262231 HW327767 RS327767 ABO327767 ALK327767 AVG327767 BFC327767 BOY327767 BYU327767 CIQ327767 CSM327767 DCI327767 DME327767 DWA327767 EFW327767 EPS327767 EZO327767 FJK327767 FTG327767 GDC327767 GMY327767 GWU327767 HGQ327767 HQM327767 IAI327767 IKE327767 IUA327767 JDW327767 JNS327767 JXO327767 KHK327767 KRG327767 LBC327767 LKY327767 LUU327767 MEQ327767 MOM327767 MYI327767 NIE327767 NSA327767 OBW327767 OLS327767 OVO327767 PFK327767 PPG327767 PZC327767 QIY327767 QSU327767 RCQ327767 RMM327767 RWI327767 SGE327767 SQA327767 SZW327767 TJS327767 TTO327767 UDK327767 UNG327767 UXC327767 VGY327767 VQU327767 WAQ327767 WKM327767 WUI327767 HW393303 RS393303 ABO393303 ALK393303 AVG393303 BFC393303 BOY393303 BYU393303 CIQ393303 CSM393303 DCI393303 DME393303 DWA393303 EFW393303 EPS393303 EZO393303 FJK393303 FTG393303 GDC393303 GMY393303 GWU393303 HGQ393303 HQM393303 IAI393303 IKE393303 IUA393303 JDW393303 JNS393303 JXO393303 KHK393303 KRG393303 LBC393303 LKY393303 LUU393303 MEQ393303 MOM393303 MYI393303 NIE393303 NSA393303 OBW393303 OLS393303 OVO393303 PFK393303 PPG393303 PZC393303 QIY393303 QSU393303 RCQ393303 RMM393303 RWI393303 SGE393303 SQA393303 SZW393303 TJS393303 TTO393303 UDK393303 UNG393303 UXC393303 VGY393303 VQU393303 WAQ393303 WKM393303 WUI393303 HW458839 RS458839 ABO458839 ALK458839 AVG458839 BFC458839 BOY458839 BYU458839 CIQ458839 CSM458839 DCI458839 DME458839 DWA458839 EFW458839 EPS458839 EZO458839 FJK458839 FTG458839 GDC458839 GMY458839 GWU458839 HGQ458839 HQM458839 IAI458839 IKE458839 IUA458839 JDW458839 JNS458839 JXO458839 KHK458839 KRG458839 LBC458839 LKY458839 LUU458839 MEQ458839 MOM458839 MYI458839 NIE458839 NSA458839 OBW458839 OLS458839 OVO458839 PFK458839 PPG458839 PZC458839 QIY458839 QSU458839 RCQ458839 RMM458839 RWI458839 SGE458839 SQA458839 SZW458839 TJS458839 TTO458839 UDK458839 UNG458839 UXC458839 VGY458839 VQU458839 WAQ458839 WKM458839 WUI458839 HW524375 RS524375 ABO524375 ALK524375 AVG524375 BFC524375 BOY524375 BYU524375 CIQ524375 CSM524375 DCI524375 DME524375 DWA524375 EFW524375 EPS524375 EZO524375 FJK524375 FTG524375 GDC524375 GMY524375 GWU524375 HGQ524375 HQM524375 IAI524375 IKE524375 IUA524375 JDW524375 JNS524375 JXO524375 KHK524375 KRG524375 LBC524375 LKY524375 LUU524375 MEQ524375 MOM524375 MYI524375 NIE524375 NSA524375 OBW524375 OLS524375 OVO524375 PFK524375 PPG524375 PZC524375 QIY524375 QSU524375 RCQ524375 RMM524375 RWI524375 SGE524375 SQA524375 SZW524375 TJS524375 TTO524375 UDK524375 UNG524375 UXC524375 VGY524375 VQU524375 WAQ524375 WKM524375 WUI524375 HW589911 RS589911 ABO589911 ALK589911 AVG589911 BFC589911 BOY589911 BYU589911 CIQ589911 CSM589911 DCI589911 DME589911 DWA589911 EFW589911 EPS589911 EZO589911 FJK589911 FTG589911 GDC589911 GMY589911 GWU589911 HGQ589911 HQM589911 IAI589911 IKE589911 IUA589911 JDW589911 JNS589911 JXO589911 KHK589911 KRG589911 LBC589911 LKY589911 LUU589911 MEQ589911 MOM589911 MYI589911 NIE589911 NSA589911 OBW589911 OLS589911 OVO589911 PFK589911 PPG589911 PZC589911 QIY589911 QSU589911 RCQ589911 RMM589911 RWI589911 SGE589911 SQA589911 SZW589911 TJS589911 TTO589911 UDK589911 UNG589911 UXC589911 VGY589911 VQU589911 WAQ589911 WKM589911 WUI589911 HW655447 RS655447 ABO655447 ALK655447 AVG655447 BFC655447 BOY655447 BYU655447 CIQ655447 CSM655447 DCI655447 DME655447 DWA655447 EFW655447 EPS655447 EZO655447 FJK655447 FTG655447 GDC655447 GMY655447 GWU655447 HGQ655447 HQM655447 IAI655447 IKE655447 IUA655447 JDW655447 JNS655447 JXO655447 KHK655447 KRG655447 LBC655447 LKY655447 LUU655447 MEQ655447 MOM655447 MYI655447 NIE655447 NSA655447 OBW655447 OLS655447 OVO655447 PFK655447 PPG655447 PZC655447 QIY655447 QSU655447 RCQ655447 RMM655447 RWI655447 SGE655447 SQA655447 SZW655447 TJS655447 TTO655447 UDK655447 UNG655447 UXC655447 VGY655447 VQU655447 WAQ655447 WKM655447 WUI655447 HW720983 RS720983 ABO720983 ALK720983 AVG720983 BFC720983 BOY720983 BYU720983 CIQ720983 CSM720983 DCI720983 DME720983 DWA720983 EFW720983 EPS720983 EZO720983 FJK720983 FTG720983 GDC720983 GMY720983 GWU720983 HGQ720983 HQM720983 IAI720983 IKE720983 IUA720983 JDW720983 JNS720983 JXO720983 KHK720983 KRG720983 LBC720983 LKY720983 LUU720983 MEQ720983 MOM720983 MYI720983 NIE720983 NSA720983 OBW720983 OLS720983 OVO720983 PFK720983 PPG720983 PZC720983 QIY720983 QSU720983 RCQ720983 RMM720983 RWI720983 SGE720983 SQA720983 SZW720983 TJS720983 TTO720983 UDK720983 UNG720983 UXC720983 VGY720983 VQU720983 WAQ720983 WKM720983 WUI720983 HW786519 RS786519 ABO786519 ALK786519 AVG786519 BFC786519 BOY786519 BYU786519 CIQ786519 CSM786519 DCI786519 DME786519 DWA786519 EFW786519 EPS786519 EZO786519 FJK786519 FTG786519 GDC786519 GMY786519 GWU786519 HGQ786519 HQM786519 IAI786519 IKE786519 IUA786519 JDW786519 JNS786519 JXO786519 KHK786519 KRG786519 LBC786519 LKY786519 LUU786519 MEQ786519 MOM786519 MYI786519 NIE786519 NSA786519 OBW786519 OLS786519 OVO786519 PFK786519 PPG786519 PZC786519 QIY786519 QSU786519 RCQ786519 RMM786519 RWI786519 SGE786519 SQA786519 SZW786519 TJS786519 TTO786519 UDK786519 UNG786519 UXC786519 VGY786519 VQU786519 WAQ786519 WKM786519 WUI786519 HW852055 RS852055 ABO852055 ALK852055 AVG852055 BFC852055 BOY852055 BYU852055 CIQ852055 CSM852055 DCI852055 DME852055 DWA852055 EFW852055 EPS852055 EZO852055 FJK852055 FTG852055 GDC852055 GMY852055 GWU852055 HGQ852055 HQM852055 IAI852055 IKE852055 IUA852055 JDW852055 JNS852055 JXO852055 KHK852055 KRG852055 LBC852055 LKY852055 LUU852055 MEQ852055 MOM852055 MYI852055 NIE852055 NSA852055 OBW852055 OLS852055 OVO852055 PFK852055 PPG852055 PZC852055 QIY852055 QSU852055 RCQ852055 RMM852055 RWI852055 SGE852055 SQA852055 SZW852055 TJS852055 TTO852055 UDK852055 UNG852055 UXC852055 VGY852055 VQU852055 WAQ852055 WKM852055 WUI852055 HW917591 RS917591 ABO917591 ALK917591 AVG917591 BFC917591 BOY917591 BYU917591 CIQ917591 CSM917591 DCI917591 DME917591 DWA917591 EFW917591 EPS917591 EZO917591 FJK917591 FTG917591 GDC917591 GMY917591 GWU917591 HGQ917591 HQM917591 IAI917591 IKE917591 IUA917591 JDW917591 JNS917591 JXO917591 KHK917591 KRG917591 LBC917591 LKY917591 LUU917591 MEQ917591 MOM917591 MYI917591 NIE917591 NSA917591 OBW917591 OLS917591 OVO917591 PFK917591 PPG917591 PZC917591 QIY917591 QSU917591 RCQ917591 RMM917591 RWI917591 SGE917591 SQA917591 SZW917591 TJS917591 TTO917591 UDK917591 UNG917591 UXC917591 VGY917591 VQU917591 WAQ917591 WKM917591 WUI917591 HW983127 RS983127 ABO983127 ALK983127 AVG983127 BFC983127 BOY983127 BYU983127 CIQ983127 CSM983127 DCI983127 DME983127 DWA983127 EFW983127 EPS983127 EZO983127 FJK983127 FTG983127 GDC983127 GMY983127 GWU983127 HGQ983127 HQM983127 IAI983127 IKE983127 IUA983127 JDW983127 JNS983127 JXO983127 KHK983127 KRG983127 LBC983127 LKY983127 LUU983127 MEQ983127 MOM983127 MYI983127 NIE983127 NSA983127 OBW983127 OLS983127 OVO983127 PFK983127 PPG983127 PZC983127 QIY983127 QSU983127 RCQ983127 RMM983127 RWI983127 SGE983127 SQA983127 SZW983127 TJS983127 TTO983127 UDK983127 UNG983127 UXC983127 VGY983127 VQU983127 WAQ983127 WKM983127 WUI983127 HW65634 RS65634 ABO65634 ALK65634 AVG65634 BFC65634 BOY65634 BYU65634 CIQ65634 CSM65634 DCI65634 DME65634 DWA65634 EFW65634 EPS65634 EZO65634 FJK65634 FTG65634 GDC65634 GMY65634 GWU65634 HGQ65634 HQM65634 IAI65634 IKE65634 IUA65634 JDW65634 JNS65634 JXO65634 KHK65634 KRG65634 LBC65634 LKY65634 LUU65634 MEQ65634 MOM65634 MYI65634 NIE65634 NSA65634 OBW65634 OLS65634 OVO65634 PFK65634 PPG65634 PZC65634 QIY65634 QSU65634 RCQ65634 RMM65634 RWI65634 SGE65634 SQA65634 SZW65634 TJS65634 TTO65634 UDK65634 UNG65634 UXC65634 VGY65634 VQU65634 WAQ65634 WKM65634 WUI65634 HW131170 RS131170 ABO131170 ALK131170 AVG131170 BFC131170 BOY131170 BYU131170 CIQ131170 CSM131170 DCI131170 DME131170 DWA131170 EFW131170 EPS131170 EZO131170 FJK131170 FTG131170 GDC131170 GMY131170 GWU131170 HGQ131170 HQM131170 IAI131170 IKE131170 IUA131170 JDW131170 JNS131170 JXO131170 KHK131170 KRG131170 LBC131170 LKY131170 LUU131170 MEQ131170 MOM131170 MYI131170 NIE131170 NSA131170 OBW131170 OLS131170 OVO131170 PFK131170 PPG131170 PZC131170 QIY131170 QSU131170 RCQ131170 RMM131170 RWI131170 SGE131170 SQA131170 SZW131170 TJS131170 TTO131170 UDK131170 UNG131170 UXC131170 VGY131170 VQU131170 WAQ131170 WKM131170 WUI131170 HW196706 RS196706 ABO196706 ALK196706 AVG196706 BFC196706 BOY196706 BYU196706 CIQ196706 CSM196706 DCI196706 DME196706 DWA196706 EFW196706 EPS196706 EZO196706 FJK196706 FTG196706 GDC196706 GMY196706 GWU196706 HGQ196706 HQM196706 IAI196706 IKE196706 IUA196706 JDW196706 JNS196706 JXO196706 KHK196706 KRG196706 LBC196706 LKY196706 LUU196706 MEQ196706 MOM196706 MYI196706 NIE196706 NSA196706 OBW196706 OLS196706 OVO196706 PFK196706 PPG196706 PZC196706 QIY196706 QSU196706 RCQ196706 RMM196706 RWI196706 SGE196706 SQA196706 SZW196706 TJS196706 TTO196706 UDK196706 UNG196706 UXC196706 VGY196706 VQU196706 WAQ196706 WKM196706 WUI196706 HW262242 RS262242 ABO262242 ALK262242 AVG262242 BFC262242 BOY262242 BYU262242 CIQ262242 CSM262242 DCI262242 DME262242 DWA262242 EFW262242 EPS262242 EZO262242 FJK262242 FTG262242 GDC262242 GMY262242 GWU262242 HGQ262242 HQM262242 IAI262242 IKE262242 IUA262242 JDW262242 JNS262242 JXO262242 KHK262242 KRG262242 LBC262242 LKY262242 LUU262242 MEQ262242 MOM262242 MYI262242 NIE262242 NSA262242 OBW262242 OLS262242 OVO262242 PFK262242 PPG262242 PZC262242 QIY262242 QSU262242 RCQ262242 RMM262242 RWI262242 SGE262242 SQA262242 SZW262242 TJS262242 TTO262242 UDK262242 UNG262242 UXC262242 VGY262242 VQU262242 WAQ262242 WKM262242 WUI262242 HW327778 RS327778 ABO327778 ALK327778 AVG327778 BFC327778 BOY327778 BYU327778 CIQ327778 CSM327778 DCI327778 DME327778 DWA327778 EFW327778 EPS327778 EZO327778 FJK327778 FTG327778 GDC327778 GMY327778 GWU327778 HGQ327778 HQM327778 IAI327778 IKE327778 IUA327778 JDW327778 JNS327778 JXO327778 KHK327778 KRG327778 LBC327778 LKY327778 LUU327778 MEQ327778 MOM327778 MYI327778 NIE327778 NSA327778 OBW327778 OLS327778 OVO327778 PFK327778 PPG327778 PZC327778 QIY327778 QSU327778 RCQ327778 RMM327778 RWI327778 SGE327778 SQA327778 SZW327778 TJS327778 TTO327778 UDK327778 UNG327778 UXC327778 VGY327778 VQU327778 WAQ327778 WKM327778 WUI327778 HW393314 RS393314 ABO393314 ALK393314 AVG393314 BFC393314 BOY393314 BYU393314 CIQ393314 CSM393314 DCI393314 DME393314 DWA393314 EFW393314 EPS393314 EZO393314 FJK393314 FTG393314 GDC393314 GMY393314 GWU393314 HGQ393314 HQM393314 IAI393314 IKE393314 IUA393314 JDW393314 JNS393314 JXO393314 KHK393314 KRG393314 LBC393314 LKY393314 LUU393314 MEQ393314 MOM393314 MYI393314 NIE393314 NSA393314 OBW393314 OLS393314 OVO393314 PFK393314 PPG393314 PZC393314 QIY393314 QSU393314 RCQ393314 RMM393314 RWI393314 SGE393314 SQA393314 SZW393314 TJS393314 TTO393314 UDK393314 UNG393314 UXC393314 VGY393314 VQU393314 WAQ393314 WKM393314 WUI393314 HW458850 RS458850 ABO458850 ALK458850 AVG458850 BFC458850 BOY458850 BYU458850 CIQ458850 CSM458850 DCI458850 DME458850 DWA458850 EFW458850 EPS458850 EZO458850 FJK458850 FTG458850 GDC458850 GMY458850 GWU458850 HGQ458850 HQM458850 IAI458850 IKE458850 IUA458850 JDW458850 JNS458850 JXO458850 KHK458850 KRG458850 LBC458850 LKY458850 LUU458850 MEQ458850 MOM458850 MYI458850 NIE458850 NSA458850 OBW458850 OLS458850 OVO458850 PFK458850 PPG458850 PZC458850 QIY458850 QSU458850 RCQ458850 RMM458850 RWI458850 SGE458850 SQA458850 SZW458850 TJS458850 TTO458850 UDK458850 UNG458850 UXC458850 VGY458850 VQU458850 WAQ458850 WKM458850 WUI458850 HW524386 RS524386 ABO524386 ALK524386 AVG524386 BFC524386 BOY524386 BYU524386 CIQ524386 CSM524386 DCI524386 DME524386 DWA524386 EFW524386 EPS524386 EZO524386 FJK524386 FTG524386 GDC524386 GMY524386 GWU524386 HGQ524386 HQM524386 IAI524386 IKE524386 IUA524386 JDW524386 JNS524386 JXO524386 KHK524386 KRG524386 LBC524386 LKY524386 LUU524386 MEQ524386 MOM524386 MYI524386 NIE524386 NSA524386 OBW524386 OLS524386 OVO524386 PFK524386 PPG524386 PZC524386 QIY524386 QSU524386 RCQ524386 RMM524386 RWI524386 SGE524386 SQA524386 SZW524386 TJS524386 TTO524386 UDK524386 UNG524386 UXC524386 VGY524386 VQU524386 WAQ524386 WKM524386 WUI524386 HW589922 RS589922 ABO589922 ALK589922 AVG589922 BFC589922 BOY589922 BYU589922 CIQ589922 CSM589922 DCI589922 DME589922 DWA589922 EFW589922 EPS589922 EZO589922 FJK589922 FTG589922 GDC589922 GMY589922 GWU589922 HGQ589922 HQM589922 IAI589922 IKE589922 IUA589922 JDW589922 JNS589922 JXO589922 KHK589922 KRG589922 LBC589922 LKY589922 LUU589922 MEQ589922 MOM589922 MYI589922 NIE589922 NSA589922 OBW589922 OLS589922 OVO589922 PFK589922 PPG589922 PZC589922 QIY589922 QSU589922 RCQ589922 RMM589922 RWI589922 SGE589922 SQA589922 SZW589922 TJS589922 TTO589922 UDK589922 UNG589922 UXC589922 VGY589922 VQU589922 WAQ589922 WKM589922 WUI589922 HW655458 RS655458 ABO655458 ALK655458 AVG655458 BFC655458 BOY655458 BYU655458 CIQ655458 CSM655458 DCI655458 DME655458 DWA655458 EFW655458 EPS655458 EZO655458 FJK655458 FTG655458 GDC655458 GMY655458 GWU655458 HGQ655458 HQM655458 IAI655458 IKE655458 IUA655458 JDW655458 JNS655458 JXO655458 KHK655458 KRG655458 LBC655458 LKY655458 LUU655458 MEQ655458 MOM655458 MYI655458 NIE655458 NSA655458 OBW655458 OLS655458 OVO655458 PFK655458 PPG655458 PZC655458 QIY655458 QSU655458 RCQ655458 RMM655458 RWI655458 SGE655458 SQA655458 SZW655458 TJS655458 TTO655458 UDK655458 UNG655458 UXC655458 VGY655458 VQU655458 WAQ655458 WKM655458 WUI655458 HW720994 RS720994 ABO720994 ALK720994 AVG720994 BFC720994 BOY720994 BYU720994 CIQ720994 CSM720994 DCI720994 DME720994 DWA720994 EFW720994 EPS720994 EZO720994 FJK720994 FTG720994 GDC720994 GMY720994 GWU720994 HGQ720994 HQM720994 IAI720994 IKE720994 IUA720994 JDW720994 JNS720994 JXO720994 KHK720994 KRG720994 LBC720994 LKY720994 LUU720994 MEQ720994 MOM720994 MYI720994 NIE720994 NSA720994 OBW720994 OLS720994 OVO720994 PFK720994 PPG720994 PZC720994 QIY720994 QSU720994 RCQ720994 RMM720994 RWI720994 SGE720994 SQA720994 SZW720994 TJS720994 TTO720994 UDK720994 UNG720994 UXC720994 VGY720994 VQU720994 WAQ720994 WKM720994 WUI720994 HW786530 RS786530 ABO786530 ALK786530 AVG786530 BFC786530 BOY786530 BYU786530 CIQ786530 CSM786530 DCI786530 DME786530 DWA786530 EFW786530 EPS786530 EZO786530 FJK786530 FTG786530 GDC786530 GMY786530 GWU786530 HGQ786530 HQM786530 IAI786530 IKE786530 IUA786530 JDW786530 JNS786530 JXO786530 KHK786530 KRG786530 LBC786530 LKY786530 LUU786530 MEQ786530 MOM786530 MYI786530 NIE786530 NSA786530 OBW786530 OLS786530 OVO786530 PFK786530 PPG786530 PZC786530 QIY786530 QSU786530 RCQ786530 RMM786530 RWI786530 SGE786530 SQA786530 SZW786530 TJS786530 TTO786530 UDK786530 UNG786530 UXC786530 VGY786530 VQU786530 WAQ786530 WKM786530 WUI786530 HW852066 RS852066 ABO852066 ALK852066 AVG852066 BFC852066 BOY852066 BYU852066 CIQ852066 CSM852066 DCI852066 DME852066 DWA852066 EFW852066 EPS852066 EZO852066 FJK852066 FTG852066 GDC852066 GMY852066 GWU852066 HGQ852066 HQM852066 IAI852066 IKE852066 IUA852066 JDW852066 JNS852066 JXO852066 KHK852066 KRG852066 LBC852066 LKY852066 LUU852066 MEQ852066 MOM852066 MYI852066 NIE852066 NSA852066 OBW852066 OLS852066 OVO852066 PFK852066 PPG852066 PZC852066 QIY852066 QSU852066 RCQ852066 RMM852066 RWI852066 SGE852066 SQA852066 SZW852066 TJS852066 TTO852066 UDK852066 UNG852066 UXC852066 VGY852066 VQU852066 WAQ852066 WKM852066 WUI852066 HW917602 RS917602 ABO917602 ALK917602 AVG917602 BFC917602 BOY917602 BYU917602 CIQ917602 CSM917602 DCI917602 DME917602 DWA917602 EFW917602 EPS917602 EZO917602 FJK917602 FTG917602 GDC917602 GMY917602 GWU917602 HGQ917602 HQM917602 IAI917602 IKE917602 IUA917602 JDW917602 JNS917602 JXO917602 KHK917602 KRG917602 LBC917602 LKY917602 LUU917602 MEQ917602 MOM917602 MYI917602 NIE917602 NSA917602 OBW917602 OLS917602 OVO917602 PFK917602 PPG917602 PZC917602 QIY917602 QSU917602 RCQ917602 RMM917602 RWI917602 SGE917602 SQA917602 SZW917602 TJS917602 TTO917602 UDK917602 UNG917602 UXC917602 VGY917602 VQU917602 WAQ917602 WKM917602 WUI917602 HW983138 RS983138 ABO983138 ALK983138 AVG983138 BFC983138 BOY983138 BYU983138 CIQ983138 CSM983138 DCI983138 DME983138 DWA983138 EFW983138 EPS983138 EZO983138 FJK983138 FTG983138 GDC983138 GMY983138 GWU983138 HGQ983138 HQM983138 IAI983138 IKE983138 IUA983138 JDW983138 JNS983138 JXO983138 KHK983138 KRG983138 LBC983138 LKY983138 LUU983138 MEQ983138 MOM983138 MYI983138 NIE983138 NSA983138 OBW983138 OLS983138 OVO983138 PFK983138 PPG983138 PZC983138 QIY983138 QSU983138 RCQ983138 RMM983138 RWI983138 SGE983138 SQA983138 SZW983138 TJS983138 TTO983138 UDK983138 UNG983138 UXC983138 VGY983138 VQU983138 WAQ983138 WKM983138 WUI983138 HW65629 RS65629 ABO65629 ALK65629 AVG65629 BFC65629 BOY65629 BYU65629 CIQ65629 CSM65629 DCI65629 DME65629 DWA65629 EFW65629 EPS65629 EZO65629 FJK65629 FTG65629 GDC65629 GMY65629 GWU65629 HGQ65629 HQM65629 IAI65629 IKE65629 IUA65629 JDW65629 JNS65629 JXO65629 KHK65629 KRG65629 LBC65629 LKY65629 LUU65629 MEQ65629 MOM65629 MYI65629 NIE65629 NSA65629 OBW65629 OLS65629 OVO65629 PFK65629 PPG65629 PZC65629 QIY65629 QSU65629 RCQ65629 RMM65629 RWI65629 SGE65629 SQA65629 SZW65629 TJS65629 TTO65629 UDK65629 UNG65629 UXC65629 VGY65629 VQU65629 WAQ65629 WKM65629 WUI65629 HW131165 RS131165 ABO131165 ALK131165 AVG131165 BFC131165 BOY131165 BYU131165 CIQ131165 CSM131165 DCI131165 DME131165 DWA131165 EFW131165 EPS131165 EZO131165 FJK131165 FTG131165 GDC131165 GMY131165 GWU131165 HGQ131165 HQM131165 IAI131165 IKE131165 IUA131165 JDW131165 JNS131165 JXO131165 KHK131165 KRG131165 LBC131165 LKY131165 LUU131165 MEQ131165 MOM131165 MYI131165 NIE131165 NSA131165 OBW131165 OLS131165 OVO131165 PFK131165 PPG131165 PZC131165 QIY131165 QSU131165 RCQ131165 RMM131165 RWI131165 SGE131165 SQA131165 SZW131165 TJS131165 TTO131165 UDK131165 UNG131165 UXC131165 VGY131165 VQU131165 WAQ131165 WKM131165 WUI131165 HW196701 RS196701 ABO196701 ALK196701 AVG196701 BFC196701 BOY196701 BYU196701 CIQ196701 CSM196701 DCI196701 DME196701 DWA196701 EFW196701 EPS196701 EZO196701 FJK196701 FTG196701 GDC196701 GMY196701 GWU196701 HGQ196701 HQM196701 IAI196701 IKE196701 IUA196701 JDW196701 JNS196701 JXO196701 KHK196701 KRG196701 LBC196701 LKY196701 LUU196701 MEQ196701 MOM196701 MYI196701 NIE196701 NSA196701 OBW196701 OLS196701 OVO196701 PFK196701 PPG196701 PZC196701 QIY196701 QSU196701 RCQ196701 RMM196701 RWI196701 SGE196701 SQA196701 SZW196701 TJS196701 TTO196701 UDK196701 UNG196701 UXC196701 VGY196701 VQU196701 WAQ196701 WKM196701 WUI196701 HW262237 RS262237 ABO262237 ALK262237 AVG262237 BFC262237 BOY262237 BYU262237 CIQ262237 CSM262237 DCI262237 DME262237 DWA262237 EFW262237 EPS262237 EZO262237 FJK262237 FTG262237 GDC262237 GMY262237 GWU262237 HGQ262237 HQM262237 IAI262237 IKE262237 IUA262237 JDW262237 JNS262237 JXO262237 KHK262237 KRG262237 LBC262237 LKY262237 LUU262237 MEQ262237 MOM262237 MYI262237 NIE262237 NSA262237 OBW262237 OLS262237 OVO262237 PFK262237 PPG262237 PZC262237 QIY262237 QSU262237 RCQ262237 RMM262237 RWI262237 SGE262237 SQA262237 SZW262237 TJS262237 TTO262237 UDK262237 UNG262237 UXC262237 VGY262237 VQU262237 WAQ262237 WKM262237 WUI262237 HW327773 RS327773 ABO327773 ALK327773 AVG327773 BFC327773 BOY327773 BYU327773 CIQ327773 CSM327773 DCI327773 DME327773 DWA327773 EFW327773 EPS327773 EZO327773 FJK327773 FTG327773 GDC327773 GMY327773 GWU327773 HGQ327773 HQM327773 IAI327773 IKE327773 IUA327773 JDW327773 JNS327773 JXO327773 KHK327773 KRG327773 LBC327773 LKY327773 LUU327773 MEQ327773 MOM327773 MYI327773 NIE327773 NSA327773 OBW327773 OLS327773 OVO327773 PFK327773 PPG327773 PZC327773 QIY327773 QSU327773 RCQ327773 RMM327773 RWI327773 SGE327773 SQA327773 SZW327773 TJS327773 TTO327773 UDK327773 UNG327773 UXC327773 VGY327773 VQU327773 WAQ327773 WKM327773 WUI327773 HW393309 RS393309 ABO393309 ALK393309 AVG393309 BFC393309 BOY393309 BYU393309 CIQ393309 CSM393309 DCI393309 DME393309 DWA393309 EFW393309 EPS393309 EZO393309 FJK393309 FTG393309 GDC393309 GMY393309 GWU393309 HGQ393309 HQM393309 IAI393309 IKE393309 IUA393309 JDW393309 JNS393309 JXO393309 KHK393309 KRG393309 LBC393309 LKY393309 LUU393309 MEQ393309 MOM393309 MYI393309 NIE393309 NSA393309 OBW393309 OLS393309 OVO393309 PFK393309 PPG393309 PZC393309 QIY393309 QSU393309 RCQ393309 RMM393309 RWI393309 SGE393309 SQA393309 SZW393309 TJS393309 TTO393309 UDK393309 UNG393309 UXC393309 VGY393309 VQU393309 WAQ393309 WKM393309 WUI393309 HW458845 RS458845 ABO458845 ALK458845 AVG458845 BFC458845 BOY458845 BYU458845 CIQ458845 CSM458845 DCI458845 DME458845 DWA458845 EFW458845 EPS458845 EZO458845 FJK458845 FTG458845 GDC458845 GMY458845 GWU458845 HGQ458845 HQM458845 IAI458845 IKE458845 IUA458845 JDW458845 JNS458845 JXO458845 KHK458845 KRG458845 LBC458845 LKY458845 LUU458845 MEQ458845 MOM458845 MYI458845 NIE458845 NSA458845 OBW458845 OLS458845 OVO458845 PFK458845 PPG458845 PZC458845 QIY458845 QSU458845 RCQ458845 RMM458845 RWI458845 SGE458845 SQA458845 SZW458845 TJS458845 TTO458845 UDK458845 UNG458845 UXC458845 VGY458845 VQU458845 WAQ458845 WKM458845 WUI458845 HW524381 RS524381 ABO524381 ALK524381 AVG524381 BFC524381 BOY524381 BYU524381 CIQ524381 CSM524381 DCI524381 DME524381 DWA524381 EFW524381 EPS524381 EZO524381 FJK524381 FTG524381 GDC524381 GMY524381 GWU524381 HGQ524381 HQM524381 IAI524381 IKE524381 IUA524381 JDW524381 JNS524381 JXO524381 KHK524381 KRG524381 LBC524381 LKY524381 LUU524381 MEQ524381 MOM524381 MYI524381 NIE524381 NSA524381 OBW524381 OLS524381 OVO524381 PFK524381 PPG524381 PZC524381 QIY524381 QSU524381 RCQ524381 RMM524381 RWI524381 SGE524381 SQA524381 SZW524381 TJS524381 TTO524381 UDK524381 UNG524381 UXC524381 VGY524381 VQU524381 WAQ524381 WKM524381 WUI524381 HW589917 RS589917 ABO589917 ALK589917 AVG589917 BFC589917 BOY589917 BYU589917 CIQ589917 CSM589917 DCI589917 DME589917 DWA589917 EFW589917 EPS589917 EZO589917 FJK589917 FTG589917 GDC589917 GMY589917 GWU589917 HGQ589917 HQM589917 IAI589917 IKE589917 IUA589917 JDW589917 JNS589917 JXO589917 KHK589917 KRG589917 LBC589917 LKY589917 LUU589917 MEQ589917 MOM589917 MYI589917 NIE589917 NSA589917 OBW589917 OLS589917 OVO589917 PFK589917 PPG589917 PZC589917 QIY589917 QSU589917 RCQ589917 RMM589917 RWI589917 SGE589917 SQA589917 SZW589917 TJS589917 TTO589917 UDK589917 UNG589917 UXC589917 VGY589917 VQU589917 WAQ589917 WKM589917 WUI589917 HW655453 RS655453 ABO655453 ALK655453 AVG655453 BFC655453 BOY655453 BYU655453 CIQ655453 CSM655453 DCI655453 DME655453 DWA655453 EFW655453 EPS655453 EZO655453 FJK655453 FTG655453 GDC655453 GMY655453 GWU655453 HGQ655453 HQM655453 IAI655453 IKE655453 IUA655453 JDW655453 JNS655453 JXO655453 KHK655453 KRG655453 LBC655453 LKY655453 LUU655453 MEQ655453 MOM655453 MYI655453 NIE655453 NSA655453 OBW655453 OLS655453 OVO655453 PFK655453 PPG655453 PZC655453 QIY655453 QSU655453 RCQ655453 RMM655453 RWI655453 SGE655453 SQA655453 SZW655453 TJS655453 TTO655453 UDK655453 UNG655453 UXC655453 VGY655453 VQU655453 WAQ655453 WKM655453 WUI655453 HW720989 RS720989 ABO720989 ALK720989 AVG720989 BFC720989 BOY720989 BYU720989 CIQ720989 CSM720989 DCI720989 DME720989 DWA720989 EFW720989 EPS720989 EZO720989 FJK720989 FTG720989 GDC720989 GMY720989 GWU720989 HGQ720989 HQM720989 IAI720989 IKE720989 IUA720989 JDW720989 JNS720989 JXO720989 KHK720989 KRG720989 LBC720989 LKY720989 LUU720989 MEQ720989 MOM720989 MYI720989 NIE720989 NSA720989 OBW720989 OLS720989 OVO720989 PFK720989 PPG720989 PZC720989 QIY720989 QSU720989 RCQ720989 RMM720989 RWI720989 SGE720989 SQA720989 SZW720989 TJS720989 TTO720989 UDK720989 UNG720989 UXC720989 VGY720989 VQU720989 WAQ720989 WKM720989 WUI720989 HW786525 RS786525 ABO786525 ALK786525 AVG786525 BFC786525 BOY786525 BYU786525 CIQ786525 CSM786525 DCI786525 DME786525 DWA786525 EFW786525 EPS786525 EZO786525 FJK786525 FTG786525 GDC786525 GMY786525 GWU786525 HGQ786525 HQM786525 IAI786525 IKE786525 IUA786525 JDW786525 JNS786525 JXO786525 KHK786525 KRG786525 LBC786525 LKY786525 LUU786525 MEQ786525 MOM786525 MYI786525 NIE786525 NSA786525 OBW786525 OLS786525 OVO786525 PFK786525 PPG786525 PZC786525 QIY786525 QSU786525 RCQ786525 RMM786525 RWI786525 SGE786525 SQA786525 SZW786525 TJS786525 TTO786525 UDK786525 UNG786525 UXC786525 VGY786525 VQU786525 WAQ786525 WKM786525 WUI786525 HW852061 RS852061 ABO852061 ALK852061 AVG852061 BFC852061 BOY852061 BYU852061 CIQ852061 CSM852061 DCI852061 DME852061 DWA852061 EFW852061 EPS852061 EZO852061 FJK852061 FTG852061 GDC852061 GMY852061 GWU852061 HGQ852061 HQM852061 IAI852061 IKE852061 IUA852061 JDW852061 JNS852061 JXO852061 KHK852061 KRG852061 LBC852061 LKY852061 LUU852061 MEQ852061 MOM852061 MYI852061 NIE852061 NSA852061 OBW852061 OLS852061 OVO852061 PFK852061 PPG852061 PZC852061 QIY852061 QSU852061 RCQ852061 RMM852061 RWI852061 SGE852061 SQA852061 SZW852061 TJS852061 TTO852061 UDK852061 UNG852061 UXC852061 VGY852061 VQU852061 WAQ852061 WKM852061 WUI852061 HW917597 RS917597 ABO917597 ALK917597 AVG917597 BFC917597 BOY917597 BYU917597 CIQ917597 CSM917597 DCI917597 DME917597 DWA917597 EFW917597 EPS917597 EZO917597 FJK917597 FTG917597 GDC917597 GMY917597 GWU917597 HGQ917597 HQM917597 IAI917597 IKE917597 IUA917597 JDW917597 JNS917597 JXO917597 KHK917597 KRG917597 LBC917597 LKY917597 LUU917597 MEQ917597 MOM917597 MYI917597 NIE917597 NSA917597 OBW917597 OLS917597 OVO917597 PFK917597 PPG917597 PZC917597 QIY917597 QSU917597 RCQ917597 RMM917597 RWI917597 SGE917597 SQA917597 SZW917597 TJS917597 TTO917597 UDK917597 UNG917597 UXC917597 VGY917597 VQU917597 WAQ917597 WKM917597 WUI917597 HW983133 RS983133 ABO983133 ALK983133 AVG983133 BFC983133 BOY983133 BYU983133 CIQ983133 CSM983133 DCI983133 DME983133 DWA983133 EFW983133 EPS983133 EZO983133 FJK983133 FTG983133 GDC983133 GMY983133 GWU983133 HGQ983133 HQM983133 IAI983133 IKE983133 IUA983133 JDW983133 JNS983133 JXO983133 KHK983133 KRG983133 LBC983133 LKY983133 LUU983133 MEQ983133 MOM983133 MYI983133 NIE983133 NSA983133 OBW983133 OLS983133 OVO983133 PFK983133 PPG983133 PZC983133 QIY983133 QSU983133 RCQ983133 RMM983133 RWI983133 SGE983133 SQA983133 SZW983133 TJS983133 TTO983133 UDK983133 UNG983133 UXC983133 VGY983133 VQU983133 WAQ983133 WKM983133 WUI983133 E983133 E917597 E852061 E786525 E720989 E655453 E589917 E524381 E458845 E393309 E327773 E262237 E196701 E131165 E65629 E983138 E917602 E852066 E786530 E720994 E655458 E589922 E524386 E458850 E393314 E327778 E262242 E196706 E131170 E65634 E983127 E917591 E852055 E786519 E720983 E655447 E589911 E524375 E458839 E393303 E327767 E262231 E196695 E131159" xr:uid="{00000000-0002-0000-0400-000000000000}">
      <formula1>"Yes,No"</formula1>
    </dataValidation>
  </dataValidations>
  <pageMargins left="0.7" right="0.7" top="0.75" bottom="0.75" header="0.3" footer="0.3"/>
  <pageSetup orientation="portrait" horizontalDpi="4294967293" r:id="rId1"/>
  <ignoredErrors>
    <ignoredError sqref="D108 E10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N159"/>
  <sheetViews>
    <sheetView showGridLines="0" zoomScale="70" zoomScaleNormal="70" workbookViewId="0">
      <pane xSplit="1" ySplit="3" topLeftCell="B4" activePane="bottomRight" state="frozen"/>
      <selection pane="topRight" activeCell="B1" sqref="B1"/>
      <selection pane="bottomLeft" activeCell="A4" sqref="A4"/>
      <selection pane="bottomRight" activeCell="E5" sqref="E5"/>
    </sheetView>
  </sheetViews>
  <sheetFormatPr defaultColWidth="9.7109375" defaultRowHeight="15" x14ac:dyDescent="0.25"/>
  <cols>
    <col min="1" max="1" width="2.7109375" customWidth="1"/>
    <col min="2" max="2" width="69.7109375" customWidth="1"/>
    <col min="3" max="4" width="15.7109375" customWidth="1"/>
    <col min="5" max="5" width="48.140625" customWidth="1"/>
    <col min="6" max="7" width="13.7109375" customWidth="1"/>
    <col min="8" max="11" width="25.85546875" customWidth="1"/>
    <col min="12" max="14" width="13.7109375" customWidth="1"/>
  </cols>
  <sheetData>
    <row r="1" spans="2:11" ht="15.75" thickBot="1" x14ac:dyDescent="0.3">
      <c r="D1" s="44"/>
    </row>
    <row r="2" spans="2:11" ht="30" customHeight="1" thickBot="1" x14ac:dyDescent="0.3">
      <c r="B2" s="68" t="s">
        <v>243</v>
      </c>
      <c r="C2" s="47"/>
      <c r="D2" s="69"/>
      <c r="E2" s="48"/>
      <c r="G2" s="283"/>
      <c r="H2" s="283"/>
      <c r="I2" s="283"/>
      <c r="J2" s="283"/>
      <c r="K2" s="283"/>
    </row>
    <row r="3" spans="2:11" ht="18.75" thickBot="1" x14ac:dyDescent="0.3">
      <c r="B3" s="70" t="s">
        <v>173</v>
      </c>
      <c r="C3" s="71"/>
      <c r="D3" s="72"/>
      <c r="E3" s="79"/>
      <c r="G3" s="283"/>
      <c r="H3" s="283"/>
      <c r="I3" s="283"/>
      <c r="J3" s="283"/>
      <c r="K3" s="283"/>
    </row>
    <row r="4" spans="2:11" ht="15.75" thickBot="1" x14ac:dyDescent="0.3">
      <c r="D4" s="44"/>
    </row>
    <row r="5" spans="2:11" ht="30.75" thickBot="1" x14ac:dyDescent="0.3">
      <c r="B5" s="94" t="str">
        <f>Inputs!E20</f>
        <v>Generation Equipment</v>
      </c>
      <c r="C5" s="84" t="s">
        <v>0</v>
      </c>
      <c r="D5" s="85" t="s">
        <v>100</v>
      </c>
      <c r="E5" s="74" t="s">
        <v>169</v>
      </c>
    </row>
    <row r="6" spans="2:11" ht="15.75" x14ac:dyDescent="0.25">
      <c r="B6" s="116" t="s">
        <v>182</v>
      </c>
      <c r="C6" s="117">
        <v>3500000</v>
      </c>
      <c r="D6" s="118">
        <v>1</v>
      </c>
      <c r="E6" s="273" t="s">
        <v>22</v>
      </c>
    </row>
    <row r="7" spans="2:11" ht="15.75" x14ac:dyDescent="0.25">
      <c r="B7" s="119" t="s">
        <v>193</v>
      </c>
      <c r="C7" s="120">
        <v>500000</v>
      </c>
      <c r="D7" s="118">
        <v>1</v>
      </c>
      <c r="E7" s="273" t="s">
        <v>22</v>
      </c>
    </row>
    <row r="8" spans="2:11" ht="15.75" x14ac:dyDescent="0.25">
      <c r="B8" s="119" t="s">
        <v>194</v>
      </c>
      <c r="C8" s="120">
        <v>800000</v>
      </c>
      <c r="D8" s="118">
        <v>1</v>
      </c>
      <c r="E8" s="273" t="s">
        <v>22</v>
      </c>
    </row>
    <row r="9" spans="2:11" ht="15.75" x14ac:dyDescent="0.25">
      <c r="B9" s="119" t="s">
        <v>183</v>
      </c>
      <c r="C9" s="120">
        <v>200000</v>
      </c>
      <c r="D9" s="118">
        <v>1</v>
      </c>
      <c r="E9" s="273" t="s">
        <v>24</v>
      </c>
    </row>
    <row r="10" spans="2:11" ht="15.75" x14ac:dyDescent="0.25">
      <c r="B10" s="119" t="s">
        <v>184</v>
      </c>
      <c r="C10" s="120">
        <v>1000000</v>
      </c>
      <c r="D10" s="118">
        <v>1</v>
      </c>
      <c r="E10" s="273" t="s">
        <v>22</v>
      </c>
    </row>
    <row r="11" spans="2:11" ht="15.75" x14ac:dyDescent="0.25">
      <c r="B11" s="119" t="s">
        <v>101</v>
      </c>
      <c r="C11" s="120">
        <v>0</v>
      </c>
      <c r="D11" s="118">
        <v>1</v>
      </c>
      <c r="E11" s="273" t="s">
        <v>22</v>
      </c>
    </row>
    <row r="12" spans="2:11" ht="15.75" x14ac:dyDescent="0.25">
      <c r="B12" s="119" t="s">
        <v>101</v>
      </c>
      <c r="C12" s="120">
        <v>0</v>
      </c>
      <c r="D12" s="118">
        <v>1</v>
      </c>
      <c r="E12" s="273" t="s">
        <v>22</v>
      </c>
    </row>
    <row r="13" spans="2:11" ht="15.75" x14ac:dyDescent="0.25">
      <c r="B13" s="119" t="s">
        <v>101</v>
      </c>
      <c r="C13" s="120">
        <v>0</v>
      </c>
      <c r="D13" s="118">
        <v>1</v>
      </c>
      <c r="E13" s="273" t="s">
        <v>22</v>
      </c>
    </row>
    <row r="14" spans="2:11" ht="15.75" x14ac:dyDescent="0.25">
      <c r="B14" s="119" t="s">
        <v>101</v>
      </c>
      <c r="C14" s="120">
        <v>0</v>
      </c>
      <c r="D14" s="118">
        <v>1</v>
      </c>
      <c r="E14" s="273" t="s">
        <v>22</v>
      </c>
    </row>
    <row r="15" spans="2:11" ht="15.75" x14ac:dyDescent="0.25">
      <c r="B15" s="119" t="s">
        <v>101</v>
      </c>
      <c r="C15" s="120">
        <v>0</v>
      </c>
      <c r="D15" s="118">
        <v>1</v>
      </c>
      <c r="E15" s="273" t="s">
        <v>22</v>
      </c>
    </row>
    <row r="16" spans="2:11" ht="15.75" x14ac:dyDescent="0.25">
      <c r="B16" s="119" t="s">
        <v>101</v>
      </c>
      <c r="C16" s="120">
        <v>0</v>
      </c>
      <c r="D16" s="118">
        <v>1</v>
      </c>
      <c r="E16" s="273" t="s">
        <v>22</v>
      </c>
    </row>
    <row r="17" spans="2:5" ht="15.75" x14ac:dyDescent="0.25">
      <c r="B17" s="119" t="s">
        <v>101</v>
      </c>
      <c r="C17" s="120">
        <v>0</v>
      </c>
      <c r="D17" s="118">
        <v>1</v>
      </c>
      <c r="E17" s="273" t="s">
        <v>22</v>
      </c>
    </row>
    <row r="18" spans="2:5" ht="15.75" x14ac:dyDescent="0.25">
      <c r="B18" s="119" t="s">
        <v>101</v>
      </c>
      <c r="C18" s="120">
        <v>0</v>
      </c>
      <c r="D18" s="118">
        <v>1</v>
      </c>
      <c r="E18" s="273" t="s">
        <v>22</v>
      </c>
    </row>
    <row r="19" spans="2:5" ht="15.75" x14ac:dyDescent="0.25">
      <c r="B19" s="119" t="s">
        <v>101</v>
      </c>
      <c r="C19" s="120">
        <v>0</v>
      </c>
      <c r="D19" s="118">
        <v>1</v>
      </c>
      <c r="E19" s="273" t="s">
        <v>22</v>
      </c>
    </row>
    <row r="20" spans="2:5" ht="15.75" x14ac:dyDescent="0.25">
      <c r="B20" s="119" t="s">
        <v>101</v>
      </c>
      <c r="C20" s="120">
        <v>0</v>
      </c>
      <c r="D20" s="118">
        <v>1</v>
      </c>
      <c r="E20" s="273" t="s">
        <v>22</v>
      </c>
    </row>
    <row r="21" spans="2:5" ht="15.75" x14ac:dyDescent="0.25">
      <c r="B21" s="119" t="s">
        <v>101</v>
      </c>
      <c r="C21" s="120">
        <v>0</v>
      </c>
      <c r="D21" s="118">
        <v>1</v>
      </c>
      <c r="E21" s="273" t="s">
        <v>22</v>
      </c>
    </row>
    <row r="22" spans="2:5" ht="15.75" x14ac:dyDescent="0.25">
      <c r="B22" s="119" t="s">
        <v>101</v>
      </c>
      <c r="C22" s="120">
        <v>0</v>
      </c>
      <c r="D22" s="118">
        <v>1</v>
      </c>
      <c r="E22" s="273" t="s">
        <v>22</v>
      </c>
    </row>
    <row r="23" spans="2:5" ht="15.75" x14ac:dyDescent="0.25">
      <c r="B23" s="119" t="s">
        <v>101</v>
      </c>
      <c r="C23" s="120">
        <v>0</v>
      </c>
      <c r="D23" s="118">
        <v>1</v>
      </c>
      <c r="E23" s="273" t="s">
        <v>22</v>
      </c>
    </row>
    <row r="24" spans="2:5" ht="15.75" x14ac:dyDescent="0.25">
      <c r="B24" s="119" t="s">
        <v>101</v>
      </c>
      <c r="C24" s="120">
        <v>0</v>
      </c>
      <c r="D24" s="118">
        <v>1</v>
      </c>
      <c r="E24" s="273" t="s">
        <v>22</v>
      </c>
    </row>
    <row r="25" spans="2:5" ht="16.5" thickBot="1" x14ac:dyDescent="0.3">
      <c r="B25" s="121" t="s">
        <v>101</v>
      </c>
      <c r="C25" s="122">
        <v>0</v>
      </c>
      <c r="D25" s="123">
        <v>1</v>
      </c>
      <c r="E25" s="273" t="s">
        <v>22</v>
      </c>
    </row>
    <row r="26" spans="2:5" ht="30" customHeight="1" thickTop="1" x14ac:dyDescent="0.25">
      <c r="B26" s="80" t="s">
        <v>174</v>
      </c>
      <c r="C26" s="81">
        <f>SUM(C6:C25)</f>
        <v>6000000</v>
      </c>
      <c r="D26" s="55">
        <f>SUMPRODUCT(C6:C25,D6:D25)/C26</f>
        <v>1</v>
      </c>
      <c r="E26" s="82"/>
    </row>
    <row r="27" spans="2:5" ht="16.5" customHeight="1" x14ac:dyDescent="0.25">
      <c r="B27" s="89"/>
      <c r="C27" s="90"/>
      <c r="D27" s="75"/>
    </row>
    <row r="28" spans="2:5" ht="30" customHeight="1" x14ac:dyDescent="0.25">
      <c r="B28" s="52" t="s">
        <v>102</v>
      </c>
      <c r="C28" s="90"/>
      <c r="D28" s="75"/>
    </row>
    <row r="29" spans="2:5" ht="16.5" thickBot="1" x14ac:dyDescent="0.3">
      <c r="B29" s="91"/>
      <c r="C29" s="92"/>
      <c r="D29" s="93"/>
      <c r="E29" s="88"/>
    </row>
    <row r="30" spans="2:5" ht="30" customHeight="1" thickBot="1" x14ac:dyDescent="0.3">
      <c r="B30" s="94" t="str">
        <f>Inputs!E21</f>
        <v>Balance of Plant</v>
      </c>
      <c r="C30" s="84" t="s">
        <v>0</v>
      </c>
      <c r="D30" s="85" t="s">
        <v>100</v>
      </c>
      <c r="E30" s="74" t="s">
        <v>169</v>
      </c>
    </row>
    <row r="31" spans="2:5" ht="15.75" x14ac:dyDescent="0.25">
      <c r="B31" s="116" t="s">
        <v>195</v>
      </c>
      <c r="C31" s="117">
        <v>175000</v>
      </c>
      <c r="D31" s="118">
        <v>1</v>
      </c>
      <c r="E31" s="273" t="s">
        <v>25</v>
      </c>
    </row>
    <row r="32" spans="2:5" ht="15.75" x14ac:dyDescent="0.25">
      <c r="B32" s="119" t="s">
        <v>233</v>
      </c>
      <c r="C32" s="120">
        <v>2150000</v>
      </c>
      <c r="D32" s="118">
        <v>1</v>
      </c>
      <c r="E32" s="273" t="s">
        <v>22</v>
      </c>
    </row>
    <row r="33" spans="2:5" ht="15.75" x14ac:dyDescent="0.25">
      <c r="B33" s="119" t="s">
        <v>185</v>
      </c>
      <c r="C33" s="120">
        <v>0</v>
      </c>
      <c r="D33" s="118">
        <v>0</v>
      </c>
      <c r="E33" s="273" t="s">
        <v>25</v>
      </c>
    </row>
    <row r="34" spans="2:5" ht="15.75" x14ac:dyDescent="0.25">
      <c r="B34" s="119" t="s">
        <v>186</v>
      </c>
      <c r="C34" s="120">
        <v>100000</v>
      </c>
      <c r="D34" s="118">
        <v>1</v>
      </c>
      <c r="E34" s="273" t="s">
        <v>25</v>
      </c>
    </row>
    <row r="35" spans="2:5" ht="15.75" x14ac:dyDescent="0.25">
      <c r="B35" s="119" t="s">
        <v>75</v>
      </c>
      <c r="C35" s="120">
        <v>25000</v>
      </c>
      <c r="D35" s="118">
        <v>1</v>
      </c>
      <c r="E35" s="273" t="s">
        <v>22</v>
      </c>
    </row>
    <row r="36" spans="2:5" ht="15.75" x14ac:dyDescent="0.25">
      <c r="B36" s="119" t="s">
        <v>196</v>
      </c>
      <c r="C36" s="120">
        <v>50000</v>
      </c>
      <c r="D36" s="118">
        <v>1</v>
      </c>
      <c r="E36" s="273" t="s">
        <v>22</v>
      </c>
    </row>
    <row r="37" spans="2:5" ht="15.75" x14ac:dyDescent="0.25">
      <c r="B37" s="119" t="s">
        <v>101</v>
      </c>
      <c r="C37" s="120">
        <v>0</v>
      </c>
      <c r="D37" s="118">
        <v>1</v>
      </c>
      <c r="E37" s="273" t="s">
        <v>22</v>
      </c>
    </row>
    <row r="38" spans="2:5" ht="15.75" x14ac:dyDescent="0.25">
      <c r="B38" s="119" t="s">
        <v>101</v>
      </c>
      <c r="C38" s="120">
        <v>0</v>
      </c>
      <c r="D38" s="118">
        <v>1</v>
      </c>
      <c r="E38" s="273" t="s">
        <v>22</v>
      </c>
    </row>
    <row r="39" spans="2:5" ht="15.75" x14ac:dyDescent="0.25">
      <c r="B39" s="119" t="s">
        <v>101</v>
      </c>
      <c r="C39" s="120">
        <v>0</v>
      </c>
      <c r="D39" s="118">
        <v>1</v>
      </c>
      <c r="E39" s="273" t="s">
        <v>22</v>
      </c>
    </row>
    <row r="40" spans="2:5" ht="15.75" x14ac:dyDescent="0.25">
      <c r="B40" s="119" t="s">
        <v>101</v>
      </c>
      <c r="C40" s="120">
        <v>0</v>
      </c>
      <c r="D40" s="118">
        <v>1</v>
      </c>
      <c r="E40" s="273" t="s">
        <v>22</v>
      </c>
    </row>
    <row r="41" spans="2:5" ht="15.75" x14ac:dyDescent="0.25">
      <c r="B41" s="119" t="s">
        <v>101</v>
      </c>
      <c r="C41" s="120">
        <v>0</v>
      </c>
      <c r="D41" s="118">
        <v>1</v>
      </c>
      <c r="E41" s="273" t="s">
        <v>22</v>
      </c>
    </row>
    <row r="42" spans="2:5" ht="15.75" x14ac:dyDescent="0.25">
      <c r="B42" s="119" t="s">
        <v>101</v>
      </c>
      <c r="C42" s="120">
        <v>0</v>
      </c>
      <c r="D42" s="118">
        <v>1</v>
      </c>
      <c r="E42" s="273" t="s">
        <v>22</v>
      </c>
    </row>
    <row r="43" spans="2:5" ht="15.75" x14ac:dyDescent="0.25">
      <c r="B43" s="119" t="s">
        <v>101</v>
      </c>
      <c r="C43" s="120">
        <v>0</v>
      </c>
      <c r="D43" s="118">
        <v>1</v>
      </c>
      <c r="E43" s="273" t="s">
        <v>22</v>
      </c>
    </row>
    <row r="44" spans="2:5" ht="15.75" x14ac:dyDescent="0.25">
      <c r="B44" s="119" t="s">
        <v>101</v>
      </c>
      <c r="C44" s="120">
        <v>0</v>
      </c>
      <c r="D44" s="118">
        <v>1</v>
      </c>
      <c r="E44" s="273" t="s">
        <v>22</v>
      </c>
    </row>
    <row r="45" spans="2:5" ht="15.75" x14ac:dyDescent="0.25">
      <c r="B45" s="119" t="s">
        <v>101</v>
      </c>
      <c r="C45" s="120">
        <v>0</v>
      </c>
      <c r="D45" s="118">
        <v>1</v>
      </c>
      <c r="E45" s="273" t="s">
        <v>22</v>
      </c>
    </row>
    <row r="46" spans="2:5" ht="15.75" x14ac:dyDescent="0.25">
      <c r="B46" s="119" t="s">
        <v>101</v>
      </c>
      <c r="C46" s="120">
        <v>0</v>
      </c>
      <c r="D46" s="118">
        <v>1</v>
      </c>
      <c r="E46" s="273" t="s">
        <v>22</v>
      </c>
    </row>
    <row r="47" spans="2:5" ht="15.75" x14ac:dyDescent="0.25">
      <c r="B47" s="119" t="s">
        <v>101</v>
      </c>
      <c r="C47" s="120">
        <v>0</v>
      </c>
      <c r="D47" s="118">
        <v>1</v>
      </c>
      <c r="E47" s="273" t="s">
        <v>22</v>
      </c>
    </row>
    <row r="48" spans="2:5" ht="15.75" x14ac:dyDescent="0.25">
      <c r="B48" s="119" t="s">
        <v>101</v>
      </c>
      <c r="C48" s="120">
        <v>0</v>
      </c>
      <c r="D48" s="118">
        <v>1</v>
      </c>
      <c r="E48" s="273" t="s">
        <v>22</v>
      </c>
    </row>
    <row r="49" spans="2:5" ht="15.75" x14ac:dyDescent="0.25">
      <c r="B49" s="119" t="s">
        <v>101</v>
      </c>
      <c r="C49" s="120">
        <v>0</v>
      </c>
      <c r="D49" s="118">
        <v>1</v>
      </c>
      <c r="E49" s="273" t="s">
        <v>22</v>
      </c>
    </row>
    <row r="50" spans="2:5" ht="16.5" thickBot="1" x14ac:dyDescent="0.3">
      <c r="B50" s="121" t="s">
        <v>101</v>
      </c>
      <c r="C50" s="122">
        <v>0</v>
      </c>
      <c r="D50" s="123">
        <v>1</v>
      </c>
      <c r="E50" s="273" t="s">
        <v>22</v>
      </c>
    </row>
    <row r="51" spans="2:5" ht="30" customHeight="1" thickTop="1" x14ac:dyDescent="0.25">
      <c r="B51" s="80" t="s">
        <v>176</v>
      </c>
      <c r="C51" s="81">
        <f>SUM(C31:C50)</f>
        <v>2500000</v>
      </c>
      <c r="D51" s="55">
        <f>SUMPRODUCT(C31:C50,D31:D50)/C51</f>
        <v>1</v>
      </c>
      <c r="E51" s="51"/>
    </row>
    <row r="53" spans="2:5" ht="30" customHeight="1" x14ac:dyDescent="0.25">
      <c r="B53" s="52" t="s">
        <v>102</v>
      </c>
    </row>
    <row r="54" spans="2:5" ht="15.75" thickBot="1" x14ac:dyDescent="0.3"/>
    <row r="55" spans="2:5" ht="30.75" thickBot="1" x14ac:dyDescent="0.3">
      <c r="B55" s="45" t="str">
        <f>Inputs!E22</f>
        <v>Interconnection</v>
      </c>
      <c r="C55" s="84" t="s">
        <v>0</v>
      </c>
      <c r="D55" s="85" t="s">
        <v>100</v>
      </c>
      <c r="E55" s="74" t="s">
        <v>169</v>
      </c>
    </row>
    <row r="56" spans="2:5" ht="15.75" x14ac:dyDescent="0.25">
      <c r="B56" s="116" t="s">
        <v>103</v>
      </c>
      <c r="C56" s="117">
        <v>200000</v>
      </c>
      <c r="D56" s="118">
        <v>0.5</v>
      </c>
      <c r="E56" s="273" t="s">
        <v>25</v>
      </c>
    </row>
    <row r="57" spans="2:5" ht="15.75" x14ac:dyDescent="0.25">
      <c r="B57" s="119" t="s">
        <v>198</v>
      </c>
      <c r="C57" s="120">
        <v>50000</v>
      </c>
      <c r="D57" s="118">
        <v>0.5</v>
      </c>
      <c r="E57" s="273" t="s">
        <v>25</v>
      </c>
    </row>
    <row r="58" spans="2:5" ht="15.75" x14ac:dyDescent="0.25">
      <c r="B58" s="119" t="s">
        <v>197</v>
      </c>
      <c r="C58" s="120">
        <v>25000</v>
      </c>
      <c r="D58" s="118">
        <v>0.5</v>
      </c>
      <c r="E58" s="273" t="s">
        <v>25</v>
      </c>
    </row>
    <row r="59" spans="2:5" ht="15.75" x14ac:dyDescent="0.25">
      <c r="B59" s="119" t="s">
        <v>199</v>
      </c>
      <c r="C59" s="120">
        <v>0</v>
      </c>
      <c r="D59" s="118">
        <v>0.5</v>
      </c>
      <c r="E59" s="273" t="s">
        <v>25</v>
      </c>
    </row>
    <row r="60" spans="2:5" ht="15.75" x14ac:dyDescent="0.25">
      <c r="B60" s="274" t="s">
        <v>101</v>
      </c>
      <c r="C60" s="275">
        <v>0</v>
      </c>
      <c r="D60" s="118">
        <v>0.5</v>
      </c>
      <c r="E60" s="273" t="s">
        <v>25</v>
      </c>
    </row>
    <row r="61" spans="2:5" ht="15.75" x14ac:dyDescent="0.25">
      <c r="B61" s="274" t="s">
        <v>101</v>
      </c>
      <c r="C61" s="275">
        <v>0</v>
      </c>
      <c r="D61" s="118">
        <v>0.5</v>
      </c>
      <c r="E61" s="273" t="s">
        <v>25</v>
      </c>
    </row>
    <row r="62" spans="2:5" ht="15.75" x14ac:dyDescent="0.25">
      <c r="B62" s="274" t="s">
        <v>101</v>
      </c>
      <c r="C62" s="275">
        <v>0</v>
      </c>
      <c r="D62" s="118">
        <v>0.5</v>
      </c>
      <c r="E62" s="273" t="s">
        <v>25</v>
      </c>
    </row>
    <row r="63" spans="2:5" ht="15.75" x14ac:dyDescent="0.25">
      <c r="B63" s="274" t="s">
        <v>101</v>
      </c>
      <c r="C63" s="275">
        <v>0</v>
      </c>
      <c r="D63" s="118">
        <v>0.5</v>
      </c>
      <c r="E63" s="273" t="s">
        <v>25</v>
      </c>
    </row>
    <row r="64" spans="2:5" ht="15.75" x14ac:dyDescent="0.25">
      <c r="B64" s="274" t="s">
        <v>101</v>
      </c>
      <c r="C64" s="275">
        <v>0</v>
      </c>
      <c r="D64" s="118">
        <v>0.5</v>
      </c>
      <c r="E64" s="273" t="s">
        <v>25</v>
      </c>
    </row>
    <row r="65" spans="2:5" ht="15.75" x14ac:dyDescent="0.25">
      <c r="B65" s="274" t="s">
        <v>101</v>
      </c>
      <c r="C65" s="275">
        <v>0</v>
      </c>
      <c r="D65" s="118">
        <v>0.5</v>
      </c>
      <c r="E65" s="273" t="s">
        <v>25</v>
      </c>
    </row>
    <row r="66" spans="2:5" ht="15.75" x14ac:dyDescent="0.25">
      <c r="B66" s="274" t="s">
        <v>101</v>
      </c>
      <c r="C66" s="275">
        <v>0</v>
      </c>
      <c r="D66" s="118">
        <v>0.5</v>
      </c>
      <c r="E66" s="273" t="s">
        <v>25</v>
      </c>
    </row>
    <row r="67" spans="2:5" ht="15.75" x14ac:dyDescent="0.25">
      <c r="B67" s="274" t="s">
        <v>101</v>
      </c>
      <c r="C67" s="275">
        <v>0</v>
      </c>
      <c r="D67" s="118">
        <v>0.5</v>
      </c>
      <c r="E67" s="273" t="s">
        <v>25</v>
      </c>
    </row>
    <row r="68" spans="2:5" ht="15.75" x14ac:dyDescent="0.25">
      <c r="B68" s="274" t="s">
        <v>101</v>
      </c>
      <c r="C68" s="275">
        <v>0</v>
      </c>
      <c r="D68" s="118">
        <v>0.5</v>
      </c>
      <c r="E68" s="273" t="s">
        <v>25</v>
      </c>
    </row>
    <row r="69" spans="2:5" ht="15.75" x14ac:dyDescent="0.25">
      <c r="B69" s="274" t="s">
        <v>101</v>
      </c>
      <c r="C69" s="275">
        <v>0</v>
      </c>
      <c r="D69" s="118">
        <v>0.5</v>
      </c>
      <c r="E69" s="273" t="s">
        <v>25</v>
      </c>
    </row>
    <row r="70" spans="2:5" ht="15.75" x14ac:dyDescent="0.25">
      <c r="B70" s="274" t="s">
        <v>101</v>
      </c>
      <c r="C70" s="275">
        <v>0</v>
      </c>
      <c r="D70" s="118">
        <v>0.5</v>
      </c>
      <c r="E70" s="273" t="s">
        <v>25</v>
      </c>
    </row>
    <row r="71" spans="2:5" ht="15.75" x14ac:dyDescent="0.25">
      <c r="B71" s="274" t="s">
        <v>101</v>
      </c>
      <c r="C71" s="275">
        <v>0</v>
      </c>
      <c r="D71" s="118">
        <v>0.5</v>
      </c>
      <c r="E71" s="273" t="s">
        <v>25</v>
      </c>
    </row>
    <row r="72" spans="2:5" ht="15.75" x14ac:dyDescent="0.25">
      <c r="B72" s="274" t="s">
        <v>101</v>
      </c>
      <c r="C72" s="275">
        <v>0</v>
      </c>
      <c r="D72" s="118">
        <v>0.5</v>
      </c>
      <c r="E72" s="273" t="s">
        <v>25</v>
      </c>
    </row>
    <row r="73" spans="2:5" ht="15.75" x14ac:dyDescent="0.25">
      <c r="B73" s="274" t="s">
        <v>101</v>
      </c>
      <c r="C73" s="275">
        <v>0</v>
      </c>
      <c r="D73" s="118">
        <v>0.5</v>
      </c>
      <c r="E73" s="273" t="s">
        <v>25</v>
      </c>
    </row>
    <row r="74" spans="2:5" ht="15.75" x14ac:dyDescent="0.25">
      <c r="B74" s="274" t="s">
        <v>101</v>
      </c>
      <c r="C74" s="275">
        <v>0</v>
      </c>
      <c r="D74" s="118">
        <v>0.5</v>
      </c>
      <c r="E74" s="273" t="s">
        <v>25</v>
      </c>
    </row>
    <row r="75" spans="2:5" ht="16.5" thickBot="1" x14ac:dyDescent="0.3">
      <c r="B75" s="121" t="s">
        <v>101</v>
      </c>
      <c r="C75" s="122">
        <v>0</v>
      </c>
      <c r="D75" s="123">
        <v>0.5</v>
      </c>
      <c r="E75" s="273" t="s">
        <v>25</v>
      </c>
    </row>
    <row r="76" spans="2:5" ht="30" customHeight="1" thickTop="1" x14ac:dyDescent="0.25">
      <c r="B76" s="80" t="s">
        <v>177</v>
      </c>
      <c r="C76" s="81">
        <f>SUM(C56:C75)</f>
        <v>275000</v>
      </c>
      <c r="D76" s="55">
        <f>SUMPRODUCT(C56:C75,D56:D75)/C76</f>
        <v>0.5</v>
      </c>
      <c r="E76" s="53"/>
    </row>
    <row r="77" spans="2:5" ht="15.75" customHeight="1" x14ac:dyDescent="0.25"/>
    <row r="78" spans="2:5" ht="30" customHeight="1" x14ac:dyDescent="0.25">
      <c r="B78" s="52" t="s">
        <v>102</v>
      </c>
    </row>
    <row r="79" spans="2:5" ht="15.75" customHeight="1" thickBot="1" x14ac:dyDescent="0.3">
      <c r="B79" s="52"/>
    </row>
    <row r="80" spans="2:5" ht="30.75" thickBot="1" x14ac:dyDescent="0.3">
      <c r="B80" s="45" t="str">
        <f>Inputs!E23</f>
        <v>Development Costs &amp; Fee</v>
      </c>
      <c r="C80" s="84" t="s">
        <v>0</v>
      </c>
      <c r="D80" s="85" t="s">
        <v>100</v>
      </c>
      <c r="E80" s="74" t="s">
        <v>169</v>
      </c>
    </row>
    <row r="81" spans="2:5" ht="15.75" x14ac:dyDescent="0.25">
      <c r="B81" s="116" t="s">
        <v>187</v>
      </c>
      <c r="C81" s="117">
        <v>100000</v>
      </c>
      <c r="D81" s="118">
        <v>1</v>
      </c>
      <c r="E81" s="273" t="s">
        <v>24</v>
      </c>
    </row>
    <row r="82" spans="2:5" ht="15.75" x14ac:dyDescent="0.25">
      <c r="B82" s="119" t="s">
        <v>190</v>
      </c>
      <c r="C82" s="120">
        <v>10000</v>
      </c>
      <c r="D82" s="118">
        <v>1</v>
      </c>
      <c r="E82" s="273" t="s">
        <v>25</v>
      </c>
    </row>
    <row r="83" spans="2:5" ht="15.75" x14ac:dyDescent="0.25">
      <c r="B83" s="119" t="s">
        <v>188</v>
      </c>
      <c r="C83" s="120">
        <v>350000</v>
      </c>
      <c r="D83" s="118">
        <v>1</v>
      </c>
      <c r="E83" s="273" t="s">
        <v>22</v>
      </c>
    </row>
    <row r="84" spans="2:5" ht="15.75" x14ac:dyDescent="0.25">
      <c r="B84" s="119" t="s">
        <v>189</v>
      </c>
      <c r="C84" s="120">
        <v>500000</v>
      </c>
      <c r="D84" s="118">
        <v>1</v>
      </c>
      <c r="E84" s="273" t="s">
        <v>22</v>
      </c>
    </row>
    <row r="85" spans="2:5" ht="15.75" x14ac:dyDescent="0.25">
      <c r="B85" s="119" t="s">
        <v>192</v>
      </c>
      <c r="C85" s="120">
        <v>20000</v>
      </c>
      <c r="D85" s="118">
        <v>1</v>
      </c>
      <c r="E85" s="273" t="s">
        <v>25</v>
      </c>
    </row>
    <row r="86" spans="2:5" ht="15.75" x14ac:dyDescent="0.25">
      <c r="B86" s="119" t="s">
        <v>191</v>
      </c>
      <c r="C86" s="120">
        <v>300000</v>
      </c>
      <c r="D86" s="118">
        <v>1</v>
      </c>
      <c r="E86" s="273" t="s">
        <v>22</v>
      </c>
    </row>
    <row r="87" spans="2:5" ht="15.75" x14ac:dyDescent="0.25">
      <c r="B87" s="119" t="s">
        <v>101</v>
      </c>
      <c r="C87" s="120">
        <v>0</v>
      </c>
      <c r="D87" s="118">
        <v>1</v>
      </c>
      <c r="E87" s="273" t="s">
        <v>22</v>
      </c>
    </row>
    <row r="88" spans="2:5" ht="15.75" x14ac:dyDescent="0.25">
      <c r="B88" s="119" t="s">
        <v>101</v>
      </c>
      <c r="C88" s="120">
        <v>0</v>
      </c>
      <c r="D88" s="118">
        <v>1</v>
      </c>
      <c r="E88" s="273" t="s">
        <v>22</v>
      </c>
    </row>
    <row r="89" spans="2:5" ht="15.75" x14ac:dyDescent="0.25">
      <c r="B89" s="119" t="s">
        <v>101</v>
      </c>
      <c r="C89" s="120">
        <v>0</v>
      </c>
      <c r="D89" s="118">
        <v>1</v>
      </c>
      <c r="E89" s="273" t="s">
        <v>22</v>
      </c>
    </row>
    <row r="90" spans="2:5" ht="15.75" x14ac:dyDescent="0.25">
      <c r="B90" s="119" t="s">
        <v>101</v>
      </c>
      <c r="C90" s="120">
        <v>0</v>
      </c>
      <c r="D90" s="118">
        <v>1</v>
      </c>
      <c r="E90" s="273" t="s">
        <v>22</v>
      </c>
    </row>
    <row r="91" spans="2:5" ht="15.75" x14ac:dyDescent="0.25">
      <c r="B91" s="119" t="s">
        <v>101</v>
      </c>
      <c r="C91" s="120">
        <v>0</v>
      </c>
      <c r="D91" s="118">
        <v>1</v>
      </c>
      <c r="E91" s="273" t="s">
        <v>22</v>
      </c>
    </row>
    <row r="92" spans="2:5" ht="15.75" x14ac:dyDescent="0.25">
      <c r="B92" s="119" t="s">
        <v>101</v>
      </c>
      <c r="C92" s="120">
        <v>0</v>
      </c>
      <c r="D92" s="118">
        <v>1</v>
      </c>
      <c r="E92" s="273" t="s">
        <v>22</v>
      </c>
    </row>
    <row r="93" spans="2:5" ht="15.75" x14ac:dyDescent="0.25">
      <c r="B93" s="119" t="s">
        <v>101</v>
      </c>
      <c r="C93" s="120">
        <v>0</v>
      </c>
      <c r="D93" s="118">
        <v>1</v>
      </c>
      <c r="E93" s="273" t="s">
        <v>22</v>
      </c>
    </row>
    <row r="94" spans="2:5" ht="15.75" x14ac:dyDescent="0.25">
      <c r="B94" s="119" t="s">
        <v>101</v>
      </c>
      <c r="C94" s="120">
        <v>0</v>
      </c>
      <c r="D94" s="118">
        <v>1</v>
      </c>
      <c r="E94" s="273" t="s">
        <v>22</v>
      </c>
    </row>
    <row r="95" spans="2:5" ht="15.75" x14ac:dyDescent="0.25">
      <c r="B95" s="119" t="s">
        <v>101</v>
      </c>
      <c r="C95" s="120">
        <v>0</v>
      </c>
      <c r="D95" s="118">
        <v>1</v>
      </c>
      <c r="E95" s="273" t="s">
        <v>22</v>
      </c>
    </row>
    <row r="96" spans="2:5" ht="15.75" x14ac:dyDescent="0.25">
      <c r="B96" s="119" t="s">
        <v>101</v>
      </c>
      <c r="C96" s="120">
        <v>0</v>
      </c>
      <c r="D96" s="118">
        <v>1</v>
      </c>
      <c r="E96" s="273" t="s">
        <v>22</v>
      </c>
    </row>
    <row r="97" spans="2:5" ht="15.75" x14ac:dyDescent="0.25">
      <c r="B97" s="119" t="s">
        <v>101</v>
      </c>
      <c r="C97" s="120">
        <v>0</v>
      </c>
      <c r="D97" s="118">
        <v>1</v>
      </c>
      <c r="E97" s="273" t="s">
        <v>22</v>
      </c>
    </row>
    <row r="98" spans="2:5" ht="15.75" x14ac:dyDescent="0.25">
      <c r="B98" s="119" t="s">
        <v>101</v>
      </c>
      <c r="C98" s="120">
        <v>0</v>
      </c>
      <c r="D98" s="118">
        <v>1</v>
      </c>
      <c r="E98" s="273" t="s">
        <v>22</v>
      </c>
    </row>
    <row r="99" spans="2:5" ht="15.75" x14ac:dyDescent="0.25">
      <c r="B99" s="119" t="s">
        <v>101</v>
      </c>
      <c r="C99" s="120">
        <v>0</v>
      </c>
      <c r="D99" s="118">
        <v>1</v>
      </c>
      <c r="E99" s="273" t="s">
        <v>22</v>
      </c>
    </row>
    <row r="100" spans="2:5" ht="16.5" thickBot="1" x14ac:dyDescent="0.3">
      <c r="B100" s="121" t="s">
        <v>101</v>
      </c>
      <c r="C100" s="122">
        <v>0</v>
      </c>
      <c r="D100" s="123">
        <v>1</v>
      </c>
      <c r="E100" s="273" t="s">
        <v>22</v>
      </c>
    </row>
    <row r="101" spans="2:5" ht="30" customHeight="1" thickTop="1" x14ac:dyDescent="0.25">
      <c r="B101" s="80" t="s">
        <v>181</v>
      </c>
      <c r="C101" s="81">
        <f>SUM(C81:C100)</f>
        <v>1280000</v>
      </c>
      <c r="D101" s="55">
        <f>SUMPRODUCT(C81:C100,D81:D100)/C101</f>
        <v>1</v>
      </c>
      <c r="E101" s="53"/>
    </row>
    <row r="102" spans="2:5" ht="15.75" customHeight="1" x14ac:dyDescent="0.25">
      <c r="B102" s="89"/>
      <c r="C102" s="90"/>
      <c r="D102" s="75"/>
      <c r="E102" s="103"/>
    </row>
    <row r="103" spans="2:5" ht="30" customHeight="1" x14ac:dyDescent="0.25">
      <c r="B103" s="52" t="s">
        <v>102</v>
      </c>
      <c r="C103" s="90"/>
      <c r="D103" s="75"/>
      <c r="E103" s="103"/>
    </row>
    <row r="104" spans="2:5" ht="15.75" customHeight="1" thickBot="1" x14ac:dyDescent="0.3">
      <c r="B104" s="89"/>
      <c r="C104" s="90"/>
      <c r="D104" s="75"/>
      <c r="E104" s="103"/>
    </row>
    <row r="105" spans="2:5" ht="30" customHeight="1" thickBot="1" x14ac:dyDescent="0.3">
      <c r="B105" s="45" t="str">
        <f>Inputs!E24</f>
        <v>Reserves &amp; Financing Costs</v>
      </c>
      <c r="C105" s="84" t="s">
        <v>0</v>
      </c>
      <c r="D105" s="85" t="s">
        <v>100</v>
      </c>
      <c r="E105" s="74" t="s">
        <v>169</v>
      </c>
    </row>
    <row r="106" spans="2:5" ht="15.75" customHeight="1" x14ac:dyDescent="0.25">
      <c r="B106" s="80" t="s">
        <v>179</v>
      </c>
      <c r="C106" s="81">
        <f>((C26+C51+C76+C101)*Inputs!$G$51*Inputs!$G$54)</f>
        <v>135742.5</v>
      </c>
      <c r="D106" s="118">
        <v>0</v>
      </c>
      <c r="E106" s="273" t="s">
        <v>26</v>
      </c>
    </row>
    <row r="107" spans="2:5" ht="15.75" customHeight="1" x14ac:dyDescent="0.25">
      <c r="B107" s="49" t="s">
        <v>40</v>
      </c>
      <c r="C107" s="105">
        <f>(C26+C51+C76+C101)*(Inputs!$G$47/12)*(Inputs!$G$46/2)</f>
        <v>125687.5</v>
      </c>
      <c r="D107" s="118">
        <v>0</v>
      </c>
      <c r="E107" s="273" t="s">
        <v>25</v>
      </c>
    </row>
    <row r="108" spans="2:5" ht="15.75" customHeight="1" x14ac:dyDescent="0.25">
      <c r="B108" s="9" t="s">
        <v>52</v>
      </c>
      <c r="C108" s="105">
        <f>Inputs!$G$64</f>
        <v>0</v>
      </c>
      <c r="D108" s="118">
        <v>0</v>
      </c>
      <c r="E108" s="273" t="s">
        <v>25</v>
      </c>
    </row>
    <row r="109" spans="2:5" ht="15.75" customHeight="1" thickBot="1" x14ac:dyDescent="0.3">
      <c r="B109" s="106" t="s">
        <v>180</v>
      </c>
      <c r="C109" s="107">
        <f>Inputs!$Q$63+Inputs!$Q$66</f>
        <v>203609.77022297902</v>
      </c>
      <c r="D109" s="123">
        <v>0</v>
      </c>
      <c r="E109" s="273" t="s">
        <v>26</v>
      </c>
    </row>
    <row r="110" spans="2:5" ht="30.75" customHeight="1" thickTop="1" x14ac:dyDescent="0.25">
      <c r="B110" s="97" t="s">
        <v>143</v>
      </c>
      <c r="C110" s="81">
        <f>SUM(C106:C109)</f>
        <v>465039.77022297902</v>
      </c>
      <c r="D110" s="55">
        <f>SUMPRODUCT(C106:C109,D106:D109)/C110</f>
        <v>0</v>
      </c>
      <c r="E110" s="73"/>
    </row>
    <row r="111" spans="2:5" ht="15.75" customHeight="1" x14ac:dyDescent="0.25">
      <c r="B111" s="86"/>
      <c r="C111" s="104"/>
      <c r="D111" s="87"/>
      <c r="E111" s="88"/>
    </row>
    <row r="112" spans="2:5" ht="30" customHeight="1" x14ac:dyDescent="0.25">
      <c r="B112" s="52" t="s">
        <v>102</v>
      </c>
      <c r="C112" s="104"/>
      <c r="D112" s="87"/>
      <c r="E112" s="88"/>
    </row>
    <row r="113" spans="2:14" ht="15.75" customHeight="1" thickBot="1" x14ac:dyDescent="0.3">
      <c r="B113" s="86"/>
      <c r="C113" s="104"/>
      <c r="D113" s="87"/>
      <c r="E113" s="88"/>
    </row>
    <row r="114" spans="2:14" ht="16.5" thickBot="1" x14ac:dyDescent="0.3">
      <c r="B114" s="45" t="s">
        <v>175</v>
      </c>
      <c r="C114" s="46"/>
      <c r="D114" s="46"/>
      <c r="E114" s="76" t="s">
        <v>99</v>
      </c>
      <c r="F114" s="77"/>
      <c r="G114" s="77"/>
      <c r="H114" s="77"/>
      <c r="I114" s="77"/>
      <c r="J114" s="77"/>
      <c r="K114" s="77"/>
      <c r="L114" s="77"/>
      <c r="M114" s="77"/>
      <c r="N114" s="78"/>
    </row>
    <row r="115" spans="2:14" ht="45.75" thickBot="1" x14ac:dyDescent="0.3">
      <c r="B115" s="94" t="s">
        <v>29</v>
      </c>
      <c r="C115" s="84" t="s">
        <v>0</v>
      </c>
      <c r="D115" s="85" t="s">
        <v>178</v>
      </c>
      <c r="E115" s="85" t="s">
        <v>29</v>
      </c>
      <c r="F115" s="85" t="s">
        <v>22</v>
      </c>
      <c r="G115" s="85" t="s">
        <v>136</v>
      </c>
      <c r="H115" s="85" t="s">
        <v>23</v>
      </c>
      <c r="I115" s="85" t="s">
        <v>137</v>
      </c>
      <c r="J115" s="85" t="s">
        <v>138</v>
      </c>
      <c r="K115" s="85" t="s">
        <v>24</v>
      </c>
      <c r="L115" s="85" t="s">
        <v>25</v>
      </c>
      <c r="M115" s="85" t="s">
        <v>139</v>
      </c>
      <c r="N115" s="115" t="s">
        <v>26</v>
      </c>
    </row>
    <row r="116" spans="2:14" ht="15.75" customHeight="1" x14ac:dyDescent="0.25">
      <c r="B116" s="97" t="s">
        <v>168</v>
      </c>
      <c r="C116" s="100">
        <f>C26</f>
        <v>6000000</v>
      </c>
      <c r="D116" s="113">
        <f>C26*D26</f>
        <v>6000000</v>
      </c>
      <c r="E116" s="114" t="s">
        <v>168</v>
      </c>
      <c r="F116" s="100">
        <f>SUMIF($E$5:$E$26,F$115,$C$5:$C$26)</f>
        <v>5800000</v>
      </c>
      <c r="G116" s="100">
        <f t="shared" ref="G116:N116" si="0">SUMIF($E$5:$E$26,G$115,$C$5:$C$26)</f>
        <v>0</v>
      </c>
      <c r="H116" s="100">
        <f t="shared" si="0"/>
        <v>0</v>
      </c>
      <c r="I116" s="100">
        <f t="shared" si="0"/>
        <v>0</v>
      </c>
      <c r="J116" s="100">
        <f t="shared" si="0"/>
        <v>0</v>
      </c>
      <c r="K116" s="100">
        <f t="shared" si="0"/>
        <v>200000</v>
      </c>
      <c r="L116" s="100">
        <f t="shared" si="0"/>
        <v>0</v>
      </c>
      <c r="M116" s="100">
        <f t="shared" si="0"/>
        <v>0</v>
      </c>
      <c r="N116" s="100">
        <f t="shared" si="0"/>
        <v>0</v>
      </c>
    </row>
    <row r="117" spans="2:14" ht="15.75" customHeight="1" x14ac:dyDescent="0.25">
      <c r="B117" s="50" t="s">
        <v>170</v>
      </c>
      <c r="C117" s="95">
        <f>C51</f>
        <v>2500000</v>
      </c>
      <c r="D117" s="102">
        <f>C51*D51</f>
        <v>2500000</v>
      </c>
      <c r="E117" s="111" t="s">
        <v>170</v>
      </c>
      <c r="F117" s="95">
        <f>SUMIF($E$30:$E$51,F$115,$C$30:$C$51)</f>
        <v>2225000</v>
      </c>
      <c r="G117" s="95">
        <f t="shared" ref="G117:N117" si="1">SUMIF($E$30:$E$51,G$115,$C$30:$C$51)</f>
        <v>0</v>
      </c>
      <c r="H117" s="95">
        <f t="shared" si="1"/>
        <v>0</v>
      </c>
      <c r="I117" s="95">
        <f t="shared" si="1"/>
        <v>0</v>
      </c>
      <c r="J117" s="95">
        <f t="shared" si="1"/>
        <v>0</v>
      </c>
      <c r="K117" s="95">
        <f t="shared" si="1"/>
        <v>0</v>
      </c>
      <c r="L117" s="95">
        <f t="shared" si="1"/>
        <v>275000</v>
      </c>
      <c r="M117" s="95">
        <f t="shared" si="1"/>
        <v>0</v>
      </c>
      <c r="N117" s="95">
        <f t="shared" si="1"/>
        <v>0</v>
      </c>
    </row>
    <row r="118" spans="2:14" ht="15.75" customHeight="1" x14ac:dyDescent="0.25">
      <c r="B118" s="50" t="s">
        <v>171</v>
      </c>
      <c r="C118" s="95">
        <f>C76</f>
        <v>275000</v>
      </c>
      <c r="D118" s="102">
        <f>C76*D76</f>
        <v>137500</v>
      </c>
      <c r="E118" s="111" t="s">
        <v>171</v>
      </c>
      <c r="F118" s="95">
        <f>SUMIF($E$55:$E$76,F$115,$C$55:$C$76)</f>
        <v>0</v>
      </c>
      <c r="G118" s="95">
        <f t="shared" ref="G118:N118" si="2">SUMIF($E$55:$E$76,G$115,$C$55:$C$76)</f>
        <v>0</v>
      </c>
      <c r="H118" s="95">
        <f t="shared" si="2"/>
        <v>0</v>
      </c>
      <c r="I118" s="95">
        <f t="shared" si="2"/>
        <v>0</v>
      </c>
      <c r="J118" s="95">
        <f t="shared" si="2"/>
        <v>0</v>
      </c>
      <c r="K118" s="95">
        <f t="shared" si="2"/>
        <v>0</v>
      </c>
      <c r="L118" s="95">
        <f t="shared" si="2"/>
        <v>275000</v>
      </c>
      <c r="M118" s="95">
        <f t="shared" si="2"/>
        <v>0</v>
      </c>
      <c r="N118" s="95">
        <f t="shared" si="2"/>
        <v>0</v>
      </c>
    </row>
    <row r="119" spans="2:14" ht="15.75" customHeight="1" x14ac:dyDescent="0.25">
      <c r="B119" s="50" t="s">
        <v>172</v>
      </c>
      <c r="C119" s="95">
        <f>C101</f>
        <v>1280000</v>
      </c>
      <c r="D119" s="102">
        <f>C101*D101</f>
        <v>1280000</v>
      </c>
      <c r="E119" s="111" t="s">
        <v>172</v>
      </c>
      <c r="F119" s="95">
        <f>SUMIF($E$80:$E$101,F$115,$C$80:$C$101)</f>
        <v>1150000</v>
      </c>
      <c r="G119" s="95">
        <f t="shared" ref="G119:N119" si="3">SUMIF($E$80:$E$101,G$115,$C$80:$C$101)</f>
        <v>0</v>
      </c>
      <c r="H119" s="95">
        <f t="shared" si="3"/>
        <v>0</v>
      </c>
      <c r="I119" s="95">
        <f t="shared" si="3"/>
        <v>0</v>
      </c>
      <c r="J119" s="95">
        <f t="shared" si="3"/>
        <v>0</v>
      </c>
      <c r="K119" s="95">
        <f t="shared" si="3"/>
        <v>100000</v>
      </c>
      <c r="L119" s="95">
        <f t="shared" si="3"/>
        <v>30000</v>
      </c>
      <c r="M119" s="95">
        <f t="shared" si="3"/>
        <v>0</v>
      </c>
      <c r="N119" s="95">
        <f t="shared" si="3"/>
        <v>0</v>
      </c>
    </row>
    <row r="120" spans="2:14" ht="15.75" customHeight="1" thickBot="1" x14ac:dyDescent="0.3">
      <c r="B120" s="98" t="s">
        <v>104</v>
      </c>
      <c r="C120" s="99">
        <f>C110</f>
        <v>465039.77022297902</v>
      </c>
      <c r="D120" s="108">
        <f>C110*D110</f>
        <v>0</v>
      </c>
      <c r="E120" s="112" t="s">
        <v>104</v>
      </c>
      <c r="F120" s="110">
        <f>SUMIF($E$105:$E$110,F$115,$C$105:$C$110)</f>
        <v>0</v>
      </c>
      <c r="G120" s="110">
        <f t="shared" ref="G120:N120" si="4">SUMIF($E$105:$E$110,G$115,$C$105:$C$110)</f>
        <v>0</v>
      </c>
      <c r="H120" s="110">
        <f t="shared" si="4"/>
        <v>0</v>
      </c>
      <c r="I120" s="110">
        <f t="shared" si="4"/>
        <v>0</v>
      </c>
      <c r="J120" s="110">
        <f t="shared" si="4"/>
        <v>0</v>
      </c>
      <c r="K120" s="110">
        <f t="shared" si="4"/>
        <v>0</v>
      </c>
      <c r="L120" s="110">
        <f t="shared" si="4"/>
        <v>125687.5</v>
      </c>
      <c r="M120" s="110">
        <f t="shared" si="4"/>
        <v>0</v>
      </c>
      <c r="N120" s="110">
        <f t="shared" si="4"/>
        <v>339352.27022297902</v>
      </c>
    </row>
    <row r="121" spans="2:14" ht="30" customHeight="1" thickTop="1" x14ac:dyDescent="0.25">
      <c r="B121" s="96" t="s">
        <v>143</v>
      </c>
      <c r="C121" s="101">
        <f>SUM(C116:C120)</f>
        <v>10520039.770222979</v>
      </c>
      <c r="D121" s="101">
        <f>SUM(D116:D120)</f>
        <v>9917500</v>
      </c>
      <c r="E121" s="50"/>
      <c r="F121" s="101">
        <f>SUM(F116:F120)</f>
        <v>9175000</v>
      </c>
      <c r="G121" s="101">
        <f t="shared" ref="G121:N121" si="5">SUM(G116:G120)</f>
        <v>0</v>
      </c>
      <c r="H121" s="101">
        <f t="shared" si="5"/>
        <v>0</v>
      </c>
      <c r="I121" s="101">
        <f t="shared" si="5"/>
        <v>0</v>
      </c>
      <c r="J121" s="101">
        <f t="shared" si="5"/>
        <v>0</v>
      </c>
      <c r="K121" s="101">
        <f t="shared" si="5"/>
        <v>300000</v>
      </c>
      <c r="L121" s="101">
        <f t="shared" si="5"/>
        <v>705687.5</v>
      </c>
      <c r="M121" s="101">
        <f t="shared" si="5"/>
        <v>0</v>
      </c>
      <c r="N121" s="101">
        <f t="shared" si="5"/>
        <v>339352.27022297902</v>
      </c>
    </row>
    <row r="123" spans="2:14" ht="15.75" x14ac:dyDescent="0.25">
      <c r="B123" s="217" t="s">
        <v>218</v>
      </c>
      <c r="C123" s="218" t="str">
        <f>Inputs!G73</f>
        <v>Yes</v>
      </c>
    </row>
    <row r="124" spans="2:14" ht="15.75" thickBot="1" x14ac:dyDescent="0.3">
      <c r="B124" s="284"/>
      <c r="C124" s="284"/>
      <c r="D124" s="284"/>
      <c r="E124" s="284"/>
      <c r="F124" s="284"/>
      <c r="G124" s="284"/>
      <c r="H124" s="284"/>
      <c r="I124" s="284"/>
      <c r="J124" s="284"/>
      <c r="K124" s="284"/>
      <c r="L124" s="284"/>
      <c r="M124" s="284"/>
      <c r="N124" s="284"/>
    </row>
    <row r="125" spans="2:14" ht="15.75" thickBot="1" x14ac:dyDescent="0.3">
      <c r="D125" s="272"/>
      <c r="E125" s="272"/>
    </row>
    <row r="126" spans="2:14" ht="30" customHeight="1" thickBot="1" x14ac:dyDescent="0.3">
      <c r="B126" s="735" t="s">
        <v>242</v>
      </c>
      <c r="C126" s="736"/>
      <c r="D126" s="736"/>
      <c r="E126" s="737"/>
    </row>
    <row r="127" spans="2:14" ht="15.75" thickBot="1" x14ac:dyDescent="0.3"/>
    <row r="128" spans="2:14" ht="60.75" thickBot="1" x14ac:dyDescent="0.3">
      <c r="C128" s="281" t="s">
        <v>278</v>
      </c>
      <c r="D128" s="282" t="s">
        <v>281</v>
      </c>
    </row>
    <row r="129" spans="3:6" ht="15.75" x14ac:dyDescent="0.25">
      <c r="C129" s="433">
        <f>'Cash Flow'!G2</f>
        <v>1</v>
      </c>
      <c r="D129" s="434">
        <v>5</v>
      </c>
      <c r="F129" s="333"/>
    </row>
    <row r="130" spans="3:6" ht="15.75" x14ac:dyDescent="0.25">
      <c r="C130" s="435">
        <f>C129+1</f>
        <v>2</v>
      </c>
      <c r="D130" s="436">
        <v>5.0999999999999996</v>
      </c>
      <c r="F130" s="333"/>
    </row>
    <row r="131" spans="3:6" ht="15.75" x14ac:dyDescent="0.25">
      <c r="C131" s="435">
        <f t="shared" ref="C131:C158" si="6">C130+1</f>
        <v>3</v>
      </c>
      <c r="D131" s="436">
        <v>5.202</v>
      </c>
      <c r="F131" s="333"/>
    </row>
    <row r="132" spans="3:6" ht="15.75" x14ac:dyDescent="0.25">
      <c r="C132" s="435">
        <f t="shared" si="6"/>
        <v>4</v>
      </c>
      <c r="D132" s="436">
        <v>5.3060400000000003</v>
      </c>
      <c r="F132" s="333"/>
    </row>
    <row r="133" spans="3:6" ht="15.75" x14ac:dyDescent="0.25">
      <c r="C133" s="435">
        <f t="shared" si="6"/>
        <v>5</v>
      </c>
      <c r="D133" s="436">
        <v>5.4121608000000005</v>
      </c>
      <c r="F133" s="333"/>
    </row>
    <row r="134" spans="3:6" ht="15.75" x14ac:dyDescent="0.25">
      <c r="C134" s="435">
        <f t="shared" si="6"/>
        <v>6</v>
      </c>
      <c r="D134" s="436">
        <v>5.5204040160000005</v>
      </c>
      <c r="F134" s="333"/>
    </row>
    <row r="135" spans="3:6" ht="15.75" x14ac:dyDescent="0.25">
      <c r="C135" s="435">
        <f t="shared" si="6"/>
        <v>7</v>
      </c>
      <c r="D135" s="436">
        <v>5.6308120963200006</v>
      </c>
      <c r="F135" s="333"/>
    </row>
    <row r="136" spans="3:6" ht="15.75" x14ac:dyDescent="0.25">
      <c r="C136" s="435">
        <f t="shared" si="6"/>
        <v>8</v>
      </c>
      <c r="D136" s="436">
        <v>5.7434283382464004</v>
      </c>
      <c r="E136" s="109"/>
      <c r="F136" s="333"/>
    </row>
    <row r="137" spans="3:6" ht="15.75" x14ac:dyDescent="0.25">
      <c r="C137" s="435">
        <f t="shared" si="6"/>
        <v>9</v>
      </c>
      <c r="D137" s="436">
        <v>5.8582969050113283</v>
      </c>
      <c r="E137" s="17"/>
      <c r="F137" s="333"/>
    </row>
    <row r="138" spans="3:6" ht="15.75" x14ac:dyDescent="0.25">
      <c r="C138" s="435">
        <f t="shared" si="6"/>
        <v>10</v>
      </c>
      <c r="D138" s="436">
        <v>5.9754628431115551</v>
      </c>
      <c r="E138" s="17"/>
      <c r="F138" s="333"/>
    </row>
    <row r="139" spans="3:6" ht="15.75" x14ac:dyDescent="0.25">
      <c r="C139" s="435">
        <f t="shared" si="6"/>
        <v>11</v>
      </c>
      <c r="D139" s="436">
        <v>6.094972099973786</v>
      </c>
      <c r="E139" s="17"/>
      <c r="F139" s="333"/>
    </row>
    <row r="140" spans="3:6" ht="15.75" x14ac:dyDescent="0.25">
      <c r="C140" s="435">
        <f t="shared" si="6"/>
        <v>12</v>
      </c>
      <c r="D140" s="436">
        <v>6.2168715419732621</v>
      </c>
      <c r="E140" s="17"/>
      <c r="F140" s="333"/>
    </row>
    <row r="141" spans="3:6" ht="15.75" x14ac:dyDescent="0.25">
      <c r="C141" s="435">
        <f t="shared" si="6"/>
        <v>13</v>
      </c>
      <c r="D141" s="436">
        <v>6.3412089728127281</v>
      </c>
      <c r="E141" s="17"/>
      <c r="F141" s="333"/>
    </row>
    <row r="142" spans="3:6" ht="15.75" x14ac:dyDescent="0.25">
      <c r="C142" s="435">
        <f t="shared" si="6"/>
        <v>14</v>
      </c>
      <c r="D142" s="436">
        <v>6.4680331522689825</v>
      </c>
      <c r="E142" s="17"/>
      <c r="F142" s="333"/>
    </row>
    <row r="143" spans="3:6" ht="15.75" x14ac:dyDescent="0.25">
      <c r="C143" s="435">
        <f t="shared" si="6"/>
        <v>15</v>
      </c>
      <c r="D143" s="436">
        <v>6.5973938153143621</v>
      </c>
      <c r="E143" s="17"/>
      <c r="F143" s="333"/>
    </row>
    <row r="144" spans="3:6" ht="15.75" x14ac:dyDescent="0.25">
      <c r="C144" s="435">
        <f t="shared" si="6"/>
        <v>16</v>
      </c>
      <c r="D144" s="436">
        <v>6.7293416916206494</v>
      </c>
      <c r="E144" s="17"/>
      <c r="F144" s="333"/>
    </row>
    <row r="145" spans="3:6" ht="15.75" x14ac:dyDescent="0.25">
      <c r="C145" s="435">
        <f t="shared" si="6"/>
        <v>17</v>
      </c>
      <c r="D145" s="436">
        <v>6.8639285254530638</v>
      </c>
      <c r="E145" s="17"/>
      <c r="F145" s="333"/>
    </row>
    <row r="146" spans="3:6" ht="15.75" x14ac:dyDescent="0.25">
      <c r="C146" s="435">
        <f t="shared" si="6"/>
        <v>18</v>
      </c>
      <c r="D146" s="436">
        <v>7.0012070959621253</v>
      </c>
      <c r="F146" s="333"/>
    </row>
    <row r="147" spans="3:6" ht="15.75" x14ac:dyDescent="0.25">
      <c r="C147" s="435">
        <f t="shared" si="6"/>
        <v>19</v>
      </c>
      <c r="D147" s="436">
        <v>7.1412312378813683</v>
      </c>
      <c r="F147" s="333"/>
    </row>
    <row r="148" spans="3:6" ht="15.75" x14ac:dyDescent="0.25">
      <c r="C148" s="435">
        <f t="shared" si="6"/>
        <v>20</v>
      </c>
      <c r="D148" s="436">
        <v>7.2840558626389953</v>
      </c>
      <c r="F148" s="333"/>
    </row>
    <row r="149" spans="3:6" ht="15.75" x14ac:dyDescent="0.25">
      <c r="C149" s="435">
        <f t="shared" si="6"/>
        <v>21</v>
      </c>
      <c r="D149" s="436">
        <v>7.4297369798917758</v>
      </c>
      <c r="F149" s="333"/>
    </row>
    <row r="150" spans="3:6" ht="15.75" x14ac:dyDescent="0.25">
      <c r="C150" s="435">
        <f t="shared" si="6"/>
        <v>22</v>
      </c>
      <c r="D150" s="436">
        <v>7.5783317194896114</v>
      </c>
      <c r="F150" s="333"/>
    </row>
    <row r="151" spans="3:6" ht="15.75" x14ac:dyDescent="0.25">
      <c r="C151" s="435">
        <f t="shared" si="6"/>
        <v>23</v>
      </c>
      <c r="D151" s="436">
        <v>7.7298983538794035</v>
      </c>
      <c r="F151" s="333"/>
    </row>
    <row r="152" spans="3:6" ht="15.75" x14ac:dyDescent="0.25">
      <c r="C152" s="435">
        <f t="shared" si="6"/>
        <v>24</v>
      </c>
      <c r="D152" s="436">
        <v>7.8844963209569912</v>
      </c>
      <c r="F152" s="333"/>
    </row>
    <row r="153" spans="3:6" ht="15.75" x14ac:dyDescent="0.25">
      <c r="C153" s="435">
        <f t="shared" si="6"/>
        <v>25</v>
      </c>
      <c r="D153" s="436">
        <v>8.0421862473761312</v>
      </c>
      <c r="F153" s="333"/>
    </row>
    <row r="154" spans="3:6" ht="15.75" x14ac:dyDescent="0.25">
      <c r="C154" s="435">
        <f t="shared" si="6"/>
        <v>26</v>
      </c>
      <c r="D154" s="436">
        <v>8.2030299723236535</v>
      </c>
      <c r="F154" s="333"/>
    </row>
    <row r="155" spans="3:6" ht="15.75" x14ac:dyDescent="0.25">
      <c r="C155" s="435">
        <f t="shared" si="6"/>
        <v>27</v>
      </c>
      <c r="D155" s="436">
        <v>8.3670905717701274</v>
      </c>
      <c r="F155" s="333"/>
    </row>
    <row r="156" spans="3:6" ht="15.75" x14ac:dyDescent="0.25">
      <c r="C156" s="435">
        <f t="shared" si="6"/>
        <v>28</v>
      </c>
      <c r="D156" s="436">
        <v>8.5344323832055302</v>
      </c>
      <c r="F156" s="333"/>
    </row>
    <row r="157" spans="3:6" ht="15.75" x14ac:dyDescent="0.25">
      <c r="C157" s="435">
        <f t="shared" si="6"/>
        <v>29</v>
      </c>
      <c r="D157" s="436">
        <v>8.7051210308696394</v>
      </c>
      <c r="F157" s="333"/>
    </row>
    <row r="158" spans="3:6" ht="15.75" x14ac:dyDescent="0.25">
      <c r="C158" s="435">
        <f t="shared" si="6"/>
        <v>30</v>
      </c>
      <c r="D158" s="436">
        <v>8.8792234514870323</v>
      </c>
      <c r="F158" s="333"/>
    </row>
    <row r="159" spans="3:6" ht="30" customHeight="1" x14ac:dyDescent="0.25">
      <c r="C159" s="738" t="s">
        <v>244</v>
      </c>
      <c r="D159" s="739"/>
    </row>
  </sheetData>
  <protectedRanges>
    <protectedRange sqref="D129:D158" name="Market Value"/>
    <protectedRange sqref="B6:E25 B31:E50 B56:E75 B81:E100 D106:E109" name="Complex Inputs"/>
  </protectedRanges>
  <mergeCells count="2">
    <mergeCell ref="B126:E126"/>
    <mergeCell ref="C159:D159"/>
  </mergeCells>
  <conditionalFormatting sqref="D106:E110 D6:E26 D56:E76 D31:E51 D81:E101 D116:N121">
    <cfRule type="expression" dxfId="4" priority="1">
      <formula>$C$123="No"</formula>
    </cfRule>
  </conditionalFormatting>
  <conditionalFormatting sqref="B108">
    <cfRule type="expression" dxfId="3" priority="5">
      <formula>#REF!="100% Equity"</formula>
    </cfRule>
  </conditionalFormatting>
  <conditionalFormatting sqref="B108">
    <cfRule type="expression" dxfId="2" priority="6">
      <formula>#REF!="(use dropdown)"</formula>
    </cfRule>
  </conditionalFormatting>
  <dataValidations count="1">
    <dataValidation type="list" allowBlank="1" showInputMessage="1" showErrorMessage="1" sqref="E6:E25 E31:E50 E106:E109 E56:E75 E81:E100" xr:uid="{00000000-0002-0000-0500-000000000000}">
      <formula1>$F$115:$N$115</formula1>
    </dataValidation>
  </dataValidations>
  <hyperlinks>
    <hyperlink ref="B53" location="Inputs!A1" display="Click Here to Return to Inputs Worksheet" xr:uid="{00000000-0004-0000-0500-000000000000}"/>
    <hyperlink ref="B78" location="Inputs!A1" display="Click Here to Return to Inputs Worksheet" xr:uid="{00000000-0004-0000-0500-000001000000}"/>
    <hyperlink ref="B28" location="Inputs!A1" display="Click Here to Return to Inputs Worksheet" xr:uid="{00000000-0004-0000-0500-000002000000}"/>
    <hyperlink ref="B103" location="Inputs!A1" display="Click Here to Return to Inputs Worksheet" xr:uid="{00000000-0004-0000-0500-000003000000}"/>
    <hyperlink ref="B112" location="Inputs!A1" display="Click Here to Return to Inputs Worksheet" xr:uid="{00000000-0004-0000-0500-000004000000}"/>
  </hyperlink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Introduction</vt:lpstr>
      <vt:lpstr>Inputs</vt:lpstr>
      <vt:lpstr>Summary Results</vt:lpstr>
      <vt:lpstr>Annual Cash Flows &amp; Returns</vt:lpstr>
      <vt:lpstr>Cash Flow</vt:lpstr>
      <vt:lpstr>Complex Inputs</vt:lpstr>
      <vt:lpstr>Inputs!_ftn1</vt:lpstr>
      <vt:lpstr>Inputs!_ftnref1</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CREST Model for Solar</dc:title>
  <dc:subject>A model to assess project economics, design cost-based incentives, and evaluate the impact of state and federal support structures on renewable energy</dc:subject>
  <dc:creator/>
  <cp:keywords/>
  <dc:description/>
  <cp:lastModifiedBy>Wayland</cp:lastModifiedBy>
  <cp:lastPrinted>2010-07-30T20:36:23Z</cp:lastPrinted>
  <dcterms:created xsi:type="dcterms:W3CDTF">2010-03-29T19:24:38Z</dcterms:created>
  <dcterms:modified xsi:type="dcterms:W3CDTF">2023-03-02T01:07:50Z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e60b7dcc-1d58-4ba8-afd2-560de27538d4</vt:lpwstr>
  </property>
</Properties>
</file>