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wanbaep2/Desktop/FIN514/Homework/HW1/"/>
    </mc:Choice>
  </mc:AlternateContent>
  <bookViews>
    <workbookView xWindow="0" yWindow="460" windowWidth="28800" windowHeight="17600" tabRatio="500"/>
  </bookViews>
  <sheets>
    <sheet name="Main Result" sheetId="6" r:id="rId1"/>
    <sheet name="Caculation of Parameters" sheetId="5" r:id="rId2"/>
    <sheet name="Replicating Portfolio" sheetId="1" r:id="rId3"/>
    <sheet name="Dividend" sheetId="2" r:id="rId4"/>
    <sheet name="Term Structure" sheetId="3" r:id="rId5"/>
    <sheet name="Implied Volatility" sheetId="4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6" l="1"/>
  <c r="F11" i="6"/>
  <c r="C3" i="5"/>
  <c r="B8" i="5"/>
  <c r="B3" i="5"/>
  <c r="A2" i="3"/>
  <c r="B15" i="3"/>
  <c r="B9" i="3"/>
  <c r="B12" i="3"/>
  <c r="B10" i="3"/>
  <c r="B4" i="3"/>
  <c r="B5" i="3"/>
  <c r="B6" i="3"/>
  <c r="B7" i="3"/>
  <c r="B8" i="3"/>
  <c r="B11" i="3"/>
  <c r="B13" i="3"/>
  <c r="B14" i="3"/>
  <c r="B16" i="3"/>
  <c r="B17" i="3"/>
  <c r="B18" i="3"/>
  <c r="B19" i="3"/>
  <c r="B20" i="3"/>
  <c r="B21" i="3"/>
  <c r="B22" i="3"/>
  <c r="B23" i="3"/>
  <c r="B24" i="3"/>
  <c r="B25" i="3"/>
  <c r="B26" i="3"/>
  <c r="B27" i="3"/>
  <c r="D8" i="5"/>
  <c r="D9" i="5"/>
  <c r="E9" i="5"/>
  <c r="F8" i="5"/>
  <c r="E8" i="5"/>
  <c r="F9" i="5"/>
  <c r="C10" i="5"/>
  <c r="D3" i="6"/>
  <c r="C7" i="6"/>
  <c r="D16" i="5"/>
  <c r="D3" i="5"/>
  <c r="D15" i="5"/>
  <c r="E15" i="5"/>
  <c r="F15" i="5"/>
  <c r="E16" i="5"/>
  <c r="F16" i="5"/>
  <c r="C17" i="5"/>
  <c r="C12" i="6"/>
  <c r="C11" i="6"/>
  <c r="C13" i="6"/>
  <c r="C14" i="6"/>
  <c r="D2" i="2"/>
  <c r="E2" i="2"/>
  <c r="D3" i="2"/>
  <c r="E3" i="2"/>
  <c r="D4" i="2"/>
  <c r="E4" i="2"/>
  <c r="D7" i="6"/>
  <c r="C15" i="6"/>
  <c r="E21" i="5"/>
  <c r="F21" i="5"/>
  <c r="F22" i="5"/>
  <c r="C23" i="5"/>
  <c r="F12" i="6"/>
  <c r="F13" i="6"/>
  <c r="F14" i="6"/>
  <c r="F15" i="6"/>
  <c r="E27" i="5"/>
  <c r="F27" i="5"/>
  <c r="F28" i="5"/>
  <c r="C29" i="5"/>
  <c r="I12" i="6"/>
  <c r="I13" i="6"/>
  <c r="I14" i="6"/>
  <c r="I15" i="6"/>
  <c r="C19" i="6"/>
  <c r="B22" i="6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C2" i="2"/>
  <c r="E22" i="5"/>
  <c r="E28" i="5"/>
  <c r="D28" i="5"/>
  <c r="D27" i="5"/>
  <c r="D22" i="5"/>
  <c r="D21" i="5"/>
  <c r="B27" i="5"/>
  <c r="B21" i="5"/>
  <c r="B15" i="5"/>
  <c r="P2" i="4"/>
  <c r="O2" i="4"/>
  <c r="N2" i="4"/>
  <c r="M2" i="4"/>
  <c r="L2" i="4"/>
  <c r="K2" i="4"/>
  <c r="H2" i="4"/>
  <c r="G2" i="4"/>
  <c r="F2" i="4"/>
  <c r="E2" i="4"/>
  <c r="D2" i="4"/>
  <c r="C2" i="4"/>
  <c r="B82" i="1"/>
  <c r="D82" i="1"/>
  <c r="E82" i="1"/>
  <c r="F82" i="1"/>
  <c r="G82" i="1"/>
  <c r="B83" i="1"/>
  <c r="D83" i="1"/>
  <c r="E83" i="1"/>
  <c r="F83" i="1"/>
  <c r="G83" i="1"/>
  <c r="B84" i="1"/>
  <c r="D84" i="1"/>
  <c r="E84" i="1"/>
  <c r="F84" i="1"/>
  <c r="G84" i="1"/>
  <c r="B85" i="1"/>
  <c r="D85" i="1"/>
  <c r="E85" i="1"/>
  <c r="F85" i="1"/>
  <c r="G85" i="1"/>
  <c r="B86" i="1"/>
  <c r="D86" i="1"/>
  <c r="E86" i="1"/>
  <c r="F86" i="1"/>
  <c r="G86" i="1"/>
  <c r="B87" i="1"/>
  <c r="D87" i="1"/>
  <c r="E87" i="1"/>
  <c r="F87" i="1"/>
  <c r="G87" i="1"/>
  <c r="B88" i="1"/>
  <c r="D88" i="1"/>
  <c r="E88" i="1"/>
  <c r="F88" i="1"/>
  <c r="G88" i="1"/>
  <c r="B89" i="1"/>
  <c r="D89" i="1"/>
  <c r="E89" i="1"/>
  <c r="F89" i="1"/>
  <c r="G89" i="1"/>
  <c r="B90" i="1"/>
  <c r="D90" i="1"/>
  <c r="E90" i="1"/>
  <c r="F90" i="1"/>
  <c r="G90" i="1"/>
  <c r="B91" i="1"/>
  <c r="D91" i="1"/>
  <c r="E91" i="1"/>
  <c r="F91" i="1"/>
  <c r="G91" i="1"/>
  <c r="B92" i="1"/>
  <c r="D92" i="1"/>
  <c r="E92" i="1"/>
  <c r="F92" i="1"/>
  <c r="G92" i="1"/>
  <c r="B93" i="1"/>
  <c r="D93" i="1"/>
  <c r="E93" i="1"/>
  <c r="F93" i="1"/>
  <c r="G93" i="1"/>
  <c r="B94" i="1"/>
  <c r="D94" i="1"/>
  <c r="E94" i="1"/>
  <c r="F94" i="1"/>
  <c r="G94" i="1"/>
  <c r="B95" i="1"/>
  <c r="D95" i="1"/>
  <c r="E95" i="1"/>
  <c r="F95" i="1"/>
  <c r="G95" i="1"/>
  <c r="B96" i="1"/>
  <c r="D96" i="1"/>
  <c r="E96" i="1"/>
  <c r="F96" i="1"/>
  <c r="G96" i="1"/>
  <c r="B97" i="1"/>
  <c r="D97" i="1"/>
  <c r="E97" i="1"/>
  <c r="F97" i="1"/>
  <c r="G97" i="1"/>
  <c r="B98" i="1"/>
  <c r="D98" i="1"/>
  <c r="E98" i="1"/>
  <c r="F98" i="1"/>
  <c r="G98" i="1"/>
  <c r="B99" i="1"/>
  <c r="D99" i="1"/>
  <c r="E99" i="1"/>
  <c r="F99" i="1"/>
  <c r="G99" i="1"/>
  <c r="B100" i="1"/>
  <c r="D100" i="1"/>
  <c r="E100" i="1"/>
  <c r="F100" i="1"/>
  <c r="G100" i="1"/>
  <c r="B101" i="1"/>
  <c r="D101" i="1"/>
  <c r="E101" i="1"/>
  <c r="F101" i="1"/>
  <c r="G101" i="1"/>
  <c r="B102" i="1"/>
  <c r="D102" i="1"/>
  <c r="E102" i="1"/>
  <c r="F102" i="1"/>
  <c r="G102" i="1"/>
  <c r="B103" i="1"/>
  <c r="D103" i="1"/>
  <c r="E103" i="1"/>
  <c r="F103" i="1"/>
  <c r="G103" i="1"/>
  <c r="B104" i="1"/>
  <c r="D104" i="1"/>
  <c r="E104" i="1"/>
  <c r="F104" i="1"/>
  <c r="G104" i="1"/>
  <c r="B105" i="1"/>
  <c r="D105" i="1"/>
  <c r="E105" i="1"/>
  <c r="F105" i="1"/>
  <c r="G105" i="1"/>
  <c r="B106" i="1"/>
  <c r="D106" i="1"/>
  <c r="E106" i="1"/>
  <c r="F106" i="1"/>
  <c r="G106" i="1"/>
  <c r="B107" i="1"/>
  <c r="D107" i="1"/>
  <c r="E107" i="1"/>
  <c r="F107" i="1"/>
  <c r="G107" i="1"/>
  <c r="B108" i="1"/>
  <c r="D108" i="1"/>
  <c r="E108" i="1"/>
  <c r="F108" i="1"/>
  <c r="G108" i="1"/>
  <c r="B109" i="1"/>
  <c r="D109" i="1"/>
  <c r="E109" i="1"/>
  <c r="F109" i="1"/>
  <c r="G109" i="1"/>
  <c r="B110" i="1"/>
  <c r="D110" i="1"/>
  <c r="E110" i="1"/>
  <c r="F110" i="1"/>
  <c r="G110" i="1"/>
  <c r="B111" i="1"/>
  <c r="D111" i="1"/>
  <c r="E111" i="1"/>
  <c r="F111" i="1"/>
  <c r="G111" i="1"/>
  <c r="B112" i="1"/>
  <c r="D112" i="1"/>
  <c r="E112" i="1"/>
  <c r="F112" i="1"/>
  <c r="G112" i="1"/>
  <c r="B113" i="1"/>
  <c r="D113" i="1"/>
  <c r="E113" i="1"/>
  <c r="F113" i="1"/>
  <c r="G113" i="1"/>
  <c r="B114" i="1"/>
  <c r="D114" i="1"/>
  <c r="E114" i="1"/>
  <c r="F114" i="1"/>
  <c r="G114" i="1"/>
  <c r="B115" i="1"/>
  <c r="D115" i="1"/>
  <c r="E115" i="1"/>
  <c r="F115" i="1"/>
  <c r="G115" i="1"/>
  <c r="B116" i="1"/>
  <c r="D116" i="1"/>
  <c r="E116" i="1"/>
  <c r="F116" i="1"/>
  <c r="G116" i="1"/>
  <c r="B117" i="1"/>
  <c r="D117" i="1"/>
  <c r="E117" i="1"/>
  <c r="F117" i="1"/>
  <c r="G117" i="1"/>
  <c r="B118" i="1"/>
  <c r="D118" i="1"/>
  <c r="E118" i="1"/>
  <c r="F118" i="1"/>
  <c r="G118" i="1"/>
  <c r="B119" i="1"/>
  <c r="D119" i="1"/>
  <c r="E119" i="1"/>
  <c r="F119" i="1"/>
  <c r="G119" i="1"/>
  <c r="B120" i="1"/>
  <c r="D120" i="1"/>
  <c r="E120" i="1"/>
  <c r="F120" i="1"/>
  <c r="G120" i="1"/>
  <c r="B121" i="1"/>
  <c r="D121" i="1"/>
  <c r="E121" i="1"/>
  <c r="F121" i="1"/>
  <c r="G121" i="1"/>
  <c r="B122" i="1"/>
  <c r="D122" i="1"/>
  <c r="E122" i="1"/>
  <c r="F122" i="1"/>
  <c r="G122" i="1"/>
  <c r="B123" i="1"/>
  <c r="D123" i="1"/>
  <c r="E123" i="1"/>
  <c r="F123" i="1"/>
  <c r="G123" i="1"/>
  <c r="B124" i="1"/>
  <c r="D124" i="1"/>
  <c r="E124" i="1"/>
  <c r="F124" i="1"/>
  <c r="G124" i="1"/>
  <c r="B125" i="1"/>
  <c r="D125" i="1"/>
  <c r="E125" i="1"/>
  <c r="F125" i="1"/>
  <c r="G125" i="1"/>
  <c r="B126" i="1"/>
  <c r="D126" i="1"/>
  <c r="E126" i="1"/>
  <c r="F126" i="1"/>
  <c r="G126" i="1"/>
  <c r="B127" i="1"/>
  <c r="D127" i="1"/>
  <c r="E127" i="1"/>
  <c r="F127" i="1"/>
  <c r="G127" i="1"/>
  <c r="B128" i="1"/>
  <c r="D128" i="1"/>
  <c r="E128" i="1"/>
  <c r="F128" i="1"/>
  <c r="G128" i="1"/>
  <c r="B129" i="1"/>
  <c r="D129" i="1"/>
  <c r="E129" i="1"/>
  <c r="F129" i="1"/>
  <c r="G129" i="1"/>
  <c r="B130" i="1"/>
  <c r="D130" i="1"/>
  <c r="E130" i="1"/>
  <c r="F130" i="1"/>
  <c r="G130" i="1"/>
  <c r="B131" i="1"/>
  <c r="D131" i="1"/>
  <c r="E131" i="1"/>
  <c r="F131" i="1"/>
  <c r="G131" i="1"/>
  <c r="B132" i="1"/>
  <c r="D132" i="1"/>
  <c r="E132" i="1"/>
  <c r="F132" i="1"/>
  <c r="G132" i="1"/>
  <c r="B65" i="1"/>
  <c r="D65" i="1"/>
  <c r="E65" i="1"/>
  <c r="F65" i="1"/>
  <c r="G65" i="1"/>
  <c r="B66" i="1"/>
  <c r="D66" i="1"/>
  <c r="E66" i="1"/>
  <c r="F66" i="1"/>
  <c r="G66" i="1"/>
  <c r="B67" i="1"/>
  <c r="D67" i="1"/>
  <c r="E67" i="1"/>
  <c r="F67" i="1"/>
  <c r="G67" i="1"/>
  <c r="B68" i="1"/>
  <c r="D68" i="1"/>
  <c r="E68" i="1"/>
  <c r="F68" i="1"/>
  <c r="G68" i="1"/>
  <c r="B69" i="1"/>
  <c r="D69" i="1"/>
  <c r="E69" i="1"/>
  <c r="F69" i="1"/>
  <c r="G69" i="1"/>
  <c r="B70" i="1"/>
  <c r="D70" i="1"/>
  <c r="E70" i="1"/>
  <c r="F70" i="1"/>
  <c r="G70" i="1"/>
  <c r="B71" i="1"/>
  <c r="D71" i="1"/>
  <c r="E71" i="1"/>
  <c r="F71" i="1"/>
  <c r="G71" i="1"/>
  <c r="B72" i="1"/>
  <c r="D72" i="1"/>
  <c r="E72" i="1"/>
  <c r="F72" i="1"/>
  <c r="G72" i="1"/>
  <c r="B73" i="1"/>
  <c r="D73" i="1"/>
  <c r="E73" i="1"/>
  <c r="F73" i="1"/>
  <c r="G73" i="1"/>
  <c r="B74" i="1"/>
  <c r="D74" i="1"/>
  <c r="E74" i="1"/>
  <c r="F74" i="1"/>
  <c r="G74" i="1"/>
  <c r="B75" i="1"/>
  <c r="D75" i="1"/>
  <c r="E75" i="1"/>
  <c r="F75" i="1"/>
  <c r="G75" i="1"/>
  <c r="B76" i="1"/>
  <c r="D76" i="1"/>
  <c r="E76" i="1"/>
  <c r="F76" i="1"/>
  <c r="G76" i="1"/>
  <c r="B77" i="1"/>
  <c r="D77" i="1"/>
  <c r="E77" i="1"/>
  <c r="F77" i="1"/>
  <c r="G77" i="1"/>
  <c r="B78" i="1"/>
  <c r="D78" i="1"/>
  <c r="E78" i="1"/>
  <c r="F78" i="1"/>
  <c r="G78" i="1"/>
  <c r="B79" i="1"/>
  <c r="D79" i="1"/>
  <c r="E79" i="1"/>
  <c r="F79" i="1"/>
  <c r="G79" i="1"/>
  <c r="B80" i="1"/>
  <c r="D80" i="1"/>
  <c r="E80" i="1"/>
  <c r="F80" i="1"/>
  <c r="G80" i="1"/>
  <c r="B81" i="1"/>
  <c r="D81" i="1"/>
  <c r="E81" i="1"/>
  <c r="F81" i="1"/>
  <c r="G81" i="1"/>
  <c r="B53" i="1"/>
  <c r="D53" i="1"/>
  <c r="E53" i="1"/>
  <c r="F53" i="1"/>
  <c r="G53" i="1"/>
  <c r="B54" i="1"/>
  <c r="D54" i="1"/>
  <c r="E54" i="1"/>
  <c r="F54" i="1"/>
  <c r="G54" i="1"/>
  <c r="B55" i="1"/>
  <c r="D55" i="1"/>
  <c r="E55" i="1"/>
  <c r="F55" i="1"/>
  <c r="G55" i="1"/>
  <c r="B56" i="1"/>
  <c r="D56" i="1"/>
  <c r="E56" i="1"/>
  <c r="F56" i="1"/>
  <c r="G56" i="1"/>
  <c r="B57" i="1"/>
  <c r="D57" i="1"/>
  <c r="E57" i="1"/>
  <c r="F57" i="1"/>
  <c r="G57" i="1"/>
  <c r="B58" i="1"/>
  <c r="D58" i="1"/>
  <c r="E58" i="1"/>
  <c r="F58" i="1"/>
  <c r="G58" i="1"/>
  <c r="B59" i="1"/>
  <c r="D59" i="1"/>
  <c r="E59" i="1"/>
  <c r="F59" i="1"/>
  <c r="G59" i="1"/>
  <c r="B60" i="1"/>
  <c r="D60" i="1"/>
  <c r="E60" i="1"/>
  <c r="F60" i="1"/>
  <c r="G60" i="1"/>
  <c r="B61" i="1"/>
  <c r="D61" i="1"/>
  <c r="E61" i="1"/>
  <c r="F61" i="1"/>
  <c r="G61" i="1"/>
  <c r="B62" i="1"/>
  <c r="D62" i="1"/>
  <c r="E62" i="1"/>
  <c r="F62" i="1"/>
  <c r="G62" i="1"/>
  <c r="B63" i="1"/>
  <c r="D63" i="1"/>
  <c r="E63" i="1"/>
  <c r="F63" i="1"/>
  <c r="G63" i="1"/>
  <c r="B64" i="1"/>
  <c r="D64" i="1"/>
  <c r="E64" i="1"/>
  <c r="F64" i="1"/>
  <c r="G64" i="1"/>
  <c r="B13" i="1"/>
  <c r="D13" i="1"/>
  <c r="E13" i="1"/>
  <c r="F13" i="1"/>
  <c r="G13" i="1"/>
  <c r="B14" i="1"/>
  <c r="D14" i="1"/>
  <c r="E14" i="1"/>
  <c r="F14" i="1"/>
  <c r="G14" i="1"/>
  <c r="B15" i="1"/>
  <c r="D15" i="1"/>
  <c r="E15" i="1"/>
  <c r="F15" i="1"/>
  <c r="G15" i="1"/>
  <c r="B16" i="1"/>
  <c r="D16" i="1"/>
  <c r="E16" i="1"/>
  <c r="F16" i="1"/>
  <c r="G16" i="1"/>
  <c r="B17" i="1"/>
  <c r="D17" i="1"/>
  <c r="E17" i="1"/>
  <c r="F17" i="1"/>
  <c r="G17" i="1"/>
  <c r="B18" i="1"/>
  <c r="D18" i="1"/>
  <c r="E18" i="1"/>
  <c r="F18" i="1"/>
  <c r="G18" i="1"/>
  <c r="B19" i="1"/>
  <c r="D19" i="1"/>
  <c r="E19" i="1"/>
  <c r="F19" i="1"/>
  <c r="G19" i="1"/>
  <c r="B20" i="1"/>
  <c r="D20" i="1"/>
  <c r="E20" i="1"/>
  <c r="F20" i="1"/>
  <c r="G20" i="1"/>
  <c r="B21" i="1"/>
  <c r="D21" i="1"/>
  <c r="E21" i="1"/>
  <c r="F21" i="1"/>
  <c r="G21" i="1"/>
  <c r="B22" i="1"/>
  <c r="D22" i="1"/>
  <c r="E22" i="1"/>
  <c r="F22" i="1"/>
  <c r="G22" i="1"/>
  <c r="B23" i="1"/>
  <c r="D23" i="1"/>
  <c r="E23" i="1"/>
  <c r="F23" i="1"/>
  <c r="G23" i="1"/>
  <c r="B24" i="1"/>
  <c r="D24" i="1"/>
  <c r="E24" i="1"/>
  <c r="F24" i="1"/>
  <c r="G24" i="1"/>
  <c r="B25" i="1"/>
  <c r="D25" i="1"/>
  <c r="E25" i="1"/>
  <c r="F25" i="1"/>
  <c r="G25" i="1"/>
  <c r="B26" i="1"/>
  <c r="D26" i="1"/>
  <c r="E26" i="1"/>
  <c r="F26" i="1"/>
  <c r="G26" i="1"/>
  <c r="B27" i="1"/>
  <c r="D27" i="1"/>
  <c r="E27" i="1"/>
  <c r="F27" i="1"/>
  <c r="G27" i="1"/>
  <c r="B28" i="1"/>
  <c r="D28" i="1"/>
  <c r="E28" i="1"/>
  <c r="F28" i="1"/>
  <c r="G28" i="1"/>
  <c r="B29" i="1"/>
  <c r="D29" i="1"/>
  <c r="E29" i="1"/>
  <c r="F29" i="1"/>
  <c r="G29" i="1"/>
  <c r="B30" i="1"/>
  <c r="D30" i="1"/>
  <c r="E30" i="1"/>
  <c r="F30" i="1"/>
  <c r="G30" i="1"/>
  <c r="B31" i="1"/>
  <c r="D31" i="1"/>
  <c r="E31" i="1"/>
  <c r="F31" i="1"/>
  <c r="G31" i="1"/>
  <c r="B32" i="1"/>
  <c r="D32" i="1"/>
  <c r="E32" i="1"/>
  <c r="F32" i="1"/>
  <c r="G32" i="1"/>
  <c r="B33" i="1"/>
  <c r="D33" i="1"/>
  <c r="E33" i="1"/>
  <c r="F33" i="1"/>
  <c r="G33" i="1"/>
  <c r="B34" i="1"/>
  <c r="D34" i="1"/>
  <c r="E34" i="1"/>
  <c r="F34" i="1"/>
  <c r="G34" i="1"/>
  <c r="B35" i="1"/>
  <c r="D35" i="1"/>
  <c r="E35" i="1"/>
  <c r="F35" i="1"/>
  <c r="G35" i="1"/>
  <c r="B36" i="1"/>
  <c r="D36" i="1"/>
  <c r="E36" i="1"/>
  <c r="F36" i="1"/>
  <c r="G36" i="1"/>
  <c r="B37" i="1"/>
  <c r="D37" i="1"/>
  <c r="E37" i="1"/>
  <c r="F37" i="1"/>
  <c r="G37" i="1"/>
  <c r="B38" i="1"/>
  <c r="D38" i="1"/>
  <c r="E38" i="1"/>
  <c r="F38" i="1"/>
  <c r="G38" i="1"/>
  <c r="B39" i="1"/>
  <c r="D39" i="1"/>
  <c r="E39" i="1"/>
  <c r="F39" i="1"/>
  <c r="G39" i="1"/>
  <c r="B40" i="1"/>
  <c r="D40" i="1"/>
  <c r="E40" i="1"/>
  <c r="F40" i="1"/>
  <c r="G40" i="1"/>
  <c r="B41" i="1"/>
  <c r="D41" i="1"/>
  <c r="E41" i="1"/>
  <c r="F41" i="1"/>
  <c r="G41" i="1"/>
  <c r="B42" i="1"/>
  <c r="D42" i="1"/>
  <c r="E42" i="1"/>
  <c r="F42" i="1"/>
  <c r="G42" i="1"/>
  <c r="B43" i="1"/>
  <c r="D43" i="1"/>
  <c r="E43" i="1"/>
  <c r="F43" i="1"/>
  <c r="G43" i="1"/>
  <c r="B44" i="1"/>
  <c r="D44" i="1"/>
  <c r="E44" i="1"/>
  <c r="F44" i="1"/>
  <c r="G44" i="1"/>
  <c r="B45" i="1"/>
  <c r="D45" i="1"/>
  <c r="E45" i="1"/>
  <c r="F45" i="1"/>
  <c r="G45" i="1"/>
  <c r="B46" i="1"/>
  <c r="D46" i="1"/>
  <c r="E46" i="1"/>
  <c r="F46" i="1"/>
  <c r="G46" i="1"/>
  <c r="B47" i="1"/>
  <c r="D47" i="1"/>
  <c r="E47" i="1"/>
  <c r="F47" i="1"/>
  <c r="G47" i="1"/>
  <c r="B48" i="1"/>
  <c r="D48" i="1"/>
  <c r="E48" i="1"/>
  <c r="F48" i="1"/>
  <c r="G48" i="1"/>
  <c r="B49" i="1"/>
  <c r="D49" i="1"/>
  <c r="E49" i="1"/>
  <c r="F49" i="1"/>
  <c r="G49" i="1"/>
  <c r="B50" i="1"/>
  <c r="D50" i="1"/>
  <c r="E50" i="1"/>
  <c r="F50" i="1"/>
  <c r="G50" i="1"/>
  <c r="B51" i="1"/>
  <c r="D51" i="1"/>
  <c r="E51" i="1"/>
  <c r="F51" i="1"/>
  <c r="G51" i="1"/>
  <c r="B52" i="1"/>
  <c r="D52" i="1"/>
  <c r="E52" i="1"/>
  <c r="F52" i="1"/>
  <c r="G52" i="1"/>
  <c r="E12" i="1"/>
  <c r="D12" i="1"/>
  <c r="F12" i="1"/>
  <c r="G12" i="1"/>
  <c r="B12" i="1"/>
</calcChain>
</file>

<file path=xl/sharedStrings.xml><?xml version="1.0" encoding="utf-8"?>
<sst xmlns="http://schemas.openxmlformats.org/spreadsheetml/2006/main" count="153" uniqueCount="92">
  <si>
    <t>Replicating Portfolio</t>
  </si>
  <si>
    <t>1. A zero coupon bond with face value of $1000 maturing at 3 Feb, 2020</t>
  </si>
  <si>
    <t>2. 1.6 purchased SPX calls expiring on 3 Feb, 2020 with strike price S</t>
  </si>
  <si>
    <t>3. 1.6 written SPX calls expiring on 3 Feb, 2020 with strike price 1.1375S</t>
  </si>
  <si>
    <t>4. 1.1429 written SPX puts expiring on 3 Feb, 2020 with strike price 0.875S</t>
  </si>
  <si>
    <t>S</t>
  </si>
  <si>
    <t>Zero Coupon Bond</t>
  </si>
  <si>
    <t>Purchased Call</t>
  </si>
  <si>
    <t>Written Call</t>
  </si>
  <si>
    <t>Written Put</t>
  </si>
  <si>
    <t>Payoff</t>
  </si>
  <si>
    <t>No. of Company Xdiv</t>
  </si>
  <si>
    <t>Div(Ind. Pts)</t>
  </si>
  <si>
    <t>Maturity Date</t>
  </si>
  <si>
    <t>Market Rate</t>
  </si>
  <si>
    <t>Shift (bp)</t>
  </si>
  <si>
    <t>Shifted Rate</t>
  </si>
  <si>
    <t>Zero Rate</t>
  </si>
  <si>
    <t>Discount</t>
  </si>
  <si>
    <t>Source</t>
  </si>
  <si>
    <t>03/05/2018</t>
  </si>
  <si>
    <t>CASH</t>
  </si>
  <si>
    <t>03/21/2018</t>
  </si>
  <si>
    <t>FUTURE</t>
  </si>
  <si>
    <t>06/20/2018</t>
  </si>
  <si>
    <t>09/19/2018</t>
  </si>
  <si>
    <t>12/19/2018</t>
  </si>
  <si>
    <t>03/20/2019</t>
  </si>
  <si>
    <t>06/19/2019</t>
  </si>
  <si>
    <t>12/05/2019</t>
  </si>
  <si>
    <t>SWAP</t>
  </si>
  <si>
    <t>12/07/2020</t>
  </si>
  <si>
    <t>12/06/2021</t>
  </si>
  <si>
    <t>12/05/2022</t>
  </si>
  <si>
    <t>12/05/2023</t>
  </si>
  <si>
    <t>12/05/2024</t>
  </si>
  <si>
    <t>12/05/2025</t>
  </si>
  <si>
    <t>12/07/2026</t>
  </si>
  <si>
    <t>12/06/2027</t>
  </si>
  <si>
    <t>12/05/2028</t>
  </si>
  <si>
    <t>12/05/2029</t>
  </si>
  <si>
    <t>12/06/2032</t>
  </si>
  <si>
    <t>12/07/2037</t>
  </si>
  <si>
    <t>12/05/2042</t>
  </si>
  <si>
    <t>12/05/2047</t>
  </si>
  <si>
    <t>12/05/2057</t>
  </si>
  <si>
    <t>12/05/2067</t>
  </si>
  <si>
    <t>Long Call</t>
  </si>
  <si>
    <t>Short Call</t>
  </si>
  <si>
    <t>Short Put</t>
  </si>
  <si>
    <t>Moneyness/Maturity</t>
  </si>
  <si>
    <t>`</t>
  </si>
  <si>
    <t>Date</t>
  </si>
  <si>
    <t>Time to Maturity(Annualized)</t>
  </si>
  <si>
    <t>Valuation Date</t>
  </si>
  <si>
    <t>Discount Factor</t>
  </si>
  <si>
    <t>Time to maturity</t>
  </si>
  <si>
    <t>x2</t>
  </si>
  <si>
    <t>x1</t>
  </si>
  <si>
    <t>Discount factor</t>
  </si>
  <si>
    <t>Weighted average</t>
  </si>
  <si>
    <t>Calculating Discount Factor</t>
  </si>
  <si>
    <t>Implied Volatility</t>
  </si>
  <si>
    <t>Weighted Average</t>
  </si>
  <si>
    <t>Time to maturity(Annualized)</t>
  </si>
  <si>
    <t>Calculating Implied Volatility(Long Call)</t>
  </si>
  <si>
    <t>Calculating Implied Volatility(Short Call)</t>
  </si>
  <si>
    <t>Calculating Implied Volatility(Short Put)</t>
  </si>
  <si>
    <t>Spot</t>
  </si>
  <si>
    <t>Parameters</t>
  </si>
  <si>
    <t>PV of Dividends</t>
  </si>
  <si>
    <t>Expiry Date</t>
  </si>
  <si>
    <t>Call Option 1</t>
  </si>
  <si>
    <t>Strike</t>
  </si>
  <si>
    <t>Price</t>
  </si>
  <si>
    <t>Call Option 2</t>
  </si>
  <si>
    <t>Put Option</t>
  </si>
  <si>
    <t>d1</t>
  </si>
  <si>
    <t>d2</t>
  </si>
  <si>
    <t>Annualized Time to Maturity</t>
  </si>
  <si>
    <t>Interest Rate</t>
  </si>
  <si>
    <t>Bond</t>
  </si>
  <si>
    <t>Assume that dividends are paid at last day of each month.</t>
  </si>
  <si>
    <t>Assume that Black-Scholes economy holds.</t>
  </si>
  <si>
    <t>Since forecasted dividends seems have seasonality, dividends at Dec 2018 is calculated by taking average of all dividends at December from the data.</t>
  </si>
  <si>
    <t>Data which does not exist for exact maturity was calculated using linear interpolation.</t>
  </si>
  <si>
    <t>Present Value</t>
  </si>
  <si>
    <t>Amount</t>
  </si>
  <si>
    <t>Option Valuation(Using Black-Scholes Model)</t>
  </si>
  <si>
    <t>Price of notes</t>
  </si>
  <si>
    <t>Assumptions</t>
  </si>
  <si>
    <t>*x1 and x2 stands for the point which is greatest lower bound (least upper bound) used for linear 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</si>
</sst>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%"/>
    <numFmt numFmtId="165" formatCode="m/d/yy;@"/>
    <numFmt numFmtId="166" formatCode="mm/dd/yy;@"/>
    <numFmt numFmtId="167" formatCode="0.0000"/>
    <numFmt numFmtId="168" formatCode="m/d/yyyy;@"/>
    <numFmt numFmtId="169" formatCode="0.000"/>
  </numFmts>
  <fonts count="5" x14ac:knownFonts="1">
    <font>
      <sz val="12"/>
      <color theme="1"/>
      <name val="Calibri"/>
      <family val="2"/>
      <scheme val="minor"/>
    </font>
    <font>
      <b/>
      <sz val="11"/>
      <color indexed="9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1" applyNumberFormat="1" applyFont="1" applyFill="1" applyBorder="1" applyAlignment="1" applyProtection="1"/>
    <xf numFmtId="164" fontId="0" fillId="0" borderId="0" xfId="0" applyNumberFormat="1"/>
    <xf numFmtId="0" fontId="4" fillId="0" borderId="0" xfId="0" applyFon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/>
  </cellXfs>
  <cellStyles count="6">
    <cellStyle name="blp_column_header" xfId="1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Payoff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'Replicating Portfolio'!$B$12:$B$132</c:f>
              <c:numCache>
                <c:formatCode>General</c:formatCode>
                <c:ptCount val="121"/>
                <c:pt idx="0">
                  <c:v>0.0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5.0</c:v>
                </c:pt>
                <c:pt idx="5">
                  <c:v>6.25</c:v>
                </c:pt>
                <c:pt idx="6">
                  <c:v>7.5</c:v>
                </c:pt>
                <c:pt idx="7">
                  <c:v>8.75</c:v>
                </c:pt>
                <c:pt idx="8">
                  <c:v>10.0</c:v>
                </c:pt>
                <c:pt idx="9">
                  <c:v>11.25</c:v>
                </c:pt>
                <c:pt idx="10">
                  <c:v>12.5</c:v>
                </c:pt>
                <c:pt idx="11">
                  <c:v>13.75</c:v>
                </c:pt>
                <c:pt idx="12">
                  <c:v>15.0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20.0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25.0</c:v>
                </c:pt>
                <c:pt idx="21">
                  <c:v>26.25</c:v>
                </c:pt>
                <c:pt idx="22">
                  <c:v>27.5</c:v>
                </c:pt>
                <c:pt idx="23">
                  <c:v>28.75</c:v>
                </c:pt>
                <c:pt idx="24">
                  <c:v>30.0</c:v>
                </c:pt>
                <c:pt idx="25">
                  <c:v>31.25</c:v>
                </c:pt>
                <c:pt idx="26">
                  <c:v>32.5</c:v>
                </c:pt>
                <c:pt idx="27">
                  <c:v>33.75</c:v>
                </c:pt>
                <c:pt idx="28">
                  <c:v>35.0</c:v>
                </c:pt>
                <c:pt idx="29">
                  <c:v>36.25</c:v>
                </c:pt>
                <c:pt idx="30">
                  <c:v>37.5</c:v>
                </c:pt>
                <c:pt idx="31">
                  <c:v>38.75</c:v>
                </c:pt>
                <c:pt idx="32">
                  <c:v>40.0</c:v>
                </c:pt>
                <c:pt idx="33">
                  <c:v>41.25</c:v>
                </c:pt>
                <c:pt idx="34">
                  <c:v>42.5</c:v>
                </c:pt>
                <c:pt idx="35">
                  <c:v>43.75</c:v>
                </c:pt>
                <c:pt idx="36">
                  <c:v>45.0</c:v>
                </c:pt>
                <c:pt idx="37">
                  <c:v>46.25</c:v>
                </c:pt>
                <c:pt idx="38">
                  <c:v>47.5</c:v>
                </c:pt>
                <c:pt idx="39">
                  <c:v>48.75</c:v>
                </c:pt>
                <c:pt idx="40">
                  <c:v>50.0</c:v>
                </c:pt>
                <c:pt idx="41">
                  <c:v>51.25</c:v>
                </c:pt>
                <c:pt idx="42">
                  <c:v>52.5</c:v>
                </c:pt>
                <c:pt idx="43">
                  <c:v>53.75</c:v>
                </c:pt>
                <c:pt idx="44">
                  <c:v>55.00000000000001</c:v>
                </c:pt>
                <c:pt idx="45">
                  <c:v>56.25</c:v>
                </c:pt>
                <c:pt idx="46">
                  <c:v>57.5</c:v>
                </c:pt>
                <c:pt idx="47">
                  <c:v>58.75</c:v>
                </c:pt>
                <c:pt idx="48">
                  <c:v>60.0</c:v>
                </c:pt>
                <c:pt idx="49">
                  <c:v>61.25000000000001</c:v>
                </c:pt>
                <c:pt idx="50">
                  <c:v>62.5</c:v>
                </c:pt>
                <c:pt idx="51">
                  <c:v>63.75</c:v>
                </c:pt>
                <c:pt idx="52">
                  <c:v>65.0</c:v>
                </c:pt>
                <c:pt idx="53">
                  <c:v>66.25</c:v>
                </c:pt>
                <c:pt idx="54">
                  <c:v>67.5</c:v>
                </c:pt>
                <c:pt idx="55">
                  <c:v>68.75</c:v>
                </c:pt>
                <c:pt idx="56">
                  <c:v>70.0</c:v>
                </c:pt>
                <c:pt idx="57">
                  <c:v>71.25</c:v>
                </c:pt>
                <c:pt idx="58">
                  <c:v>72.5</c:v>
                </c:pt>
                <c:pt idx="59">
                  <c:v>73.75</c:v>
                </c:pt>
                <c:pt idx="60">
                  <c:v>75.0</c:v>
                </c:pt>
                <c:pt idx="61">
                  <c:v>76.25</c:v>
                </c:pt>
                <c:pt idx="62">
                  <c:v>77.5</c:v>
                </c:pt>
                <c:pt idx="63">
                  <c:v>78.75</c:v>
                </c:pt>
                <c:pt idx="64">
                  <c:v>80.0</c:v>
                </c:pt>
                <c:pt idx="65">
                  <c:v>81.25</c:v>
                </c:pt>
                <c:pt idx="66">
                  <c:v>82.5</c:v>
                </c:pt>
                <c:pt idx="67">
                  <c:v>83.75</c:v>
                </c:pt>
                <c:pt idx="68">
                  <c:v>85.0</c:v>
                </c:pt>
                <c:pt idx="69">
                  <c:v>86.25</c:v>
                </c:pt>
                <c:pt idx="70">
                  <c:v>87.5</c:v>
                </c:pt>
                <c:pt idx="71">
                  <c:v>88.75</c:v>
                </c:pt>
                <c:pt idx="72">
                  <c:v>90.0</c:v>
                </c:pt>
                <c:pt idx="73">
                  <c:v>91.25</c:v>
                </c:pt>
                <c:pt idx="74">
                  <c:v>92.5</c:v>
                </c:pt>
                <c:pt idx="75">
                  <c:v>93.75</c:v>
                </c:pt>
                <c:pt idx="76">
                  <c:v>95.0</c:v>
                </c:pt>
                <c:pt idx="77">
                  <c:v>96.25</c:v>
                </c:pt>
                <c:pt idx="78">
                  <c:v>97.5</c:v>
                </c:pt>
                <c:pt idx="79">
                  <c:v>98.75</c:v>
                </c:pt>
                <c:pt idx="80">
                  <c:v>100.0</c:v>
                </c:pt>
                <c:pt idx="81">
                  <c:v>101.25</c:v>
                </c:pt>
                <c:pt idx="82">
                  <c:v>102.5</c:v>
                </c:pt>
                <c:pt idx="83">
                  <c:v>103.75</c:v>
                </c:pt>
                <c:pt idx="84">
                  <c:v>105.0</c:v>
                </c:pt>
                <c:pt idx="85">
                  <c:v>106.25</c:v>
                </c:pt>
                <c:pt idx="86">
                  <c:v>107.5</c:v>
                </c:pt>
                <c:pt idx="87">
                  <c:v>108.75</c:v>
                </c:pt>
                <c:pt idx="88">
                  <c:v>110.0</c:v>
                </c:pt>
                <c:pt idx="89">
                  <c:v>111.25</c:v>
                </c:pt>
                <c:pt idx="90">
                  <c:v>112.5</c:v>
                </c:pt>
                <c:pt idx="91">
                  <c:v>113.75</c:v>
                </c:pt>
                <c:pt idx="92">
                  <c:v>115</c:v>
                </c:pt>
                <c:pt idx="93">
                  <c:v>116.25</c:v>
                </c:pt>
                <c:pt idx="94">
                  <c:v>117.5</c:v>
                </c:pt>
                <c:pt idx="95">
                  <c:v>118.75</c:v>
                </c:pt>
                <c:pt idx="96">
                  <c:v>120.0</c:v>
                </c:pt>
                <c:pt idx="97">
                  <c:v>121.25</c:v>
                </c:pt>
                <c:pt idx="98">
                  <c:v>122.5</c:v>
                </c:pt>
                <c:pt idx="99">
                  <c:v>123.75</c:v>
                </c:pt>
                <c:pt idx="100">
                  <c:v>125.0</c:v>
                </c:pt>
                <c:pt idx="101">
                  <c:v>126.25</c:v>
                </c:pt>
                <c:pt idx="102">
                  <c:v>127.5</c:v>
                </c:pt>
                <c:pt idx="103">
                  <c:v>128.75</c:v>
                </c:pt>
                <c:pt idx="104">
                  <c:v>130.0</c:v>
                </c:pt>
                <c:pt idx="105">
                  <c:v>131.25</c:v>
                </c:pt>
                <c:pt idx="106">
                  <c:v>132.5</c:v>
                </c:pt>
                <c:pt idx="107">
                  <c:v>133.75</c:v>
                </c:pt>
                <c:pt idx="108">
                  <c:v>135.0</c:v>
                </c:pt>
                <c:pt idx="109">
                  <c:v>136.25</c:v>
                </c:pt>
                <c:pt idx="110">
                  <c:v>137.5</c:v>
                </c:pt>
                <c:pt idx="111">
                  <c:v>138.75</c:v>
                </c:pt>
                <c:pt idx="112">
                  <c:v>140.0</c:v>
                </c:pt>
                <c:pt idx="113">
                  <c:v>141.25</c:v>
                </c:pt>
                <c:pt idx="114">
                  <c:v>142.5</c:v>
                </c:pt>
                <c:pt idx="115">
                  <c:v>143.75</c:v>
                </c:pt>
                <c:pt idx="116">
                  <c:v>145.0</c:v>
                </c:pt>
                <c:pt idx="117">
                  <c:v>146.25</c:v>
                </c:pt>
                <c:pt idx="118">
                  <c:v>147.5</c:v>
                </c:pt>
                <c:pt idx="119">
                  <c:v>148.75</c:v>
                </c:pt>
                <c:pt idx="120">
                  <c:v>150.0</c:v>
                </c:pt>
              </c:numCache>
            </c:numRef>
          </c:cat>
          <c:val>
            <c:numRef>
              <c:f>'Replicating Portfolio'!$G$12:$G$132</c:f>
              <c:numCache>
                <c:formatCode>General</c:formatCode>
                <c:ptCount val="121"/>
                <c:pt idx="0">
                  <c:v>-0.00374999999999659</c:v>
                </c:pt>
                <c:pt idx="1">
                  <c:v>1.424875</c:v>
                </c:pt>
                <c:pt idx="2">
                  <c:v>2.853499999999997</c:v>
                </c:pt>
                <c:pt idx="3">
                  <c:v>4.282124999999993</c:v>
                </c:pt>
                <c:pt idx="4">
                  <c:v>5.710750000000004</c:v>
                </c:pt>
                <c:pt idx="5">
                  <c:v>7.139375000000001</c:v>
                </c:pt>
                <c:pt idx="6">
                  <c:v>8.567999999999997</c:v>
                </c:pt>
                <c:pt idx="7">
                  <c:v>9.996624999999994</c:v>
                </c:pt>
                <c:pt idx="8">
                  <c:v>11.42525</c:v>
                </c:pt>
                <c:pt idx="9">
                  <c:v>12.853875</c:v>
                </c:pt>
                <c:pt idx="10">
                  <c:v>14.2825</c:v>
                </c:pt>
                <c:pt idx="11">
                  <c:v>15.711125</c:v>
                </c:pt>
                <c:pt idx="12">
                  <c:v>17.13974999999999</c:v>
                </c:pt>
                <c:pt idx="13">
                  <c:v>18.568375</c:v>
                </c:pt>
                <c:pt idx="14">
                  <c:v>19.997</c:v>
                </c:pt>
                <c:pt idx="15">
                  <c:v>21.425625</c:v>
                </c:pt>
                <c:pt idx="16">
                  <c:v>22.85424999999999</c:v>
                </c:pt>
                <c:pt idx="17">
                  <c:v>24.282875</c:v>
                </c:pt>
                <c:pt idx="18">
                  <c:v>25.7115</c:v>
                </c:pt>
                <c:pt idx="19">
                  <c:v>27.140125</c:v>
                </c:pt>
                <c:pt idx="20">
                  <c:v>28.56874999999999</c:v>
                </c:pt>
                <c:pt idx="21">
                  <c:v>29.99737500000001</c:v>
                </c:pt>
                <c:pt idx="22">
                  <c:v>31.426</c:v>
                </c:pt>
                <c:pt idx="23">
                  <c:v>32.854625</c:v>
                </c:pt>
                <c:pt idx="24">
                  <c:v>34.28325</c:v>
                </c:pt>
                <c:pt idx="25">
                  <c:v>35.711875</c:v>
                </c:pt>
                <c:pt idx="26">
                  <c:v>37.1405</c:v>
                </c:pt>
                <c:pt idx="27">
                  <c:v>38.569125</c:v>
                </c:pt>
                <c:pt idx="28">
                  <c:v>39.99775</c:v>
                </c:pt>
                <c:pt idx="29">
                  <c:v>41.426375</c:v>
                </c:pt>
                <c:pt idx="30">
                  <c:v>42.855</c:v>
                </c:pt>
                <c:pt idx="31">
                  <c:v>44.283625</c:v>
                </c:pt>
                <c:pt idx="32">
                  <c:v>45.71225</c:v>
                </c:pt>
                <c:pt idx="33">
                  <c:v>47.140875</c:v>
                </c:pt>
                <c:pt idx="34">
                  <c:v>48.5695</c:v>
                </c:pt>
                <c:pt idx="35">
                  <c:v>49.998125</c:v>
                </c:pt>
                <c:pt idx="36">
                  <c:v>51.42675</c:v>
                </c:pt>
                <c:pt idx="37">
                  <c:v>52.855375</c:v>
                </c:pt>
                <c:pt idx="38">
                  <c:v>54.284</c:v>
                </c:pt>
                <c:pt idx="39">
                  <c:v>55.712625</c:v>
                </c:pt>
                <c:pt idx="40">
                  <c:v>57.14125</c:v>
                </c:pt>
                <c:pt idx="41">
                  <c:v>58.56987499999999</c:v>
                </c:pt>
                <c:pt idx="42">
                  <c:v>59.9985</c:v>
                </c:pt>
                <c:pt idx="43">
                  <c:v>61.427125</c:v>
                </c:pt>
                <c:pt idx="44">
                  <c:v>62.85575000000001</c:v>
                </c:pt>
                <c:pt idx="45">
                  <c:v>64.284375</c:v>
                </c:pt>
                <c:pt idx="46">
                  <c:v>65.713</c:v>
                </c:pt>
                <c:pt idx="47">
                  <c:v>67.141625</c:v>
                </c:pt>
                <c:pt idx="48">
                  <c:v>68.57025</c:v>
                </c:pt>
                <c:pt idx="49">
                  <c:v>69.99887500000001</c:v>
                </c:pt>
                <c:pt idx="50">
                  <c:v>71.4275</c:v>
                </c:pt>
                <c:pt idx="51">
                  <c:v>72.856125</c:v>
                </c:pt>
                <c:pt idx="52">
                  <c:v>74.28475</c:v>
                </c:pt>
                <c:pt idx="53">
                  <c:v>75.713375</c:v>
                </c:pt>
                <c:pt idx="54">
                  <c:v>77.142</c:v>
                </c:pt>
                <c:pt idx="55">
                  <c:v>78.570625</c:v>
                </c:pt>
                <c:pt idx="56">
                  <c:v>79.99925</c:v>
                </c:pt>
                <c:pt idx="57">
                  <c:v>81.427875</c:v>
                </c:pt>
                <c:pt idx="58">
                  <c:v>82.8565</c:v>
                </c:pt>
                <c:pt idx="59">
                  <c:v>84.285125</c:v>
                </c:pt>
                <c:pt idx="60">
                  <c:v>85.71375</c:v>
                </c:pt>
                <c:pt idx="61">
                  <c:v>87.142375</c:v>
                </c:pt>
                <c:pt idx="62">
                  <c:v>88.571</c:v>
                </c:pt>
                <c:pt idx="63">
                  <c:v>89.999625</c:v>
                </c:pt>
                <c:pt idx="64">
                  <c:v>91.42825</c:v>
                </c:pt>
                <c:pt idx="65">
                  <c:v>92.856875</c:v>
                </c:pt>
                <c:pt idx="66">
                  <c:v>94.2855</c:v>
                </c:pt>
                <c:pt idx="67">
                  <c:v>95.714125</c:v>
                </c:pt>
                <c:pt idx="68">
                  <c:v>97.14275000000001</c:v>
                </c:pt>
                <c:pt idx="69">
                  <c:v>98.571375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102.0</c:v>
                </c:pt>
                <c:pt idx="82">
                  <c:v>104</c:v>
                </c:pt>
                <c:pt idx="83">
                  <c:v>106.0</c:v>
                </c:pt>
                <c:pt idx="84">
                  <c:v>108.0</c:v>
                </c:pt>
                <c:pt idx="85">
                  <c:v>110.0</c:v>
                </c:pt>
                <c:pt idx="86">
                  <c:v>112.0</c:v>
                </c:pt>
                <c:pt idx="87">
                  <c:v>114</c:v>
                </c:pt>
                <c:pt idx="88">
                  <c:v>116.0</c:v>
                </c:pt>
                <c:pt idx="89">
                  <c:v>118.0</c:v>
                </c:pt>
                <c:pt idx="90">
                  <c:v>120.0</c:v>
                </c:pt>
                <c:pt idx="91">
                  <c:v>122.0</c:v>
                </c:pt>
                <c:pt idx="92">
                  <c:v>122.0</c:v>
                </c:pt>
                <c:pt idx="93">
                  <c:v>122.0</c:v>
                </c:pt>
                <c:pt idx="94">
                  <c:v>122.0</c:v>
                </c:pt>
                <c:pt idx="95">
                  <c:v>122.0</c:v>
                </c:pt>
                <c:pt idx="96">
                  <c:v>122.0</c:v>
                </c:pt>
                <c:pt idx="97">
                  <c:v>122.0</c:v>
                </c:pt>
                <c:pt idx="98">
                  <c:v>122.0</c:v>
                </c:pt>
                <c:pt idx="99">
                  <c:v>122.0</c:v>
                </c:pt>
                <c:pt idx="100">
                  <c:v>122.0</c:v>
                </c:pt>
                <c:pt idx="101">
                  <c:v>122.0</c:v>
                </c:pt>
                <c:pt idx="102">
                  <c:v>122.0</c:v>
                </c:pt>
                <c:pt idx="103">
                  <c:v>122.0</c:v>
                </c:pt>
                <c:pt idx="104">
                  <c:v>122.0</c:v>
                </c:pt>
                <c:pt idx="105">
                  <c:v>122.0</c:v>
                </c:pt>
                <c:pt idx="106">
                  <c:v>122.0</c:v>
                </c:pt>
                <c:pt idx="107">
                  <c:v>122.0</c:v>
                </c:pt>
                <c:pt idx="108">
                  <c:v>122.0</c:v>
                </c:pt>
                <c:pt idx="109">
                  <c:v>122.0</c:v>
                </c:pt>
                <c:pt idx="110">
                  <c:v>122.0</c:v>
                </c:pt>
                <c:pt idx="111">
                  <c:v>122.0</c:v>
                </c:pt>
                <c:pt idx="112">
                  <c:v>122.0</c:v>
                </c:pt>
                <c:pt idx="113">
                  <c:v>122.0</c:v>
                </c:pt>
                <c:pt idx="114">
                  <c:v>122.0</c:v>
                </c:pt>
                <c:pt idx="115">
                  <c:v>122.0</c:v>
                </c:pt>
                <c:pt idx="116">
                  <c:v>122.0</c:v>
                </c:pt>
                <c:pt idx="117">
                  <c:v>122.0</c:v>
                </c:pt>
                <c:pt idx="118">
                  <c:v>122.0</c:v>
                </c:pt>
                <c:pt idx="119">
                  <c:v>122.0</c:v>
                </c:pt>
                <c:pt idx="120">
                  <c:v>122.0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1451184"/>
        <c:axId val="-1971448864"/>
      </c:lineChart>
      <c:catAx>
        <c:axId val="-197145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448864"/>
        <c:crosses val="autoZero"/>
        <c:auto val="1"/>
        <c:lblAlgn val="ctr"/>
        <c:lblOffset val="100"/>
        <c:tickMarkSkip val="1"/>
        <c:noMultiLvlLbl val="0"/>
      </c:catAx>
      <c:valAx>
        <c:axId val="-19714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45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9</xdr:row>
      <xdr:rowOff>190500</xdr:rowOff>
    </xdr:from>
    <xdr:to>
      <xdr:col>19</xdr:col>
      <xdr:colOff>685800</xdr:colOff>
      <xdr:row>37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workbookViewId="0">
      <selection activeCell="B26" sqref="B26"/>
    </sheetView>
  </sheetViews>
  <sheetFormatPr baseColWidth="10" defaultRowHeight="16" x14ac:dyDescent="0.2"/>
  <cols>
    <col min="2" max="2" width="14.83203125" bestFit="1" customWidth="1"/>
    <col min="3" max="3" width="12.1640625" customWidth="1"/>
    <col min="4" max="4" width="24.33203125" bestFit="1" customWidth="1"/>
    <col min="5" max="5" width="14.83203125" bestFit="1" customWidth="1"/>
    <col min="8" max="8" width="14.83203125" bestFit="1" customWidth="1"/>
  </cols>
  <sheetData>
    <row r="2" spans="2:9" x14ac:dyDescent="0.2">
      <c r="B2" s="7" t="s">
        <v>54</v>
      </c>
      <c r="C2" s="7" t="s">
        <v>71</v>
      </c>
      <c r="D2" s="7" t="s">
        <v>79</v>
      </c>
    </row>
    <row r="3" spans="2:9" x14ac:dyDescent="0.2">
      <c r="B3" s="16">
        <v>43070</v>
      </c>
      <c r="C3" s="16">
        <v>43864</v>
      </c>
      <c r="D3" s="17">
        <f>(C3- B3) / 360</f>
        <v>2.2055555555555557</v>
      </c>
    </row>
    <row r="4" spans="2:9" x14ac:dyDescent="0.2">
      <c r="B4" s="7"/>
      <c r="C4" s="7"/>
      <c r="D4" s="7"/>
    </row>
    <row r="5" spans="2:9" x14ac:dyDescent="0.2">
      <c r="B5" s="12" t="s">
        <v>69</v>
      </c>
      <c r="C5" s="12"/>
      <c r="D5" s="12"/>
    </row>
    <row r="6" spans="2:9" x14ac:dyDescent="0.2">
      <c r="B6" s="7" t="s">
        <v>68</v>
      </c>
      <c r="C6" s="7" t="s">
        <v>80</v>
      </c>
      <c r="D6" s="7" t="s">
        <v>70</v>
      </c>
    </row>
    <row r="7" spans="2:9" x14ac:dyDescent="0.2">
      <c r="B7" s="18">
        <v>2635.03</v>
      </c>
      <c r="C7" s="17">
        <f>-LN('Caculation of Parameters'!C10) / 'Main Result'!D3</f>
        <v>1.9382664115765454E-2</v>
      </c>
      <c r="D7" s="17">
        <f>SUM(Dividend!E2:E27)</f>
        <v>112.03308889355326</v>
      </c>
    </row>
    <row r="9" spans="2:9" x14ac:dyDescent="0.2">
      <c r="B9" s="12" t="s">
        <v>88</v>
      </c>
      <c r="C9" s="12"/>
      <c r="D9" s="12"/>
      <c r="E9" s="12"/>
      <c r="F9" s="12"/>
      <c r="G9" s="12"/>
      <c r="H9" s="12"/>
      <c r="I9" s="12"/>
    </row>
    <row r="10" spans="2:9" x14ac:dyDescent="0.2">
      <c r="B10" t="s">
        <v>72</v>
      </c>
      <c r="E10" t="s">
        <v>75</v>
      </c>
      <c r="H10" t="s">
        <v>76</v>
      </c>
    </row>
    <row r="11" spans="2:9" x14ac:dyDescent="0.2">
      <c r="B11" t="s">
        <v>73</v>
      </c>
      <c r="C11" s="14">
        <f>$B$7</f>
        <v>2635.03</v>
      </c>
      <c r="E11" t="s">
        <v>73</v>
      </c>
      <c r="F11" s="14">
        <f>1.1375 * $B$7</f>
        <v>2997.3466250000001</v>
      </c>
      <c r="H11" t="s">
        <v>73</v>
      </c>
      <c r="I11" s="14">
        <f>0.875 * $B$7</f>
        <v>2305.6512500000003</v>
      </c>
    </row>
    <row r="12" spans="2:9" x14ac:dyDescent="0.2">
      <c r="B12" t="s">
        <v>62</v>
      </c>
      <c r="C12" s="14">
        <f>'Caculation of Parameters'!C17</f>
        <v>0.1621856666666667</v>
      </c>
      <c r="E12" t="s">
        <v>62</v>
      </c>
      <c r="F12" s="14">
        <f>'Caculation of Parameters'!C23</f>
        <v>0.13149627777777778</v>
      </c>
      <c r="H12" t="s">
        <v>62</v>
      </c>
      <c r="I12" s="14">
        <f>'Caculation of Parameters'!C29</f>
        <v>0.17952838888888889</v>
      </c>
    </row>
    <row r="13" spans="2:9" x14ac:dyDescent="0.2">
      <c r="B13" t="s">
        <v>77</v>
      </c>
      <c r="C13" s="14">
        <f>(LN($B$7/C11)+($C$7+0.5*C12^2)*$D$3)/(C12*SQRT($D$3))</f>
        <v>0.29791620649282535</v>
      </c>
      <c r="E13" t="s">
        <v>77</v>
      </c>
      <c r="F13" s="14">
        <f>(LN($B$7/F11)+($C$7+0.5*F12^2)*$D$3)/(F12*SQRT($D$3))</f>
        <v>-0.34316178042659928</v>
      </c>
      <c r="H13" t="s">
        <v>77</v>
      </c>
      <c r="I13" s="14">
        <f>(LN($B$7/I11)+($C$7+0.5*I12^2)*$D$3)/(I12*SQRT($D$3))</f>
        <v>0.79447992824185787</v>
      </c>
    </row>
    <row r="14" spans="2:9" x14ac:dyDescent="0.2">
      <c r="B14" t="s">
        <v>78</v>
      </c>
      <c r="C14" s="14">
        <f>C13 - C12 * SQRT($D$3)</f>
        <v>5.7052441201828952E-2</v>
      </c>
      <c r="E14" t="s">
        <v>78</v>
      </c>
      <c r="F14" s="14">
        <f>F13 - F12 * SQRT($D$3)</f>
        <v>-0.53844838767286018</v>
      </c>
      <c r="H14" t="s">
        <v>78</v>
      </c>
      <c r="I14" s="14">
        <f>I13 - I12 * SQRT($D$3)</f>
        <v>0.52786029030999759</v>
      </c>
    </row>
    <row r="15" spans="2:9" x14ac:dyDescent="0.2">
      <c r="B15" t="s">
        <v>74</v>
      </c>
      <c r="C15" s="14">
        <f>$B$7 * _xlfn.NORM.DIST(C13, 0, 1, 1) - C11 * EXP(-$C$7 * $D$3) * _xlfn.NORM.DIST(C14, 0, 1, 1) - $D$7</f>
        <v>194.27457379104379</v>
      </c>
      <c r="E15" t="s">
        <v>74</v>
      </c>
      <c r="F15" s="14">
        <f>$B$7 * _xlfn.NORM.DIST(F13, 0, 1, 1) - F11 * EXP(-$C$7 * $D$3) * _xlfn.NORM.DIST(F14, 0, 1, 1) - $D$7</f>
        <v>4.1004064234601429</v>
      </c>
      <c r="H15" t="s">
        <v>74</v>
      </c>
      <c r="I15" s="14">
        <f>-$B$7 * _xlfn.NORM.DIST(-I13, 0, 1, 1) + I11 * EXP(-$C$7 * $D$3) * _xlfn.NORM.DIST(-I14, 0, 1, 1) + D7</f>
        <v>209.65851137279736</v>
      </c>
    </row>
    <row r="16" spans="2:9" x14ac:dyDescent="0.2">
      <c r="B16" t="s">
        <v>87</v>
      </c>
      <c r="C16">
        <v>1.6</v>
      </c>
      <c r="E16" t="s">
        <v>87</v>
      </c>
      <c r="F16">
        <v>-1.6</v>
      </c>
      <c r="H16" t="s">
        <v>87</v>
      </c>
      <c r="I16">
        <v>-1.1429</v>
      </c>
    </row>
    <row r="18" spans="2:3" x14ac:dyDescent="0.2">
      <c r="B18" t="s">
        <v>81</v>
      </c>
    </row>
    <row r="19" spans="2:3" x14ac:dyDescent="0.2">
      <c r="B19" t="s">
        <v>74</v>
      </c>
      <c r="C19" s="19">
        <f>1000 * 'Caculation of Parameters'!C10</f>
        <v>958.15133618483571</v>
      </c>
    </row>
    <row r="21" spans="2:3" x14ac:dyDescent="0.2">
      <c r="B21" t="s">
        <v>89</v>
      </c>
    </row>
    <row r="22" spans="2:3" x14ac:dyDescent="0.2">
      <c r="B22" s="19">
        <f>C16*C15 + F16*F15 + I16*I15 + C19</f>
        <v>1022.8112913249995</v>
      </c>
    </row>
    <row r="26" spans="2:3" x14ac:dyDescent="0.2">
      <c r="B26" t="s">
        <v>90</v>
      </c>
    </row>
    <row r="27" spans="2:3" x14ac:dyDescent="0.2">
      <c r="B27" t="s">
        <v>85</v>
      </c>
    </row>
    <row r="28" spans="2:3" x14ac:dyDescent="0.2">
      <c r="B28" t="s">
        <v>83</v>
      </c>
    </row>
    <row r="29" spans="2:3" x14ac:dyDescent="0.2">
      <c r="B29" t="s">
        <v>84</v>
      </c>
    </row>
    <row r="30" spans="2:3" x14ac:dyDescent="0.2">
      <c r="B30" t="s">
        <v>82</v>
      </c>
    </row>
  </sheetData>
  <mergeCells count="2">
    <mergeCell ref="B9:I9"/>
    <mergeCell ref="B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F31"/>
  <sheetViews>
    <sheetView workbookViewId="0">
      <selection activeCell="F33" sqref="F33"/>
    </sheetView>
  </sheetViews>
  <sheetFormatPr baseColWidth="10" defaultRowHeight="16" x14ac:dyDescent="0.2"/>
  <cols>
    <col min="2" max="2" width="18.83203125" bestFit="1" customWidth="1"/>
    <col min="3" max="3" width="12.5" bestFit="1" customWidth="1"/>
    <col min="4" max="4" width="25" bestFit="1" customWidth="1"/>
    <col min="5" max="5" width="14.83203125" bestFit="1" customWidth="1"/>
    <col min="6" max="6" width="16.1640625" bestFit="1" customWidth="1"/>
  </cols>
  <sheetData>
    <row r="2" spans="2:6" x14ac:dyDescent="0.2">
      <c r="B2" s="6" t="s">
        <v>54</v>
      </c>
      <c r="C2" s="6" t="s">
        <v>13</v>
      </c>
      <c r="D2" s="6" t="s">
        <v>64</v>
      </c>
      <c r="E2" s="6"/>
      <c r="F2" s="6"/>
    </row>
    <row r="3" spans="2:6" x14ac:dyDescent="0.2">
      <c r="B3" s="8">
        <f>'Main Result'!B3</f>
        <v>43070</v>
      </c>
      <c r="C3" s="8">
        <f>'Main Result'!C3</f>
        <v>43864</v>
      </c>
      <c r="D3" s="10">
        <f>'Main Result'!D3</f>
        <v>2.2055555555555557</v>
      </c>
      <c r="E3" s="6"/>
      <c r="F3" s="6"/>
    </row>
    <row r="4" spans="2:6" x14ac:dyDescent="0.2">
      <c r="B4" s="6"/>
      <c r="C4" s="6"/>
      <c r="D4" s="6"/>
      <c r="E4" s="6"/>
      <c r="F4" s="6"/>
    </row>
    <row r="5" spans="2:6" x14ac:dyDescent="0.2">
      <c r="B5" s="6"/>
      <c r="C5" s="6"/>
      <c r="D5" s="6"/>
      <c r="E5" s="6"/>
      <c r="F5" s="6"/>
    </row>
    <row r="6" spans="2:6" x14ac:dyDescent="0.2">
      <c r="B6" s="12" t="s">
        <v>61</v>
      </c>
      <c r="C6" s="12"/>
      <c r="D6" s="12"/>
      <c r="E6" s="12"/>
      <c r="F6" s="12"/>
    </row>
    <row r="7" spans="2:6" x14ac:dyDescent="0.2">
      <c r="B7" s="6" t="s">
        <v>13</v>
      </c>
      <c r="C7" s="6"/>
      <c r="D7" s="6" t="s">
        <v>56</v>
      </c>
      <c r="E7" s="6" t="s">
        <v>59</v>
      </c>
      <c r="F7" s="6" t="s">
        <v>60</v>
      </c>
    </row>
    <row r="8" spans="2:6" x14ac:dyDescent="0.2">
      <c r="B8" s="9">
        <f>$C$3</f>
        <v>43864</v>
      </c>
      <c r="C8" s="6" t="s">
        <v>58</v>
      </c>
      <c r="D8" s="10">
        <f>INDEX('Term Structure'!$B$4:$B$27,MATCH(($B$8 - $B$3)/360,'Term Structure'!$B$4:$B$27,1) )</f>
        <v>2.0388888888888888</v>
      </c>
      <c r="E8" s="10">
        <f>INDEX('Term Structure'!$G$4:$G$27,MATCH(($B$8 - $B$3)/360,'Term Structure'!$B$4:$B$27,1) )</f>
        <v>0.96168143500709902</v>
      </c>
      <c r="F8" s="10">
        <f>((B8 - B3) / 360 - D8) / (D9 - D8) * E9</f>
        <v>0.15326578732019883</v>
      </c>
    </row>
    <row r="9" spans="2:6" x14ac:dyDescent="0.2">
      <c r="B9" s="6"/>
      <c r="C9" s="6" t="s">
        <v>57</v>
      </c>
      <c r="D9" s="10">
        <f>INDEX('Term Structure'!$B$4:$B$27,MATCH(($B$8 - $B$3)/360,'Term Structure'!$B$4:$B$27,1) + 1)</f>
        <v>3.0611111111111109</v>
      </c>
      <c r="E9" s="10">
        <f>INDEX('Term Structure'!$G$4:$G$27,MATCH(($B$8 - $B$3)/360,'Term Structure'!$B$4:$B$27,1) + 1)</f>
        <v>0.94003016223055103</v>
      </c>
      <c r="F9" s="10">
        <f>(D9 - (B8 - B3)/360)/(D9-D8) * E8</f>
        <v>0.80488554886463692</v>
      </c>
    </row>
    <row r="10" spans="2:6" x14ac:dyDescent="0.2">
      <c r="B10" s="6" t="s">
        <v>55</v>
      </c>
      <c r="C10" s="10">
        <f>SUM(F8:F9)</f>
        <v>0.95815133618483572</v>
      </c>
      <c r="D10" s="6"/>
      <c r="E10" s="6"/>
      <c r="F10" s="6"/>
    </row>
    <row r="11" spans="2:6" x14ac:dyDescent="0.2">
      <c r="B11" s="6"/>
      <c r="C11" s="6"/>
      <c r="D11" s="6"/>
      <c r="E11" s="6"/>
      <c r="F11" s="6"/>
    </row>
    <row r="12" spans="2:6" x14ac:dyDescent="0.2">
      <c r="B12" s="6"/>
      <c r="C12" s="6"/>
      <c r="D12" s="6"/>
      <c r="E12" s="6"/>
      <c r="F12" s="6"/>
    </row>
    <row r="13" spans="2:6" x14ac:dyDescent="0.2">
      <c r="B13" s="12" t="s">
        <v>65</v>
      </c>
      <c r="C13" s="12"/>
      <c r="D13" s="12"/>
      <c r="E13" s="12"/>
      <c r="F13" s="12"/>
    </row>
    <row r="14" spans="2:6" x14ac:dyDescent="0.2">
      <c r="B14" s="6" t="s">
        <v>13</v>
      </c>
      <c r="C14" s="6"/>
      <c r="D14" s="6" t="s">
        <v>56</v>
      </c>
      <c r="E14" s="6" t="s">
        <v>62</v>
      </c>
      <c r="F14" s="6" t="s">
        <v>63</v>
      </c>
    </row>
    <row r="15" spans="2:6" x14ac:dyDescent="0.2">
      <c r="B15" s="8">
        <f>$C$3</f>
        <v>43864</v>
      </c>
      <c r="C15" s="6" t="s">
        <v>58</v>
      </c>
      <c r="D15" s="6">
        <f>INDEX('Implied Volatility'!$C$2:$H$2,0,MATCH('Caculation of Parameters'!$C$3-'Caculation of Parameters'!$B$3, 'Implied Volatility'!$C$2:$H$2,1) - 1)</f>
        <v>2</v>
      </c>
      <c r="E15" s="10">
        <f>INDEX('Implied Volatility'!$C$4:$H$4,0,MATCH('Caculation of Parameters'!$C$3-'Caculation of Parameters'!$B$3, 'Implied Volatility'!$C$2:$H$2,1) - 1)</f>
        <v>0.15909000000000001</v>
      </c>
      <c r="F15" s="10">
        <f>($D$16 - $D$3) / ($D$16 - $D$15) * E15</f>
        <v>0.12638816666666666</v>
      </c>
    </row>
    <row r="16" spans="2:6" x14ac:dyDescent="0.2">
      <c r="B16" s="6"/>
      <c r="C16" s="6" t="s">
        <v>57</v>
      </c>
      <c r="D16" s="6">
        <f>INDEX('Implied Volatility'!$C$2:$H$2,0,MATCH('Caculation of Parameters'!$C$3-'Caculation of Parameters'!$B$3, 'Implied Volatility'!$C$2:$H$2,1))</f>
        <v>3</v>
      </c>
      <c r="E16" s="10">
        <f>INDEX('Implied Volatility'!$C$4:$H$4,0,MATCH('Caculation of Parameters'!$C$3-'Caculation of Parameters'!$B$3, 'Implied Volatility'!$C$2:$H$2,1) )</f>
        <v>0.17415</v>
      </c>
      <c r="F16" s="10">
        <f>($D$3-$D$15) / ($D$16 - $D$15) * $E$16</f>
        <v>3.5797500000000031E-2</v>
      </c>
    </row>
    <row r="17" spans="2:6" x14ac:dyDescent="0.2">
      <c r="B17" s="6" t="s">
        <v>62</v>
      </c>
      <c r="C17" s="10">
        <f>SUM(F15:F16)</f>
        <v>0.1621856666666667</v>
      </c>
      <c r="D17" s="6"/>
      <c r="E17" s="6"/>
      <c r="F17" s="6"/>
    </row>
    <row r="18" spans="2:6" x14ac:dyDescent="0.2">
      <c r="B18" s="6"/>
      <c r="C18" s="6"/>
      <c r="D18" s="6"/>
      <c r="E18" s="6"/>
      <c r="F18" s="6"/>
    </row>
    <row r="19" spans="2:6" x14ac:dyDescent="0.2">
      <c r="B19" s="12" t="s">
        <v>66</v>
      </c>
      <c r="C19" s="12"/>
      <c r="D19" s="12"/>
      <c r="E19" s="12"/>
      <c r="F19" s="12"/>
    </row>
    <row r="20" spans="2:6" x14ac:dyDescent="0.2">
      <c r="B20" s="6" t="s">
        <v>13</v>
      </c>
      <c r="C20" s="6"/>
      <c r="D20" s="6" t="s">
        <v>56</v>
      </c>
      <c r="E20" s="6" t="s">
        <v>62</v>
      </c>
      <c r="F20" s="6" t="s">
        <v>63</v>
      </c>
    </row>
    <row r="21" spans="2:6" x14ac:dyDescent="0.2">
      <c r="B21" s="8">
        <f>$C$3</f>
        <v>43864</v>
      </c>
      <c r="C21" s="6" t="s">
        <v>58</v>
      </c>
      <c r="D21" s="6">
        <f>INDEX('Implied Volatility'!$K$2:$P$2,0,MATCH('Caculation of Parameters'!$C$3-'Caculation of Parameters'!$B$3, 'Implied Volatility'!$K$2:$P$2,1) - 1)</f>
        <v>2</v>
      </c>
      <c r="E21" s="10">
        <f>INDEX('Implied Volatility'!$K$5:$P$5,0,MATCH('Caculation of Parameters'!$C$3-'Caculation of Parameters'!$B$3, 'Implied Volatility'!$K$2:$P$2,1) - 1)</f>
        <v>0.12046</v>
      </c>
      <c r="F21" s="10">
        <f>($D$16 - $D$3) / ($D$16 - $D$15) * E21</f>
        <v>9.5698777777777758E-2</v>
      </c>
    </row>
    <row r="22" spans="2:6" x14ac:dyDescent="0.2">
      <c r="B22" s="6"/>
      <c r="C22" s="6" t="s">
        <v>57</v>
      </c>
      <c r="D22" s="6">
        <f>INDEX('Implied Volatility'!$K$2:$P$2,0,MATCH('Caculation of Parameters'!$C$3-'Caculation of Parameters'!$B$3, 'Implied Volatility'!$K$2:$P$2,1))</f>
        <v>3</v>
      </c>
      <c r="E22" s="10">
        <f>INDEX('Implied Volatility'!$K$5:$P$5,0,MATCH('Caculation of Parameters'!$C$3-'Caculation of Parameters'!$B$3, 'Implied Volatility'!$K$2:$P$2,1) )</f>
        <v>0.14432</v>
      </c>
      <c r="F22" s="10">
        <f>($D$3-$D$15) / ($D$16 - $D$15) * $E$16</f>
        <v>3.5797500000000031E-2</v>
      </c>
    </row>
    <row r="23" spans="2:6" x14ac:dyDescent="0.2">
      <c r="B23" s="6" t="s">
        <v>62</v>
      </c>
      <c r="C23" s="10">
        <f>SUM(F21:F22)</f>
        <v>0.13149627777777778</v>
      </c>
      <c r="D23" s="6"/>
      <c r="E23" s="6"/>
      <c r="F23" s="6"/>
    </row>
    <row r="24" spans="2:6" x14ac:dyDescent="0.2">
      <c r="B24" s="6"/>
      <c r="C24" s="6"/>
      <c r="D24" s="6"/>
      <c r="E24" s="6"/>
      <c r="F24" s="6"/>
    </row>
    <row r="25" spans="2:6" x14ac:dyDescent="0.2">
      <c r="B25" s="12" t="s">
        <v>67</v>
      </c>
      <c r="C25" s="12"/>
      <c r="D25" s="12"/>
      <c r="E25" s="12"/>
      <c r="F25" s="12"/>
    </row>
    <row r="26" spans="2:6" x14ac:dyDescent="0.2">
      <c r="B26" s="6" t="s">
        <v>13</v>
      </c>
      <c r="C26" s="6"/>
      <c r="D26" s="6" t="s">
        <v>56</v>
      </c>
      <c r="E26" s="6" t="s">
        <v>62</v>
      </c>
      <c r="F26" s="6" t="s">
        <v>63</v>
      </c>
    </row>
    <row r="27" spans="2:6" x14ac:dyDescent="0.2">
      <c r="B27" s="8">
        <f>$C$3</f>
        <v>43864</v>
      </c>
      <c r="C27" s="6" t="s">
        <v>58</v>
      </c>
      <c r="D27" s="6">
        <f>INDEX('Implied Volatility'!$C$8:$H$8,0,MATCH('Caculation of Parameters'!$C$3-'Caculation of Parameters'!$B$3, 'Implied Volatility'!$C$8:$H$8,1) - 1)</f>
        <v>2</v>
      </c>
      <c r="E27" s="10">
        <f>INDEX('Implied Volatility'!$C$9:$H$9,0,MATCH('Caculation of Parameters'!$C$3-'Caculation of Parameters'!$B$3, 'Implied Volatility'!$C$8:$H$8,1) - 1)</f>
        <v>0.18092</v>
      </c>
      <c r="F27" s="10">
        <f>($D$16 - $D$3) / ($D$16 - $D$15) * E27</f>
        <v>0.14373088888888885</v>
      </c>
    </row>
    <row r="28" spans="2:6" x14ac:dyDescent="0.2">
      <c r="B28" s="6"/>
      <c r="C28" s="6" t="s">
        <v>57</v>
      </c>
      <c r="D28" s="6">
        <f>INDEX('Implied Volatility'!$C$8:$H$8,0,MATCH('Caculation of Parameters'!$C$3-'Caculation of Parameters'!$B$3, 'Implied Volatility'!$C$8:$H$8,1))</f>
        <v>3</v>
      </c>
      <c r="E28" s="10">
        <f>INDEX('Implied Volatility'!$C$9:$H$9,0,MATCH('Caculation of Parameters'!$C$3-'Caculation of Parameters'!$B$3, 'Implied Volatility'!$C$8:$H$8,1) )</f>
        <v>0.18881999999999999</v>
      </c>
      <c r="F28" s="10">
        <f>($D$3-$D$15) / ($D$16 - $D$15) * $E$16</f>
        <v>3.5797500000000031E-2</v>
      </c>
    </row>
    <row r="29" spans="2:6" x14ac:dyDescent="0.2">
      <c r="B29" s="6" t="s">
        <v>62</v>
      </c>
      <c r="C29" s="10">
        <f>SUM(F27:F28)</f>
        <v>0.17952838888888889</v>
      </c>
      <c r="D29" s="6"/>
      <c r="E29" s="6"/>
      <c r="F29" s="6"/>
    </row>
    <row r="30" spans="2:6" x14ac:dyDescent="0.2">
      <c r="B30" s="6"/>
      <c r="C30" s="6"/>
      <c r="D30" s="6"/>
      <c r="E30" s="6"/>
      <c r="F30" s="6"/>
    </row>
    <row r="31" spans="2:6" x14ac:dyDescent="0.2">
      <c r="B31" s="15" t="s">
        <v>91</v>
      </c>
      <c r="C31" s="6"/>
      <c r="D31" s="6"/>
      <c r="E31" s="6"/>
      <c r="F31" s="6"/>
    </row>
  </sheetData>
  <mergeCells count="4">
    <mergeCell ref="B6:F6"/>
    <mergeCell ref="B13:F13"/>
    <mergeCell ref="B19:F19"/>
    <mergeCell ref="B25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G132"/>
  <sheetViews>
    <sheetView workbookViewId="0">
      <selection activeCell="E34" sqref="E34"/>
    </sheetView>
  </sheetViews>
  <sheetFormatPr baseColWidth="10" defaultRowHeight="16" x14ac:dyDescent="0.2"/>
  <sheetData>
    <row r="2" spans="1:7" x14ac:dyDescent="0.2">
      <c r="B2" t="s">
        <v>0</v>
      </c>
    </row>
    <row r="3" spans="1:7" x14ac:dyDescent="0.2">
      <c r="B3" t="s">
        <v>1</v>
      </c>
    </row>
    <row r="4" spans="1:7" x14ac:dyDescent="0.2">
      <c r="B4" t="s">
        <v>2</v>
      </c>
    </row>
    <row r="5" spans="1:7" x14ac:dyDescent="0.2">
      <c r="B5" t="s">
        <v>3</v>
      </c>
    </row>
    <row r="6" spans="1:7" x14ac:dyDescent="0.2">
      <c r="B6" t="s">
        <v>4</v>
      </c>
    </row>
    <row r="8" spans="1:7" x14ac:dyDescent="0.2">
      <c r="B8" t="s">
        <v>5</v>
      </c>
    </row>
    <row r="9" spans="1:7" x14ac:dyDescent="0.2">
      <c r="B9">
        <v>100</v>
      </c>
    </row>
    <row r="11" spans="1:7" x14ac:dyDescent="0.2">
      <c r="C11" t="s">
        <v>6</v>
      </c>
      <c r="D11" t="s">
        <v>7</v>
      </c>
      <c r="E11" t="s">
        <v>8</v>
      </c>
      <c r="F11" t="s">
        <v>9</v>
      </c>
      <c r="G11" t="s">
        <v>10</v>
      </c>
    </row>
    <row r="12" spans="1:7" x14ac:dyDescent="0.2">
      <c r="A12">
        <v>0</v>
      </c>
      <c r="B12">
        <f>A12*$B$9</f>
        <v>0</v>
      </c>
      <c r="C12">
        <v>100</v>
      </c>
      <c r="D12">
        <f>1.6 *MAX(0, B12-$B$9)</f>
        <v>0</v>
      </c>
      <c r="E12">
        <f>-1.6*MAX(0, B12 - 1.1375 *$B$9)</f>
        <v>0</v>
      </c>
      <c r="F12">
        <f>-1.1429 *MAX(0, 0.875*$B$9 - B12)</f>
        <v>-100.00375</v>
      </c>
      <c r="G12">
        <f>SUM(C12:F12)</f>
        <v>-3.7499999999965894E-3</v>
      </c>
    </row>
    <row r="13" spans="1:7" x14ac:dyDescent="0.2">
      <c r="A13">
        <v>1.2500000000000001E-2</v>
      </c>
      <c r="B13">
        <f>A13*$B$9</f>
        <v>1.25</v>
      </c>
      <c r="C13">
        <v>100</v>
      </c>
      <c r="D13">
        <f t="shared" ref="D13:D52" si="0">1.6 *MAX(0, B13-$B$9)</f>
        <v>0</v>
      </c>
      <c r="E13">
        <f t="shared" ref="E13:E52" si="1">-1.6*MAX(0, B13 - 1.1375 *$B$9)</f>
        <v>0</v>
      </c>
      <c r="F13">
        <f t="shared" ref="F13:F52" si="2">-1.1429 *MAX(0, 0.875*$B$9 - B13)</f>
        <v>-98.575125</v>
      </c>
      <c r="G13">
        <f t="shared" ref="G13:G52" si="3">SUM(C13:F13)</f>
        <v>1.4248750000000001</v>
      </c>
    </row>
    <row r="14" spans="1:7" x14ac:dyDescent="0.2">
      <c r="A14">
        <v>2.5000000000000001E-2</v>
      </c>
      <c r="B14">
        <f t="shared" ref="B14:B52" si="4">A14*$B$9</f>
        <v>2.5</v>
      </c>
      <c r="C14">
        <v>100</v>
      </c>
      <c r="D14">
        <f t="shared" si="0"/>
        <v>0</v>
      </c>
      <c r="E14">
        <f t="shared" si="1"/>
        <v>0</v>
      </c>
      <c r="F14">
        <f t="shared" si="2"/>
        <v>-97.146500000000003</v>
      </c>
      <c r="G14">
        <f t="shared" si="3"/>
        <v>2.8534999999999968</v>
      </c>
    </row>
    <row r="15" spans="1:7" x14ac:dyDescent="0.2">
      <c r="A15">
        <v>3.7499999999999999E-2</v>
      </c>
      <c r="B15">
        <f t="shared" si="4"/>
        <v>3.75</v>
      </c>
      <c r="C15">
        <v>100</v>
      </c>
      <c r="D15">
        <f t="shared" si="0"/>
        <v>0</v>
      </c>
      <c r="E15">
        <f t="shared" si="1"/>
        <v>0</v>
      </c>
      <c r="F15">
        <f t="shared" si="2"/>
        <v>-95.717875000000006</v>
      </c>
      <c r="G15">
        <f t="shared" si="3"/>
        <v>4.2821249999999935</v>
      </c>
    </row>
    <row r="16" spans="1:7" x14ac:dyDescent="0.2">
      <c r="A16">
        <v>0.05</v>
      </c>
      <c r="B16">
        <f t="shared" si="4"/>
        <v>5</v>
      </c>
      <c r="C16">
        <v>100</v>
      </c>
      <c r="D16">
        <f t="shared" si="0"/>
        <v>0</v>
      </c>
      <c r="E16">
        <f t="shared" si="1"/>
        <v>0</v>
      </c>
      <c r="F16">
        <f t="shared" si="2"/>
        <v>-94.289249999999996</v>
      </c>
      <c r="G16">
        <f t="shared" si="3"/>
        <v>5.7107500000000044</v>
      </c>
    </row>
    <row r="17" spans="1:7" x14ac:dyDescent="0.2">
      <c r="A17">
        <v>6.25E-2</v>
      </c>
      <c r="B17">
        <f t="shared" si="4"/>
        <v>6.25</v>
      </c>
      <c r="C17">
        <v>100</v>
      </c>
      <c r="D17">
        <f t="shared" si="0"/>
        <v>0</v>
      </c>
      <c r="E17">
        <f t="shared" si="1"/>
        <v>0</v>
      </c>
      <c r="F17">
        <f t="shared" si="2"/>
        <v>-92.860624999999999</v>
      </c>
      <c r="G17">
        <f t="shared" si="3"/>
        <v>7.1393750000000011</v>
      </c>
    </row>
    <row r="18" spans="1:7" x14ac:dyDescent="0.2">
      <c r="A18">
        <v>7.4999999999999997E-2</v>
      </c>
      <c r="B18">
        <f t="shared" si="4"/>
        <v>7.5</v>
      </c>
      <c r="C18">
        <v>100</v>
      </c>
      <c r="D18">
        <f t="shared" si="0"/>
        <v>0</v>
      </c>
      <c r="E18">
        <f t="shared" si="1"/>
        <v>0</v>
      </c>
      <c r="F18">
        <f t="shared" si="2"/>
        <v>-91.432000000000002</v>
      </c>
      <c r="G18">
        <f t="shared" si="3"/>
        <v>8.5679999999999978</v>
      </c>
    </row>
    <row r="19" spans="1:7" x14ac:dyDescent="0.2">
      <c r="A19">
        <v>8.7499999999999994E-2</v>
      </c>
      <c r="B19">
        <f t="shared" si="4"/>
        <v>8.75</v>
      </c>
      <c r="C19">
        <v>100</v>
      </c>
      <c r="D19">
        <f t="shared" si="0"/>
        <v>0</v>
      </c>
      <c r="E19">
        <f t="shared" si="1"/>
        <v>0</v>
      </c>
      <c r="F19">
        <f t="shared" si="2"/>
        <v>-90.003375000000005</v>
      </c>
      <c r="G19">
        <f t="shared" si="3"/>
        <v>9.9966249999999945</v>
      </c>
    </row>
    <row r="20" spans="1:7" x14ac:dyDescent="0.2">
      <c r="A20">
        <v>0.1</v>
      </c>
      <c r="B20">
        <f t="shared" si="4"/>
        <v>10</v>
      </c>
      <c r="C20">
        <v>100</v>
      </c>
      <c r="D20">
        <f t="shared" si="0"/>
        <v>0</v>
      </c>
      <c r="E20">
        <f t="shared" si="1"/>
        <v>0</v>
      </c>
      <c r="F20">
        <f t="shared" si="2"/>
        <v>-88.574750000000009</v>
      </c>
      <c r="G20">
        <f t="shared" si="3"/>
        <v>11.425249999999991</v>
      </c>
    </row>
    <row r="21" spans="1:7" x14ac:dyDescent="0.2">
      <c r="A21">
        <v>0.1125</v>
      </c>
      <c r="B21">
        <f t="shared" si="4"/>
        <v>11.25</v>
      </c>
      <c r="C21">
        <v>100</v>
      </c>
      <c r="D21">
        <f t="shared" si="0"/>
        <v>0</v>
      </c>
      <c r="E21">
        <f t="shared" si="1"/>
        <v>0</v>
      </c>
      <c r="F21">
        <f t="shared" si="2"/>
        <v>-87.146124999999998</v>
      </c>
      <c r="G21">
        <f t="shared" si="3"/>
        <v>12.853875000000002</v>
      </c>
    </row>
    <row r="22" spans="1:7" x14ac:dyDescent="0.2">
      <c r="A22">
        <v>0.125</v>
      </c>
      <c r="B22">
        <f t="shared" si="4"/>
        <v>12.5</v>
      </c>
      <c r="C22">
        <v>100</v>
      </c>
      <c r="D22">
        <f t="shared" si="0"/>
        <v>0</v>
      </c>
      <c r="E22">
        <f t="shared" si="1"/>
        <v>0</v>
      </c>
      <c r="F22">
        <f t="shared" si="2"/>
        <v>-85.717500000000001</v>
      </c>
      <c r="G22">
        <f t="shared" si="3"/>
        <v>14.282499999999999</v>
      </c>
    </row>
    <row r="23" spans="1:7" x14ac:dyDescent="0.2">
      <c r="A23">
        <v>0.13750000000000001</v>
      </c>
      <c r="B23">
        <f t="shared" si="4"/>
        <v>13.750000000000002</v>
      </c>
      <c r="C23">
        <v>100</v>
      </c>
      <c r="D23">
        <f t="shared" si="0"/>
        <v>0</v>
      </c>
      <c r="E23">
        <f t="shared" si="1"/>
        <v>0</v>
      </c>
      <c r="F23">
        <f t="shared" si="2"/>
        <v>-84.288875000000004</v>
      </c>
      <c r="G23">
        <f t="shared" si="3"/>
        <v>15.711124999999996</v>
      </c>
    </row>
    <row r="24" spans="1:7" x14ac:dyDescent="0.2">
      <c r="A24">
        <v>0.15</v>
      </c>
      <c r="B24">
        <f t="shared" si="4"/>
        <v>15</v>
      </c>
      <c r="C24">
        <v>100</v>
      </c>
      <c r="D24">
        <f t="shared" si="0"/>
        <v>0</v>
      </c>
      <c r="E24">
        <f t="shared" si="1"/>
        <v>0</v>
      </c>
      <c r="F24">
        <f t="shared" si="2"/>
        <v>-82.860250000000008</v>
      </c>
      <c r="G24">
        <f t="shared" si="3"/>
        <v>17.139749999999992</v>
      </c>
    </row>
    <row r="25" spans="1:7" x14ac:dyDescent="0.2">
      <c r="A25">
        <v>0.16250000000000001</v>
      </c>
      <c r="B25">
        <f t="shared" si="4"/>
        <v>16.25</v>
      </c>
      <c r="C25">
        <v>100</v>
      </c>
      <c r="D25">
        <f t="shared" si="0"/>
        <v>0</v>
      </c>
      <c r="E25">
        <f t="shared" si="1"/>
        <v>0</v>
      </c>
      <c r="F25">
        <f t="shared" si="2"/>
        <v>-81.431624999999997</v>
      </c>
      <c r="G25">
        <f t="shared" si="3"/>
        <v>18.568375000000003</v>
      </c>
    </row>
    <row r="26" spans="1:7" x14ac:dyDescent="0.2">
      <c r="A26">
        <v>0.17499999999999999</v>
      </c>
      <c r="B26">
        <f t="shared" si="4"/>
        <v>17.5</v>
      </c>
      <c r="C26">
        <v>100</v>
      </c>
      <c r="D26">
        <f t="shared" si="0"/>
        <v>0</v>
      </c>
      <c r="E26">
        <f t="shared" si="1"/>
        <v>0</v>
      </c>
      <c r="F26">
        <f t="shared" si="2"/>
        <v>-80.003</v>
      </c>
      <c r="G26">
        <f t="shared" si="3"/>
        <v>19.997</v>
      </c>
    </row>
    <row r="27" spans="1:7" x14ac:dyDescent="0.2">
      <c r="A27">
        <v>0.1875</v>
      </c>
      <c r="B27">
        <f t="shared" si="4"/>
        <v>18.75</v>
      </c>
      <c r="C27">
        <v>100</v>
      </c>
      <c r="D27">
        <f t="shared" si="0"/>
        <v>0</v>
      </c>
      <c r="E27">
        <f t="shared" si="1"/>
        <v>0</v>
      </c>
      <c r="F27">
        <f t="shared" si="2"/>
        <v>-78.574375000000003</v>
      </c>
      <c r="G27">
        <f t="shared" si="3"/>
        <v>21.425624999999997</v>
      </c>
    </row>
    <row r="28" spans="1:7" x14ac:dyDescent="0.2">
      <c r="A28">
        <v>0.2</v>
      </c>
      <c r="B28">
        <f t="shared" si="4"/>
        <v>20</v>
      </c>
      <c r="C28">
        <v>100</v>
      </c>
      <c r="D28">
        <f t="shared" si="0"/>
        <v>0</v>
      </c>
      <c r="E28">
        <f t="shared" si="1"/>
        <v>0</v>
      </c>
      <c r="F28">
        <f t="shared" si="2"/>
        <v>-77.145750000000007</v>
      </c>
      <c r="G28">
        <f t="shared" si="3"/>
        <v>22.854249999999993</v>
      </c>
    </row>
    <row r="29" spans="1:7" x14ac:dyDescent="0.2">
      <c r="A29">
        <v>0.21249999999999999</v>
      </c>
      <c r="B29">
        <f t="shared" si="4"/>
        <v>21.25</v>
      </c>
      <c r="C29">
        <v>100</v>
      </c>
      <c r="D29">
        <f t="shared" si="0"/>
        <v>0</v>
      </c>
      <c r="E29">
        <f t="shared" si="1"/>
        <v>0</v>
      </c>
      <c r="F29">
        <f t="shared" si="2"/>
        <v>-75.717124999999996</v>
      </c>
      <c r="G29">
        <f t="shared" si="3"/>
        <v>24.282875000000004</v>
      </c>
    </row>
    <row r="30" spans="1:7" x14ac:dyDescent="0.2">
      <c r="A30">
        <v>0.22500000000000001</v>
      </c>
      <c r="B30">
        <f t="shared" si="4"/>
        <v>22.5</v>
      </c>
      <c r="C30">
        <v>100</v>
      </c>
      <c r="D30">
        <f t="shared" si="0"/>
        <v>0</v>
      </c>
      <c r="E30">
        <f t="shared" si="1"/>
        <v>0</v>
      </c>
      <c r="F30">
        <f t="shared" si="2"/>
        <v>-74.288499999999999</v>
      </c>
      <c r="G30">
        <f t="shared" si="3"/>
        <v>25.711500000000001</v>
      </c>
    </row>
    <row r="31" spans="1:7" x14ac:dyDescent="0.2">
      <c r="A31">
        <v>0.23749999999999999</v>
      </c>
      <c r="B31">
        <f t="shared" si="4"/>
        <v>23.75</v>
      </c>
      <c r="C31">
        <v>100</v>
      </c>
      <c r="D31">
        <f t="shared" si="0"/>
        <v>0</v>
      </c>
      <c r="E31">
        <f t="shared" si="1"/>
        <v>0</v>
      </c>
      <c r="F31">
        <f t="shared" si="2"/>
        <v>-72.859875000000002</v>
      </c>
      <c r="G31">
        <f t="shared" si="3"/>
        <v>27.140124999999998</v>
      </c>
    </row>
    <row r="32" spans="1:7" x14ac:dyDescent="0.2">
      <c r="A32">
        <v>0.25</v>
      </c>
      <c r="B32">
        <f t="shared" si="4"/>
        <v>25</v>
      </c>
      <c r="C32">
        <v>100</v>
      </c>
      <c r="D32">
        <f t="shared" si="0"/>
        <v>0</v>
      </c>
      <c r="E32">
        <f t="shared" si="1"/>
        <v>0</v>
      </c>
      <c r="F32">
        <f t="shared" si="2"/>
        <v>-71.431250000000006</v>
      </c>
      <c r="G32">
        <f t="shared" si="3"/>
        <v>28.568749999999994</v>
      </c>
    </row>
    <row r="33" spans="1:7" x14ac:dyDescent="0.2">
      <c r="A33">
        <v>0.26250000000000001</v>
      </c>
      <c r="B33">
        <f t="shared" si="4"/>
        <v>26.25</v>
      </c>
      <c r="C33">
        <v>100</v>
      </c>
      <c r="D33">
        <f t="shared" si="0"/>
        <v>0</v>
      </c>
      <c r="E33">
        <f t="shared" si="1"/>
        <v>0</v>
      </c>
      <c r="F33">
        <f t="shared" si="2"/>
        <v>-70.002624999999995</v>
      </c>
      <c r="G33">
        <f t="shared" si="3"/>
        <v>29.997375000000005</v>
      </c>
    </row>
    <row r="34" spans="1:7" x14ac:dyDescent="0.2">
      <c r="A34">
        <v>0.27500000000000002</v>
      </c>
      <c r="B34">
        <f t="shared" si="4"/>
        <v>27.500000000000004</v>
      </c>
      <c r="C34">
        <v>100</v>
      </c>
      <c r="D34">
        <f t="shared" si="0"/>
        <v>0</v>
      </c>
      <c r="E34">
        <f t="shared" si="1"/>
        <v>0</v>
      </c>
      <c r="F34">
        <f t="shared" si="2"/>
        <v>-68.573999999999998</v>
      </c>
      <c r="G34">
        <f t="shared" si="3"/>
        <v>31.426000000000002</v>
      </c>
    </row>
    <row r="35" spans="1:7" x14ac:dyDescent="0.2">
      <c r="A35">
        <v>0.28749999999999998</v>
      </c>
      <c r="B35">
        <f t="shared" si="4"/>
        <v>28.749999999999996</v>
      </c>
      <c r="C35">
        <v>100</v>
      </c>
      <c r="D35">
        <f t="shared" si="0"/>
        <v>0</v>
      </c>
      <c r="E35">
        <f t="shared" si="1"/>
        <v>0</v>
      </c>
      <c r="F35">
        <f t="shared" si="2"/>
        <v>-67.145375000000001</v>
      </c>
      <c r="G35">
        <f t="shared" si="3"/>
        <v>32.854624999999999</v>
      </c>
    </row>
    <row r="36" spans="1:7" x14ac:dyDescent="0.2">
      <c r="A36">
        <v>0.3</v>
      </c>
      <c r="B36">
        <f t="shared" si="4"/>
        <v>30</v>
      </c>
      <c r="C36">
        <v>100</v>
      </c>
      <c r="D36">
        <f t="shared" si="0"/>
        <v>0</v>
      </c>
      <c r="E36">
        <f t="shared" si="1"/>
        <v>0</v>
      </c>
      <c r="F36">
        <f t="shared" si="2"/>
        <v>-65.716750000000005</v>
      </c>
      <c r="G36">
        <f t="shared" si="3"/>
        <v>34.283249999999995</v>
      </c>
    </row>
    <row r="37" spans="1:7" x14ac:dyDescent="0.2">
      <c r="A37">
        <v>0.3125</v>
      </c>
      <c r="B37">
        <f t="shared" si="4"/>
        <v>31.25</v>
      </c>
      <c r="C37">
        <v>100</v>
      </c>
      <c r="D37">
        <f t="shared" si="0"/>
        <v>0</v>
      </c>
      <c r="E37">
        <f t="shared" si="1"/>
        <v>0</v>
      </c>
      <c r="F37">
        <f t="shared" si="2"/>
        <v>-64.288125000000008</v>
      </c>
      <c r="G37">
        <f t="shared" si="3"/>
        <v>35.711874999999992</v>
      </c>
    </row>
    <row r="38" spans="1:7" x14ac:dyDescent="0.2">
      <c r="A38">
        <v>0.32500000000000001</v>
      </c>
      <c r="B38">
        <f t="shared" si="4"/>
        <v>32.5</v>
      </c>
      <c r="C38">
        <v>100</v>
      </c>
      <c r="D38">
        <f t="shared" si="0"/>
        <v>0</v>
      </c>
      <c r="E38">
        <f t="shared" si="1"/>
        <v>0</v>
      </c>
      <c r="F38">
        <f t="shared" si="2"/>
        <v>-62.859500000000004</v>
      </c>
      <c r="G38">
        <f t="shared" si="3"/>
        <v>37.140499999999996</v>
      </c>
    </row>
    <row r="39" spans="1:7" x14ac:dyDescent="0.2">
      <c r="A39">
        <v>0.33750000000000002</v>
      </c>
      <c r="B39">
        <f t="shared" si="4"/>
        <v>33.75</v>
      </c>
      <c r="C39">
        <v>100</v>
      </c>
      <c r="D39">
        <f t="shared" si="0"/>
        <v>0</v>
      </c>
      <c r="E39">
        <f t="shared" si="1"/>
        <v>0</v>
      </c>
      <c r="F39">
        <f t="shared" si="2"/>
        <v>-61.430875</v>
      </c>
      <c r="G39">
        <f t="shared" si="3"/>
        <v>38.569125</v>
      </c>
    </row>
    <row r="40" spans="1:7" x14ac:dyDescent="0.2">
      <c r="A40">
        <v>0.35</v>
      </c>
      <c r="B40">
        <f t="shared" si="4"/>
        <v>35</v>
      </c>
      <c r="C40">
        <v>100</v>
      </c>
      <c r="D40">
        <f t="shared" si="0"/>
        <v>0</v>
      </c>
      <c r="E40">
        <f t="shared" si="1"/>
        <v>0</v>
      </c>
      <c r="F40">
        <f t="shared" si="2"/>
        <v>-60.002250000000004</v>
      </c>
      <c r="G40">
        <f t="shared" si="3"/>
        <v>39.997749999999996</v>
      </c>
    </row>
    <row r="41" spans="1:7" x14ac:dyDescent="0.2">
      <c r="A41">
        <v>0.36249999999999999</v>
      </c>
      <c r="B41">
        <f t="shared" si="4"/>
        <v>36.25</v>
      </c>
      <c r="C41">
        <v>100</v>
      </c>
      <c r="D41">
        <f t="shared" si="0"/>
        <v>0</v>
      </c>
      <c r="E41">
        <f t="shared" si="1"/>
        <v>0</v>
      </c>
      <c r="F41">
        <f t="shared" si="2"/>
        <v>-58.573625</v>
      </c>
      <c r="G41">
        <f t="shared" si="3"/>
        <v>41.426375</v>
      </c>
    </row>
    <row r="42" spans="1:7" x14ac:dyDescent="0.2">
      <c r="A42">
        <v>0.375</v>
      </c>
      <c r="B42">
        <f t="shared" si="4"/>
        <v>37.5</v>
      </c>
      <c r="C42">
        <v>100</v>
      </c>
      <c r="D42">
        <f t="shared" si="0"/>
        <v>0</v>
      </c>
      <c r="E42">
        <f t="shared" si="1"/>
        <v>0</v>
      </c>
      <c r="F42">
        <f t="shared" si="2"/>
        <v>-57.145000000000003</v>
      </c>
      <c r="G42">
        <f t="shared" si="3"/>
        <v>42.854999999999997</v>
      </c>
    </row>
    <row r="43" spans="1:7" x14ac:dyDescent="0.2">
      <c r="A43">
        <v>0.38750000000000001</v>
      </c>
      <c r="B43">
        <f t="shared" si="4"/>
        <v>38.75</v>
      </c>
      <c r="C43">
        <v>100</v>
      </c>
      <c r="D43">
        <f t="shared" si="0"/>
        <v>0</v>
      </c>
      <c r="E43">
        <f t="shared" si="1"/>
        <v>0</v>
      </c>
      <c r="F43">
        <f t="shared" si="2"/>
        <v>-55.716374999999999</v>
      </c>
      <c r="G43">
        <f t="shared" si="3"/>
        <v>44.283625000000001</v>
      </c>
    </row>
    <row r="44" spans="1:7" x14ac:dyDescent="0.2">
      <c r="A44">
        <v>0.4</v>
      </c>
      <c r="B44">
        <f t="shared" si="4"/>
        <v>40</v>
      </c>
      <c r="C44">
        <v>100</v>
      </c>
      <c r="D44">
        <f t="shared" si="0"/>
        <v>0</v>
      </c>
      <c r="E44">
        <f t="shared" si="1"/>
        <v>0</v>
      </c>
      <c r="F44">
        <f t="shared" si="2"/>
        <v>-54.287750000000003</v>
      </c>
      <c r="G44">
        <f t="shared" si="3"/>
        <v>45.712249999999997</v>
      </c>
    </row>
    <row r="45" spans="1:7" x14ac:dyDescent="0.2">
      <c r="A45">
        <v>0.41249999999999998</v>
      </c>
      <c r="B45">
        <f t="shared" si="4"/>
        <v>41.25</v>
      </c>
      <c r="C45">
        <v>100</v>
      </c>
      <c r="D45">
        <f t="shared" si="0"/>
        <v>0</v>
      </c>
      <c r="E45">
        <f t="shared" si="1"/>
        <v>0</v>
      </c>
      <c r="F45">
        <f t="shared" si="2"/>
        <v>-52.859124999999999</v>
      </c>
      <c r="G45">
        <f t="shared" si="3"/>
        <v>47.140875000000001</v>
      </c>
    </row>
    <row r="46" spans="1:7" x14ac:dyDescent="0.2">
      <c r="A46">
        <v>0.42499999999999999</v>
      </c>
      <c r="B46">
        <f t="shared" si="4"/>
        <v>42.5</v>
      </c>
      <c r="C46">
        <v>100</v>
      </c>
      <c r="D46">
        <f t="shared" si="0"/>
        <v>0</v>
      </c>
      <c r="E46">
        <f t="shared" si="1"/>
        <v>0</v>
      </c>
      <c r="F46">
        <f t="shared" si="2"/>
        <v>-51.430500000000002</v>
      </c>
      <c r="G46">
        <f t="shared" si="3"/>
        <v>48.569499999999998</v>
      </c>
    </row>
    <row r="47" spans="1:7" x14ac:dyDescent="0.2">
      <c r="A47">
        <v>0.4375</v>
      </c>
      <c r="B47">
        <f t="shared" si="4"/>
        <v>43.75</v>
      </c>
      <c r="C47">
        <v>100</v>
      </c>
      <c r="D47">
        <f t="shared" si="0"/>
        <v>0</v>
      </c>
      <c r="E47">
        <f t="shared" si="1"/>
        <v>0</v>
      </c>
      <c r="F47">
        <f t="shared" si="2"/>
        <v>-50.001874999999998</v>
      </c>
      <c r="G47">
        <f t="shared" si="3"/>
        <v>49.998125000000002</v>
      </c>
    </row>
    <row r="48" spans="1:7" x14ac:dyDescent="0.2">
      <c r="A48">
        <v>0.45</v>
      </c>
      <c r="B48">
        <f t="shared" si="4"/>
        <v>45</v>
      </c>
      <c r="C48">
        <v>100</v>
      </c>
      <c r="D48">
        <f t="shared" si="0"/>
        <v>0</v>
      </c>
      <c r="E48">
        <f t="shared" si="1"/>
        <v>0</v>
      </c>
      <c r="F48">
        <f t="shared" si="2"/>
        <v>-48.573250000000002</v>
      </c>
      <c r="G48">
        <f t="shared" si="3"/>
        <v>51.426749999999998</v>
      </c>
    </row>
    <row r="49" spans="1:7" x14ac:dyDescent="0.2">
      <c r="A49">
        <v>0.46250000000000002</v>
      </c>
      <c r="B49">
        <f t="shared" si="4"/>
        <v>46.25</v>
      </c>
      <c r="C49">
        <v>100</v>
      </c>
      <c r="D49">
        <f t="shared" si="0"/>
        <v>0</v>
      </c>
      <c r="E49">
        <f t="shared" si="1"/>
        <v>0</v>
      </c>
      <c r="F49">
        <f t="shared" si="2"/>
        <v>-47.144624999999998</v>
      </c>
      <c r="G49">
        <f t="shared" si="3"/>
        <v>52.855375000000002</v>
      </c>
    </row>
    <row r="50" spans="1:7" x14ac:dyDescent="0.2">
      <c r="A50">
        <v>0.47499999999999998</v>
      </c>
      <c r="B50">
        <f t="shared" si="4"/>
        <v>47.5</v>
      </c>
      <c r="C50">
        <v>100</v>
      </c>
      <c r="D50">
        <f t="shared" si="0"/>
        <v>0</v>
      </c>
      <c r="E50">
        <f t="shared" si="1"/>
        <v>0</v>
      </c>
      <c r="F50">
        <f t="shared" si="2"/>
        <v>-45.716000000000001</v>
      </c>
      <c r="G50">
        <f t="shared" si="3"/>
        <v>54.283999999999999</v>
      </c>
    </row>
    <row r="51" spans="1:7" x14ac:dyDescent="0.2">
      <c r="A51">
        <v>0.48749999999999999</v>
      </c>
      <c r="B51">
        <f t="shared" si="4"/>
        <v>48.75</v>
      </c>
      <c r="C51">
        <v>100</v>
      </c>
      <c r="D51">
        <f t="shared" si="0"/>
        <v>0</v>
      </c>
      <c r="E51">
        <f t="shared" si="1"/>
        <v>0</v>
      </c>
      <c r="F51">
        <f t="shared" si="2"/>
        <v>-44.287375000000004</v>
      </c>
      <c r="G51">
        <f t="shared" si="3"/>
        <v>55.712624999999996</v>
      </c>
    </row>
    <row r="52" spans="1:7" x14ac:dyDescent="0.2">
      <c r="A52">
        <v>0.5</v>
      </c>
      <c r="B52">
        <f t="shared" si="4"/>
        <v>50</v>
      </c>
      <c r="C52">
        <v>100</v>
      </c>
      <c r="D52">
        <f t="shared" si="0"/>
        <v>0</v>
      </c>
      <c r="E52">
        <f t="shared" si="1"/>
        <v>0</v>
      </c>
      <c r="F52">
        <f t="shared" si="2"/>
        <v>-42.858750000000001</v>
      </c>
      <c r="G52">
        <f t="shared" si="3"/>
        <v>57.141249999999999</v>
      </c>
    </row>
    <row r="53" spans="1:7" x14ac:dyDescent="0.2">
      <c r="A53">
        <v>0.51249999999999996</v>
      </c>
      <c r="B53">
        <f>A53*$B$9</f>
        <v>51.249999999999993</v>
      </c>
      <c r="C53">
        <v>100</v>
      </c>
      <c r="D53">
        <f>1.6 *MAX(0, B53-$B$9)</f>
        <v>0</v>
      </c>
      <c r="E53">
        <f>-1.6*MAX(0, B53 - 1.1375 *$B$9)</f>
        <v>0</v>
      </c>
      <c r="F53">
        <f>-1.1429 *MAX(0, 0.875*$B$9 - B53)</f>
        <v>-41.430125000000011</v>
      </c>
      <c r="G53">
        <f>SUM(C53:F53)</f>
        <v>58.569874999999989</v>
      </c>
    </row>
    <row r="54" spans="1:7" x14ac:dyDescent="0.2">
      <c r="A54">
        <v>0.52500000000000002</v>
      </c>
      <c r="B54">
        <f>A54*$B$9</f>
        <v>52.5</v>
      </c>
      <c r="C54">
        <v>100</v>
      </c>
      <c r="D54">
        <f t="shared" ref="D54:D64" si="5">1.6 *MAX(0, B54-$B$9)</f>
        <v>0</v>
      </c>
      <c r="E54">
        <f t="shared" ref="E54:E64" si="6">-1.6*MAX(0, B54 - 1.1375 *$B$9)</f>
        <v>0</v>
      </c>
      <c r="F54">
        <f t="shared" ref="F54:F64" si="7">-1.1429 *MAX(0, 0.875*$B$9 - B54)</f>
        <v>-40.0015</v>
      </c>
      <c r="G54">
        <f t="shared" ref="G54:G64" si="8">SUM(C54:F54)</f>
        <v>59.9985</v>
      </c>
    </row>
    <row r="55" spans="1:7" x14ac:dyDescent="0.2">
      <c r="A55">
        <v>0.53749999999999998</v>
      </c>
      <c r="B55">
        <f t="shared" ref="B55:B64" si="9">A55*$B$9</f>
        <v>53.75</v>
      </c>
      <c r="C55">
        <v>100</v>
      </c>
      <c r="D55">
        <f t="shared" si="5"/>
        <v>0</v>
      </c>
      <c r="E55">
        <f t="shared" si="6"/>
        <v>0</v>
      </c>
      <c r="F55">
        <f t="shared" si="7"/>
        <v>-38.572875000000003</v>
      </c>
      <c r="G55">
        <f t="shared" si="8"/>
        <v>61.427124999999997</v>
      </c>
    </row>
    <row r="56" spans="1:7" x14ac:dyDescent="0.2">
      <c r="A56">
        <v>0.55000000000000004</v>
      </c>
      <c r="B56">
        <f t="shared" si="9"/>
        <v>55.000000000000007</v>
      </c>
      <c r="C56">
        <v>100</v>
      </c>
      <c r="D56">
        <f t="shared" si="5"/>
        <v>0</v>
      </c>
      <c r="E56">
        <f t="shared" si="6"/>
        <v>0</v>
      </c>
      <c r="F56">
        <f t="shared" si="7"/>
        <v>-37.144249999999992</v>
      </c>
      <c r="G56">
        <f t="shared" si="8"/>
        <v>62.855750000000008</v>
      </c>
    </row>
    <row r="57" spans="1:7" x14ac:dyDescent="0.2">
      <c r="A57">
        <v>0.5625</v>
      </c>
      <c r="B57">
        <f t="shared" si="9"/>
        <v>56.25</v>
      </c>
      <c r="C57">
        <v>100</v>
      </c>
      <c r="D57">
        <f t="shared" si="5"/>
        <v>0</v>
      </c>
      <c r="E57">
        <f t="shared" si="6"/>
        <v>0</v>
      </c>
      <c r="F57">
        <f t="shared" si="7"/>
        <v>-35.715625000000003</v>
      </c>
      <c r="G57">
        <f t="shared" si="8"/>
        <v>64.284374999999997</v>
      </c>
    </row>
    <row r="58" spans="1:7" x14ac:dyDescent="0.2">
      <c r="A58">
        <v>0.57499999999999996</v>
      </c>
      <c r="B58">
        <f t="shared" si="9"/>
        <v>57.499999999999993</v>
      </c>
      <c r="C58">
        <v>100</v>
      </c>
      <c r="D58">
        <f t="shared" si="5"/>
        <v>0</v>
      </c>
      <c r="E58">
        <f t="shared" si="6"/>
        <v>0</v>
      </c>
      <c r="F58">
        <f t="shared" si="7"/>
        <v>-34.287000000000006</v>
      </c>
      <c r="G58">
        <f t="shared" si="8"/>
        <v>65.712999999999994</v>
      </c>
    </row>
    <row r="59" spans="1:7" x14ac:dyDescent="0.2">
      <c r="A59">
        <v>0.58750000000000002</v>
      </c>
      <c r="B59">
        <f t="shared" si="9"/>
        <v>58.75</v>
      </c>
      <c r="C59">
        <v>100</v>
      </c>
      <c r="D59">
        <f t="shared" si="5"/>
        <v>0</v>
      </c>
      <c r="E59">
        <f t="shared" si="6"/>
        <v>0</v>
      </c>
      <c r="F59">
        <f t="shared" si="7"/>
        <v>-32.858375000000002</v>
      </c>
      <c r="G59">
        <f t="shared" si="8"/>
        <v>67.141625000000005</v>
      </c>
    </row>
    <row r="60" spans="1:7" x14ac:dyDescent="0.2">
      <c r="A60">
        <v>0.6</v>
      </c>
      <c r="B60">
        <f t="shared" si="9"/>
        <v>60</v>
      </c>
      <c r="C60">
        <v>100</v>
      </c>
      <c r="D60">
        <f t="shared" si="5"/>
        <v>0</v>
      </c>
      <c r="E60">
        <f t="shared" si="6"/>
        <v>0</v>
      </c>
      <c r="F60">
        <f t="shared" si="7"/>
        <v>-31.429750000000002</v>
      </c>
      <c r="G60">
        <f t="shared" si="8"/>
        <v>68.570250000000001</v>
      </c>
    </row>
    <row r="61" spans="1:7" x14ac:dyDescent="0.2">
      <c r="A61">
        <v>0.61250000000000004</v>
      </c>
      <c r="B61">
        <f t="shared" si="9"/>
        <v>61.250000000000007</v>
      </c>
      <c r="C61">
        <v>100</v>
      </c>
      <c r="D61">
        <f t="shared" si="5"/>
        <v>0</v>
      </c>
      <c r="E61">
        <f t="shared" si="6"/>
        <v>0</v>
      </c>
      <c r="F61">
        <f t="shared" si="7"/>
        <v>-30.001124999999991</v>
      </c>
      <c r="G61">
        <f t="shared" si="8"/>
        <v>69.998875000000012</v>
      </c>
    </row>
    <row r="62" spans="1:7" x14ac:dyDescent="0.2">
      <c r="A62">
        <v>0.625</v>
      </c>
      <c r="B62">
        <f t="shared" si="9"/>
        <v>62.5</v>
      </c>
      <c r="C62">
        <v>100</v>
      </c>
      <c r="D62">
        <f t="shared" si="5"/>
        <v>0</v>
      </c>
      <c r="E62">
        <f t="shared" si="6"/>
        <v>0</v>
      </c>
      <c r="F62">
        <f t="shared" si="7"/>
        <v>-28.572500000000002</v>
      </c>
      <c r="G62">
        <f t="shared" si="8"/>
        <v>71.427499999999995</v>
      </c>
    </row>
    <row r="63" spans="1:7" x14ac:dyDescent="0.2">
      <c r="A63">
        <v>0.63749999999999996</v>
      </c>
      <c r="B63">
        <f t="shared" si="9"/>
        <v>63.749999999999993</v>
      </c>
      <c r="C63">
        <v>100</v>
      </c>
      <c r="D63">
        <f t="shared" si="5"/>
        <v>0</v>
      </c>
      <c r="E63">
        <f t="shared" si="6"/>
        <v>0</v>
      </c>
      <c r="F63">
        <f t="shared" si="7"/>
        <v>-27.143875000000008</v>
      </c>
      <c r="G63">
        <f t="shared" si="8"/>
        <v>72.856124999999992</v>
      </c>
    </row>
    <row r="64" spans="1:7" x14ac:dyDescent="0.2">
      <c r="A64">
        <v>0.65</v>
      </c>
      <c r="B64">
        <f t="shared" si="9"/>
        <v>65</v>
      </c>
      <c r="C64">
        <v>100</v>
      </c>
      <c r="D64">
        <f t="shared" si="5"/>
        <v>0</v>
      </c>
      <c r="E64">
        <f t="shared" si="6"/>
        <v>0</v>
      </c>
      <c r="F64">
        <f t="shared" si="7"/>
        <v>-25.715250000000001</v>
      </c>
      <c r="G64">
        <f t="shared" si="8"/>
        <v>74.284750000000003</v>
      </c>
    </row>
    <row r="65" spans="1:7" x14ac:dyDescent="0.2">
      <c r="A65">
        <v>0.66249999999999998</v>
      </c>
      <c r="B65">
        <f>A65*$B$9</f>
        <v>66.25</v>
      </c>
      <c r="C65">
        <v>100</v>
      </c>
      <c r="D65">
        <f>1.6 *MAX(0, B65-$B$9)</f>
        <v>0</v>
      </c>
      <c r="E65">
        <f>-1.6*MAX(0, B65 - 1.1375 *$B$9)</f>
        <v>0</v>
      </c>
      <c r="F65">
        <f>-1.1429 *MAX(0, 0.875*$B$9 - B65)</f>
        <v>-24.286625000000001</v>
      </c>
      <c r="G65">
        <f>SUM(C65:F65)</f>
        <v>75.713374999999999</v>
      </c>
    </row>
    <row r="66" spans="1:7" x14ac:dyDescent="0.2">
      <c r="A66">
        <v>0.67500000000000004</v>
      </c>
      <c r="B66">
        <f>A66*$B$9</f>
        <v>67.5</v>
      </c>
      <c r="C66">
        <v>100</v>
      </c>
      <c r="D66">
        <f t="shared" ref="D66:D81" si="10">1.6 *MAX(0, B66-$B$9)</f>
        <v>0</v>
      </c>
      <c r="E66">
        <f t="shared" ref="E66:E81" si="11">-1.6*MAX(0, B66 - 1.1375 *$B$9)</f>
        <v>0</v>
      </c>
      <c r="F66">
        <f t="shared" ref="F66:F81" si="12">-1.1429 *MAX(0, 0.875*$B$9 - B66)</f>
        <v>-22.858000000000001</v>
      </c>
      <c r="G66">
        <f t="shared" ref="G66:G81" si="13">SUM(C66:F66)</f>
        <v>77.141999999999996</v>
      </c>
    </row>
    <row r="67" spans="1:7" x14ac:dyDescent="0.2">
      <c r="A67">
        <v>0.6875</v>
      </c>
      <c r="B67">
        <f t="shared" ref="B67:B81" si="14">A67*$B$9</f>
        <v>68.75</v>
      </c>
      <c r="C67">
        <v>100</v>
      </c>
      <c r="D67">
        <f t="shared" si="10"/>
        <v>0</v>
      </c>
      <c r="E67">
        <f t="shared" si="11"/>
        <v>0</v>
      </c>
      <c r="F67">
        <f t="shared" si="12"/>
        <v>-21.429375</v>
      </c>
      <c r="G67">
        <f t="shared" si="13"/>
        <v>78.570625000000007</v>
      </c>
    </row>
    <row r="68" spans="1:7" x14ac:dyDescent="0.2">
      <c r="A68">
        <v>0.7</v>
      </c>
      <c r="B68">
        <f t="shared" si="14"/>
        <v>70</v>
      </c>
      <c r="C68">
        <v>100</v>
      </c>
      <c r="D68">
        <f t="shared" si="10"/>
        <v>0</v>
      </c>
      <c r="E68">
        <f t="shared" si="11"/>
        <v>0</v>
      </c>
      <c r="F68">
        <f t="shared" si="12"/>
        <v>-20.00075</v>
      </c>
      <c r="G68">
        <f t="shared" si="13"/>
        <v>79.999250000000004</v>
      </c>
    </row>
    <row r="69" spans="1:7" x14ac:dyDescent="0.2">
      <c r="A69">
        <v>0.71250000000000002</v>
      </c>
      <c r="B69">
        <f t="shared" si="14"/>
        <v>71.25</v>
      </c>
      <c r="C69">
        <v>100</v>
      </c>
      <c r="D69">
        <f t="shared" si="10"/>
        <v>0</v>
      </c>
      <c r="E69">
        <f t="shared" si="11"/>
        <v>0</v>
      </c>
      <c r="F69">
        <f t="shared" si="12"/>
        <v>-18.572125</v>
      </c>
      <c r="G69">
        <f t="shared" si="13"/>
        <v>81.427875</v>
      </c>
    </row>
    <row r="70" spans="1:7" x14ac:dyDescent="0.2">
      <c r="A70">
        <v>0.72499999999999998</v>
      </c>
      <c r="B70">
        <f t="shared" si="14"/>
        <v>72.5</v>
      </c>
      <c r="C70">
        <v>100</v>
      </c>
      <c r="D70">
        <f t="shared" si="10"/>
        <v>0</v>
      </c>
      <c r="E70">
        <f t="shared" si="11"/>
        <v>0</v>
      </c>
      <c r="F70">
        <f t="shared" si="12"/>
        <v>-17.1435</v>
      </c>
      <c r="G70">
        <f t="shared" si="13"/>
        <v>82.856499999999997</v>
      </c>
    </row>
    <row r="71" spans="1:7" x14ac:dyDescent="0.2">
      <c r="A71">
        <v>0.73750000000000004</v>
      </c>
      <c r="B71">
        <f t="shared" si="14"/>
        <v>73.75</v>
      </c>
      <c r="C71">
        <v>100</v>
      </c>
      <c r="D71">
        <f t="shared" si="10"/>
        <v>0</v>
      </c>
      <c r="E71">
        <f t="shared" si="11"/>
        <v>0</v>
      </c>
      <c r="F71">
        <f t="shared" si="12"/>
        <v>-15.714875000000001</v>
      </c>
      <c r="G71">
        <f t="shared" si="13"/>
        <v>84.285124999999994</v>
      </c>
    </row>
    <row r="72" spans="1:7" x14ac:dyDescent="0.2">
      <c r="A72">
        <v>0.75</v>
      </c>
      <c r="B72">
        <f t="shared" si="14"/>
        <v>75</v>
      </c>
      <c r="C72">
        <v>100</v>
      </c>
      <c r="D72">
        <f t="shared" si="10"/>
        <v>0</v>
      </c>
      <c r="E72">
        <f t="shared" si="11"/>
        <v>0</v>
      </c>
      <c r="F72">
        <f t="shared" si="12"/>
        <v>-14.286250000000001</v>
      </c>
      <c r="G72">
        <f t="shared" si="13"/>
        <v>85.713750000000005</v>
      </c>
    </row>
    <row r="73" spans="1:7" x14ac:dyDescent="0.2">
      <c r="A73">
        <v>0.76249999999999996</v>
      </c>
      <c r="B73">
        <f t="shared" si="14"/>
        <v>76.25</v>
      </c>
      <c r="C73">
        <v>100</v>
      </c>
      <c r="D73">
        <f t="shared" si="10"/>
        <v>0</v>
      </c>
      <c r="E73">
        <f t="shared" si="11"/>
        <v>0</v>
      </c>
      <c r="F73">
        <f t="shared" si="12"/>
        <v>-12.857625000000001</v>
      </c>
      <c r="G73">
        <f t="shared" si="13"/>
        <v>87.142375000000001</v>
      </c>
    </row>
    <row r="74" spans="1:7" x14ac:dyDescent="0.2">
      <c r="A74">
        <v>0.77500000000000002</v>
      </c>
      <c r="B74">
        <f t="shared" si="14"/>
        <v>77.5</v>
      </c>
      <c r="C74">
        <v>100</v>
      </c>
      <c r="D74">
        <f t="shared" si="10"/>
        <v>0</v>
      </c>
      <c r="E74">
        <f t="shared" si="11"/>
        <v>0</v>
      </c>
      <c r="F74">
        <f t="shared" si="12"/>
        <v>-11.429</v>
      </c>
      <c r="G74">
        <f t="shared" si="13"/>
        <v>88.570999999999998</v>
      </c>
    </row>
    <row r="75" spans="1:7" x14ac:dyDescent="0.2">
      <c r="A75">
        <v>0.78749999999999998</v>
      </c>
      <c r="B75">
        <f t="shared" si="14"/>
        <v>78.75</v>
      </c>
      <c r="C75">
        <v>100</v>
      </c>
      <c r="D75">
        <f t="shared" si="10"/>
        <v>0</v>
      </c>
      <c r="E75">
        <f t="shared" si="11"/>
        <v>0</v>
      </c>
      <c r="F75">
        <f t="shared" si="12"/>
        <v>-10.000375</v>
      </c>
      <c r="G75">
        <f t="shared" si="13"/>
        <v>89.999624999999995</v>
      </c>
    </row>
    <row r="76" spans="1:7" x14ac:dyDescent="0.2">
      <c r="A76">
        <v>0.8</v>
      </c>
      <c r="B76">
        <f t="shared" si="14"/>
        <v>80</v>
      </c>
      <c r="C76">
        <v>100</v>
      </c>
      <c r="D76">
        <f t="shared" si="10"/>
        <v>0</v>
      </c>
      <c r="E76">
        <f t="shared" si="11"/>
        <v>0</v>
      </c>
      <c r="F76">
        <f t="shared" si="12"/>
        <v>-8.5717499999999998</v>
      </c>
      <c r="G76">
        <f t="shared" si="13"/>
        <v>91.428250000000006</v>
      </c>
    </row>
    <row r="77" spans="1:7" x14ac:dyDescent="0.2">
      <c r="A77">
        <v>0.8125</v>
      </c>
      <c r="B77">
        <f t="shared" si="14"/>
        <v>81.25</v>
      </c>
      <c r="C77">
        <v>100</v>
      </c>
      <c r="D77">
        <f t="shared" si="10"/>
        <v>0</v>
      </c>
      <c r="E77">
        <f t="shared" si="11"/>
        <v>0</v>
      </c>
      <c r="F77">
        <f t="shared" si="12"/>
        <v>-7.1431250000000004</v>
      </c>
      <c r="G77">
        <f t="shared" si="13"/>
        <v>92.856875000000002</v>
      </c>
    </row>
    <row r="78" spans="1:7" x14ac:dyDescent="0.2">
      <c r="A78">
        <v>0.82499999999999996</v>
      </c>
      <c r="B78">
        <f t="shared" si="14"/>
        <v>82.5</v>
      </c>
      <c r="C78">
        <v>100</v>
      </c>
      <c r="D78">
        <f t="shared" si="10"/>
        <v>0</v>
      </c>
      <c r="E78">
        <f t="shared" si="11"/>
        <v>0</v>
      </c>
      <c r="F78">
        <f t="shared" si="12"/>
        <v>-5.7145000000000001</v>
      </c>
      <c r="G78">
        <f t="shared" si="13"/>
        <v>94.285499999999999</v>
      </c>
    </row>
    <row r="79" spans="1:7" x14ac:dyDescent="0.2">
      <c r="A79">
        <v>0.83750000000000002</v>
      </c>
      <c r="B79">
        <f t="shared" si="14"/>
        <v>83.75</v>
      </c>
      <c r="C79">
        <v>100</v>
      </c>
      <c r="D79">
        <f t="shared" si="10"/>
        <v>0</v>
      </c>
      <c r="E79">
        <f t="shared" si="11"/>
        <v>0</v>
      </c>
      <c r="F79">
        <f t="shared" si="12"/>
        <v>-4.2858749999999999</v>
      </c>
      <c r="G79">
        <f t="shared" si="13"/>
        <v>95.714124999999996</v>
      </c>
    </row>
    <row r="80" spans="1:7" x14ac:dyDescent="0.2">
      <c r="A80">
        <v>0.85</v>
      </c>
      <c r="B80">
        <f t="shared" si="14"/>
        <v>85</v>
      </c>
      <c r="C80">
        <v>100</v>
      </c>
      <c r="D80">
        <f t="shared" si="10"/>
        <v>0</v>
      </c>
      <c r="E80">
        <f t="shared" si="11"/>
        <v>0</v>
      </c>
      <c r="F80">
        <f t="shared" si="12"/>
        <v>-2.8572500000000001</v>
      </c>
      <c r="G80">
        <f t="shared" si="13"/>
        <v>97.142750000000007</v>
      </c>
    </row>
    <row r="81" spans="1:7" x14ac:dyDescent="0.2">
      <c r="A81">
        <v>0.86250000000000004</v>
      </c>
      <c r="B81">
        <f t="shared" si="14"/>
        <v>86.25</v>
      </c>
      <c r="C81">
        <v>100</v>
      </c>
      <c r="D81">
        <f t="shared" si="10"/>
        <v>0</v>
      </c>
      <c r="E81">
        <f t="shared" si="11"/>
        <v>0</v>
      </c>
      <c r="F81">
        <f t="shared" si="12"/>
        <v>-1.428625</v>
      </c>
      <c r="G81">
        <f t="shared" si="13"/>
        <v>98.571375000000003</v>
      </c>
    </row>
    <row r="82" spans="1:7" x14ac:dyDescent="0.2">
      <c r="A82">
        <v>0.875</v>
      </c>
      <c r="B82">
        <f>A82*$B$9</f>
        <v>87.5</v>
      </c>
      <c r="C82">
        <v>100</v>
      </c>
      <c r="D82">
        <f>1.6 *MAX(0, B82-$B$9)</f>
        <v>0</v>
      </c>
      <c r="E82">
        <f>-1.6*MAX(0, B82 - 1.1375 *$B$9)</f>
        <v>0</v>
      </c>
      <c r="F82">
        <f>-1.1429 *MAX(0, 0.875*$B$9 - B82)</f>
        <v>0</v>
      </c>
      <c r="G82">
        <f>SUM(C82:F82)</f>
        <v>100</v>
      </c>
    </row>
    <row r="83" spans="1:7" x14ac:dyDescent="0.2">
      <c r="A83">
        <v>0.88749999999999996</v>
      </c>
      <c r="B83">
        <f>A83*$B$9</f>
        <v>88.75</v>
      </c>
      <c r="C83">
        <v>100</v>
      </c>
      <c r="D83">
        <f t="shared" ref="D83:D122" si="15">1.6 *MAX(0, B83-$B$9)</f>
        <v>0</v>
      </c>
      <c r="E83">
        <f t="shared" ref="E83:E122" si="16">-1.6*MAX(0, B83 - 1.1375 *$B$9)</f>
        <v>0</v>
      </c>
      <c r="F83">
        <f t="shared" ref="F83:F122" si="17">-1.1429 *MAX(0, 0.875*$B$9 - B83)</f>
        <v>0</v>
      </c>
      <c r="G83">
        <f t="shared" ref="G83:G122" si="18">SUM(C83:F83)</f>
        <v>100</v>
      </c>
    </row>
    <row r="84" spans="1:7" x14ac:dyDescent="0.2">
      <c r="A84">
        <v>0.9</v>
      </c>
      <c r="B84">
        <f t="shared" ref="B84:B122" si="19">A84*$B$9</f>
        <v>90</v>
      </c>
      <c r="C84">
        <v>100</v>
      </c>
      <c r="D84">
        <f t="shared" si="15"/>
        <v>0</v>
      </c>
      <c r="E84">
        <f t="shared" si="16"/>
        <v>0</v>
      </c>
      <c r="F84">
        <f t="shared" si="17"/>
        <v>0</v>
      </c>
      <c r="G84">
        <f t="shared" si="18"/>
        <v>100</v>
      </c>
    </row>
    <row r="85" spans="1:7" x14ac:dyDescent="0.2">
      <c r="A85">
        <v>0.91249999999999998</v>
      </c>
      <c r="B85">
        <f t="shared" si="19"/>
        <v>91.25</v>
      </c>
      <c r="C85">
        <v>100</v>
      </c>
      <c r="D85">
        <f t="shared" si="15"/>
        <v>0</v>
      </c>
      <c r="E85">
        <f t="shared" si="16"/>
        <v>0</v>
      </c>
      <c r="F85">
        <f t="shared" si="17"/>
        <v>0</v>
      </c>
      <c r="G85">
        <f t="shared" si="18"/>
        <v>100</v>
      </c>
    </row>
    <row r="86" spans="1:7" x14ac:dyDescent="0.2">
      <c r="A86">
        <v>0.92500000000000004</v>
      </c>
      <c r="B86">
        <f t="shared" si="19"/>
        <v>92.5</v>
      </c>
      <c r="C86">
        <v>100</v>
      </c>
      <c r="D86">
        <f t="shared" si="15"/>
        <v>0</v>
      </c>
      <c r="E86">
        <f t="shared" si="16"/>
        <v>0</v>
      </c>
      <c r="F86">
        <f t="shared" si="17"/>
        <v>0</v>
      </c>
      <c r="G86">
        <f t="shared" si="18"/>
        <v>100</v>
      </c>
    </row>
    <row r="87" spans="1:7" x14ac:dyDescent="0.2">
      <c r="A87">
        <v>0.9375</v>
      </c>
      <c r="B87">
        <f t="shared" si="19"/>
        <v>93.75</v>
      </c>
      <c r="C87">
        <v>100</v>
      </c>
      <c r="D87">
        <f t="shared" si="15"/>
        <v>0</v>
      </c>
      <c r="E87">
        <f t="shared" si="16"/>
        <v>0</v>
      </c>
      <c r="F87">
        <f t="shared" si="17"/>
        <v>0</v>
      </c>
      <c r="G87">
        <f t="shared" si="18"/>
        <v>100</v>
      </c>
    </row>
    <row r="88" spans="1:7" x14ac:dyDescent="0.2">
      <c r="A88">
        <v>0.95</v>
      </c>
      <c r="B88">
        <f t="shared" si="19"/>
        <v>95</v>
      </c>
      <c r="C88">
        <v>100</v>
      </c>
      <c r="D88">
        <f t="shared" si="15"/>
        <v>0</v>
      </c>
      <c r="E88">
        <f t="shared" si="16"/>
        <v>0</v>
      </c>
      <c r="F88">
        <f t="shared" si="17"/>
        <v>0</v>
      </c>
      <c r="G88">
        <f t="shared" si="18"/>
        <v>100</v>
      </c>
    </row>
    <row r="89" spans="1:7" x14ac:dyDescent="0.2">
      <c r="A89">
        <v>0.96250000000000002</v>
      </c>
      <c r="B89">
        <f t="shared" si="19"/>
        <v>96.25</v>
      </c>
      <c r="C89">
        <v>100</v>
      </c>
      <c r="D89">
        <f t="shared" si="15"/>
        <v>0</v>
      </c>
      <c r="E89">
        <f t="shared" si="16"/>
        <v>0</v>
      </c>
      <c r="F89">
        <f t="shared" si="17"/>
        <v>0</v>
      </c>
      <c r="G89">
        <f t="shared" si="18"/>
        <v>100</v>
      </c>
    </row>
    <row r="90" spans="1:7" x14ac:dyDescent="0.2">
      <c r="A90">
        <v>0.97499999999999998</v>
      </c>
      <c r="B90">
        <f t="shared" si="19"/>
        <v>97.5</v>
      </c>
      <c r="C90">
        <v>100</v>
      </c>
      <c r="D90">
        <f t="shared" si="15"/>
        <v>0</v>
      </c>
      <c r="E90">
        <f t="shared" si="16"/>
        <v>0</v>
      </c>
      <c r="F90">
        <f t="shared" si="17"/>
        <v>0</v>
      </c>
      <c r="G90">
        <f t="shared" si="18"/>
        <v>100</v>
      </c>
    </row>
    <row r="91" spans="1:7" x14ac:dyDescent="0.2">
      <c r="A91">
        <v>0.98750000000000004</v>
      </c>
      <c r="B91">
        <f t="shared" si="19"/>
        <v>98.75</v>
      </c>
      <c r="C91">
        <v>100</v>
      </c>
      <c r="D91">
        <f t="shared" si="15"/>
        <v>0</v>
      </c>
      <c r="E91">
        <f t="shared" si="16"/>
        <v>0</v>
      </c>
      <c r="F91">
        <f t="shared" si="17"/>
        <v>0</v>
      </c>
      <c r="G91">
        <f t="shared" si="18"/>
        <v>100</v>
      </c>
    </row>
    <row r="92" spans="1:7" x14ac:dyDescent="0.2">
      <c r="A92">
        <v>1</v>
      </c>
      <c r="B92">
        <f t="shared" si="19"/>
        <v>100</v>
      </c>
      <c r="C92">
        <v>100</v>
      </c>
      <c r="D92">
        <f t="shared" si="15"/>
        <v>0</v>
      </c>
      <c r="E92">
        <f t="shared" si="16"/>
        <v>0</v>
      </c>
      <c r="F92">
        <f t="shared" si="17"/>
        <v>0</v>
      </c>
      <c r="G92">
        <f t="shared" si="18"/>
        <v>100</v>
      </c>
    </row>
    <row r="93" spans="1:7" x14ac:dyDescent="0.2">
      <c r="A93">
        <v>1.0125</v>
      </c>
      <c r="B93">
        <f t="shared" si="19"/>
        <v>101.25</v>
      </c>
      <c r="C93">
        <v>100</v>
      </c>
      <c r="D93">
        <f t="shared" si="15"/>
        <v>2</v>
      </c>
      <c r="E93">
        <f t="shared" si="16"/>
        <v>0</v>
      </c>
      <c r="F93">
        <f t="shared" si="17"/>
        <v>0</v>
      </c>
      <c r="G93">
        <f t="shared" si="18"/>
        <v>102</v>
      </c>
    </row>
    <row r="94" spans="1:7" x14ac:dyDescent="0.2">
      <c r="A94">
        <v>1.0249999999999999</v>
      </c>
      <c r="B94">
        <f t="shared" si="19"/>
        <v>102.49999999999999</v>
      </c>
      <c r="C94">
        <v>100</v>
      </c>
      <c r="D94">
        <f t="shared" si="15"/>
        <v>3.9999999999999774</v>
      </c>
      <c r="E94">
        <f t="shared" si="16"/>
        <v>0</v>
      </c>
      <c r="F94">
        <f t="shared" si="17"/>
        <v>0</v>
      </c>
      <c r="G94">
        <f t="shared" si="18"/>
        <v>103.99999999999997</v>
      </c>
    </row>
    <row r="95" spans="1:7" x14ac:dyDescent="0.2">
      <c r="A95">
        <v>1.0375000000000001</v>
      </c>
      <c r="B95">
        <f t="shared" si="19"/>
        <v>103.75000000000001</v>
      </c>
      <c r="C95">
        <v>100</v>
      </c>
      <c r="D95">
        <f t="shared" si="15"/>
        <v>6.0000000000000231</v>
      </c>
      <c r="E95">
        <f t="shared" si="16"/>
        <v>0</v>
      </c>
      <c r="F95">
        <f t="shared" si="17"/>
        <v>0</v>
      </c>
      <c r="G95">
        <f t="shared" si="18"/>
        <v>106.00000000000003</v>
      </c>
    </row>
    <row r="96" spans="1:7" x14ac:dyDescent="0.2">
      <c r="A96">
        <v>1.05</v>
      </c>
      <c r="B96">
        <f t="shared" si="19"/>
        <v>105</v>
      </c>
      <c r="C96">
        <v>100</v>
      </c>
      <c r="D96">
        <f t="shared" si="15"/>
        <v>8</v>
      </c>
      <c r="E96">
        <f t="shared" si="16"/>
        <v>0</v>
      </c>
      <c r="F96">
        <f t="shared" si="17"/>
        <v>0</v>
      </c>
      <c r="G96">
        <f t="shared" si="18"/>
        <v>108</v>
      </c>
    </row>
    <row r="97" spans="1:7" x14ac:dyDescent="0.2">
      <c r="A97">
        <v>1.0625</v>
      </c>
      <c r="B97">
        <f t="shared" si="19"/>
        <v>106.25</v>
      </c>
      <c r="C97">
        <v>100</v>
      </c>
      <c r="D97">
        <f t="shared" si="15"/>
        <v>10</v>
      </c>
      <c r="E97">
        <f t="shared" si="16"/>
        <v>0</v>
      </c>
      <c r="F97">
        <f t="shared" si="17"/>
        <v>0</v>
      </c>
      <c r="G97">
        <f t="shared" si="18"/>
        <v>110</v>
      </c>
    </row>
    <row r="98" spans="1:7" x14ac:dyDescent="0.2">
      <c r="A98">
        <v>1.075</v>
      </c>
      <c r="B98">
        <f t="shared" si="19"/>
        <v>107.5</v>
      </c>
      <c r="C98">
        <v>100</v>
      </c>
      <c r="D98">
        <f t="shared" si="15"/>
        <v>12</v>
      </c>
      <c r="E98">
        <f t="shared" si="16"/>
        <v>0</v>
      </c>
      <c r="F98">
        <f t="shared" si="17"/>
        <v>0</v>
      </c>
      <c r="G98">
        <f t="shared" si="18"/>
        <v>112</v>
      </c>
    </row>
    <row r="99" spans="1:7" x14ac:dyDescent="0.2">
      <c r="A99">
        <v>1.0874999999999999</v>
      </c>
      <c r="B99">
        <f t="shared" si="19"/>
        <v>108.74999999999999</v>
      </c>
      <c r="C99">
        <v>100</v>
      </c>
      <c r="D99">
        <f t="shared" si="15"/>
        <v>13.999999999999979</v>
      </c>
      <c r="E99">
        <f t="shared" si="16"/>
        <v>0</v>
      </c>
      <c r="F99">
        <f t="shared" si="17"/>
        <v>0</v>
      </c>
      <c r="G99">
        <f t="shared" si="18"/>
        <v>113.99999999999997</v>
      </c>
    </row>
    <row r="100" spans="1:7" x14ac:dyDescent="0.2">
      <c r="A100">
        <v>1.1000000000000001</v>
      </c>
      <c r="B100">
        <f t="shared" si="19"/>
        <v>110.00000000000001</v>
      </c>
      <c r="C100">
        <v>100</v>
      </c>
      <c r="D100">
        <f t="shared" si="15"/>
        <v>16.000000000000025</v>
      </c>
      <c r="E100">
        <f t="shared" si="16"/>
        <v>0</v>
      </c>
      <c r="F100">
        <f t="shared" si="17"/>
        <v>0</v>
      </c>
      <c r="G100">
        <f t="shared" si="18"/>
        <v>116.00000000000003</v>
      </c>
    </row>
    <row r="101" spans="1:7" x14ac:dyDescent="0.2">
      <c r="A101">
        <v>1.1125</v>
      </c>
      <c r="B101">
        <f t="shared" si="19"/>
        <v>111.25</v>
      </c>
      <c r="C101">
        <v>100</v>
      </c>
      <c r="D101">
        <f t="shared" si="15"/>
        <v>18</v>
      </c>
      <c r="E101">
        <f t="shared" si="16"/>
        <v>0</v>
      </c>
      <c r="F101">
        <f t="shared" si="17"/>
        <v>0</v>
      </c>
      <c r="G101">
        <f t="shared" si="18"/>
        <v>118</v>
      </c>
    </row>
    <row r="102" spans="1:7" x14ac:dyDescent="0.2">
      <c r="A102">
        <v>1.125</v>
      </c>
      <c r="B102">
        <f t="shared" si="19"/>
        <v>112.5</v>
      </c>
      <c r="C102">
        <v>100</v>
      </c>
      <c r="D102">
        <f t="shared" si="15"/>
        <v>20</v>
      </c>
      <c r="E102">
        <f t="shared" si="16"/>
        <v>0</v>
      </c>
      <c r="F102">
        <f t="shared" si="17"/>
        <v>0</v>
      </c>
      <c r="G102">
        <f t="shared" si="18"/>
        <v>120</v>
      </c>
    </row>
    <row r="103" spans="1:7" x14ac:dyDescent="0.2">
      <c r="A103">
        <v>1.1375</v>
      </c>
      <c r="B103">
        <f t="shared" si="19"/>
        <v>113.75</v>
      </c>
      <c r="C103">
        <v>100</v>
      </c>
      <c r="D103">
        <f t="shared" si="15"/>
        <v>22</v>
      </c>
      <c r="E103">
        <f t="shared" si="16"/>
        <v>0</v>
      </c>
      <c r="F103">
        <f t="shared" si="17"/>
        <v>0</v>
      </c>
      <c r="G103">
        <f t="shared" si="18"/>
        <v>122</v>
      </c>
    </row>
    <row r="104" spans="1:7" x14ac:dyDescent="0.2">
      <c r="A104">
        <v>1.1499999999999999</v>
      </c>
      <c r="B104">
        <f t="shared" si="19"/>
        <v>114.99999999999999</v>
      </c>
      <c r="C104">
        <v>100</v>
      </c>
      <c r="D104">
        <f t="shared" si="15"/>
        <v>23.999999999999979</v>
      </c>
      <c r="E104">
        <f t="shared" si="16"/>
        <v>-1.9999999999999774</v>
      </c>
      <c r="F104">
        <f t="shared" si="17"/>
        <v>0</v>
      </c>
      <c r="G104">
        <f t="shared" si="18"/>
        <v>122</v>
      </c>
    </row>
    <row r="105" spans="1:7" x14ac:dyDescent="0.2">
      <c r="A105">
        <v>1.1625000000000001</v>
      </c>
      <c r="B105">
        <f t="shared" si="19"/>
        <v>116.25000000000001</v>
      </c>
      <c r="C105">
        <v>100</v>
      </c>
      <c r="D105">
        <f t="shared" si="15"/>
        <v>26.000000000000025</v>
      </c>
      <c r="E105">
        <f t="shared" si="16"/>
        <v>-4.0000000000000231</v>
      </c>
      <c r="F105">
        <f t="shared" si="17"/>
        <v>0</v>
      </c>
      <c r="G105">
        <f t="shared" si="18"/>
        <v>122</v>
      </c>
    </row>
    <row r="106" spans="1:7" x14ac:dyDescent="0.2">
      <c r="A106">
        <v>1.175</v>
      </c>
      <c r="B106">
        <f t="shared" si="19"/>
        <v>117.5</v>
      </c>
      <c r="C106">
        <v>100</v>
      </c>
      <c r="D106">
        <f t="shared" si="15"/>
        <v>28</v>
      </c>
      <c r="E106">
        <f t="shared" si="16"/>
        <v>-6</v>
      </c>
      <c r="F106">
        <f t="shared" si="17"/>
        <v>0</v>
      </c>
      <c r="G106">
        <f t="shared" si="18"/>
        <v>122</v>
      </c>
    </row>
    <row r="107" spans="1:7" x14ac:dyDescent="0.2">
      <c r="A107">
        <v>1.1875</v>
      </c>
      <c r="B107">
        <f t="shared" si="19"/>
        <v>118.75</v>
      </c>
      <c r="C107">
        <v>100</v>
      </c>
      <c r="D107">
        <f t="shared" si="15"/>
        <v>30</v>
      </c>
      <c r="E107">
        <f t="shared" si="16"/>
        <v>-8</v>
      </c>
      <c r="F107">
        <f t="shared" si="17"/>
        <v>0</v>
      </c>
      <c r="G107">
        <f t="shared" si="18"/>
        <v>122</v>
      </c>
    </row>
    <row r="108" spans="1:7" x14ac:dyDescent="0.2">
      <c r="A108">
        <v>1.2</v>
      </c>
      <c r="B108">
        <f t="shared" si="19"/>
        <v>120</v>
      </c>
      <c r="C108">
        <v>100</v>
      </c>
      <c r="D108">
        <f t="shared" si="15"/>
        <v>32</v>
      </c>
      <c r="E108">
        <f t="shared" si="16"/>
        <v>-10</v>
      </c>
      <c r="F108">
        <f t="shared" si="17"/>
        <v>0</v>
      </c>
      <c r="G108">
        <f t="shared" si="18"/>
        <v>122</v>
      </c>
    </row>
    <row r="109" spans="1:7" x14ac:dyDescent="0.2">
      <c r="A109">
        <v>1.2124999999999999</v>
      </c>
      <c r="B109">
        <f t="shared" si="19"/>
        <v>121.24999999999999</v>
      </c>
      <c r="C109">
        <v>100</v>
      </c>
      <c r="D109">
        <f t="shared" si="15"/>
        <v>33.999999999999979</v>
      </c>
      <c r="E109">
        <f t="shared" si="16"/>
        <v>-11.999999999999979</v>
      </c>
      <c r="F109">
        <f t="shared" si="17"/>
        <v>0</v>
      </c>
      <c r="G109">
        <f t="shared" si="18"/>
        <v>122</v>
      </c>
    </row>
    <row r="110" spans="1:7" x14ac:dyDescent="0.2">
      <c r="A110">
        <v>1.2250000000000001</v>
      </c>
      <c r="B110">
        <f t="shared" si="19"/>
        <v>122.50000000000001</v>
      </c>
      <c r="C110">
        <v>100</v>
      </c>
      <c r="D110">
        <f t="shared" si="15"/>
        <v>36.000000000000021</v>
      </c>
      <c r="E110">
        <f t="shared" si="16"/>
        <v>-14.000000000000023</v>
      </c>
      <c r="F110">
        <f t="shared" si="17"/>
        <v>0</v>
      </c>
      <c r="G110">
        <f t="shared" si="18"/>
        <v>122</v>
      </c>
    </row>
    <row r="111" spans="1:7" x14ac:dyDescent="0.2">
      <c r="A111">
        <v>1.2375</v>
      </c>
      <c r="B111">
        <f t="shared" si="19"/>
        <v>123.75</v>
      </c>
      <c r="C111">
        <v>100</v>
      </c>
      <c r="D111">
        <f t="shared" si="15"/>
        <v>38</v>
      </c>
      <c r="E111">
        <f t="shared" si="16"/>
        <v>-16</v>
      </c>
      <c r="F111">
        <f t="shared" si="17"/>
        <v>0</v>
      </c>
      <c r="G111">
        <f t="shared" si="18"/>
        <v>122</v>
      </c>
    </row>
    <row r="112" spans="1:7" x14ac:dyDescent="0.2">
      <c r="A112">
        <v>1.25</v>
      </c>
      <c r="B112">
        <f t="shared" si="19"/>
        <v>125</v>
      </c>
      <c r="C112">
        <v>100</v>
      </c>
      <c r="D112">
        <f t="shared" si="15"/>
        <v>40</v>
      </c>
      <c r="E112">
        <f t="shared" si="16"/>
        <v>-18</v>
      </c>
      <c r="F112">
        <f t="shared" si="17"/>
        <v>0</v>
      </c>
      <c r="G112">
        <f t="shared" si="18"/>
        <v>122</v>
      </c>
    </row>
    <row r="113" spans="1:7" x14ac:dyDescent="0.2">
      <c r="A113">
        <v>1.2625</v>
      </c>
      <c r="B113">
        <f t="shared" si="19"/>
        <v>126.25</v>
      </c>
      <c r="C113">
        <v>100</v>
      </c>
      <c r="D113">
        <f t="shared" si="15"/>
        <v>42</v>
      </c>
      <c r="E113">
        <f t="shared" si="16"/>
        <v>-20</v>
      </c>
      <c r="F113">
        <f t="shared" si="17"/>
        <v>0</v>
      </c>
      <c r="G113">
        <f t="shared" si="18"/>
        <v>122</v>
      </c>
    </row>
    <row r="114" spans="1:7" x14ac:dyDescent="0.2">
      <c r="A114">
        <v>1.2749999999999999</v>
      </c>
      <c r="B114">
        <f t="shared" si="19"/>
        <v>127.49999999999999</v>
      </c>
      <c r="C114">
        <v>100</v>
      </c>
      <c r="D114">
        <f t="shared" si="15"/>
        <v>43.999999999999979</v>
      </c>
      <c r="E114">
        <f t="shared" si="16"/>
        <v>-21.999999999999979</v>
      </c>
      <c r="F114">
        <f t="shared" si="17"/>
        <v>0</v>
      </c>
      <c r="G114">
        <f t="shared" si="18"/>
        <v>122</v>
      </c>
    </row>
    <row r="115" spans="1:7" x14ac:dyDescent="0.2">
      <c r="A115">
        <v>1.2875000000000001</v>
      </c>
      <c r="B115">
        <f t="shared" si="19"/>
        <v>128.75</v>
      </c>
      <c r="C115">
        <v>100</v>
      </c>
      <c r="D115">
        <f t="shared" si="15"/>
        <v>46</v>
      </c>
      <c r="E115">
        <f t="shared" si="16"/>
        <v>-24</v>
      </c>
      <c r="F115">
        <f t="shared" si="17"/>
        <v>0</v>
      </c>
      <c r="G115">
        <f t="shared" si="18"/>
        <v>122</v>
      </c>
    </row>
    <row r="116" spans="1:7" x14ac:dyDescent="0.2">
      <c r="A116">
        <v>1.3</v>
      </c>
      <c r="B116">
        <f t="shared" si="19"/>
        <v>130</v>
      </c>
      <c r="C116">
        <v>100</v>
      </c>
      <c r="D116">
        <f t="shared" si="15"/>
        <v>48</v>
      </c>
      <c r="E116">
        <f t="shared" si="16"/>
        <v>-26</v>
      </c>
      <c r="F116">
        <f t="shared" si="17"/>
        <v>0</v>
      </c>
      <c r="G116">
        <f t="shared" si="18"/>
        <v>122</v>
      </c>
    </row>
    <row r="117" spans="1:7" x14ac:dyDescent="0.2">
      <c r="A117">
        <v>1.3125</v>
      </c>
      <c r="B117">
        <f t="shared" si="19"/>
        <v>131.25</v>
      </c>
      <c r="C117">
        <v>100</v>
      </c>
      <c r="D117">
        <f t="shared" si="15"/>
        <v>50</v>
      </c>
      <c r="E117">
        <f t="shared" si="16"/>
        <v>-28</v>
      </c>
      <c r="F117">
        <f t="shared" si="17"/>
        <v>0</v>
      </c>
      <c r="G117">
        <f t="shared" si="18"/>
        <v>122</v>
      </c>
    </row>
    <row r="118" spans="1:7" x14ac:dyDescent="0.2">
      <c r="A118">
        <v>1.325</v>
      </c>
      <c r="B118">
        <f t="shared" si="19"/>
        <v>132.5</v>
      </c>
      <c r="C118">
        <v>100</v>
      </c>
      <c r="D118">
        <f t="shared" si="15"/>
        <v>52</v>
      </c>
      <c r="E118">
        <f t="shared" si="16"/>
        <v>-30</v>
      </c>
      <c r="F118">
        <f t="shared" si="17"/>
        <v>0</v>
      </c>
      <c r="G118">
        <f t="shared" si="18"/>
        <v>122</v>
      </c>
    </row>
    <row r="119" spans="1:7" x14ac:dyDescent="0.2">
      <c r="A119">
        <v>1.3374999999999999</v>
      </c>
      <c r="B119">
        <f t="shared" si="19"/>
        <v>133.75</v>
      </c>
      <c r="C119">
        <v>100</v>
      </c>
      <c r="D119">
        <f t="shared" si="15"/>
        <v>54</v>
      </c>
      <c r="E119">
        <f t="shared" si="16"/>
        <v>-32</v>
      </c>
      <c r="F119">
        <f t="shared" si="17"/>
        <v>0</v>
      </c>
      <c r="G119">
        <f t="shared" si="18"/>
        <v>122</v>
      </c>
    </row>
    <row r="120" spans="1:7" x14ac:dyDescent="0.2">
      <c r="A120">
        <v>1.35</v>
      </c>
      <c r="B120">
        <f t="shared" si="19"/>
        <v>135</v>
      </c>
      <c r="C120">
        <v>100</v>
      </c>
      <c r="D120">
        <f t="shared" si="15"/>
        <v>56</v>
      </c>
      <c r="E120">
        <f t="shared" si="16"/>
        <v>-34</v>
      </c>
      <c r="F120">
        <f t="shared" si="17"/>
        <v>0</v>
      </c>
      <c r="G120">
        <f t="shared" si="18"/>
        <v>122</v>
      </c>
    </row>
    <row r="121" spans="1:7" x14ac:dyDescent="0.2">
      <c r="A121">
        <v>1.3625</v>
      </c>
      <c r="B121">
        <f t="shared" si="19"/>
        <v>136.25</v>
      </c>
      <c r="C121">
        <v>100</v>
      </c>
      <c r="D121">
        <f t="shared" si="15"/>
        <v>58</v>
      </c>
      <c r="E121">
        <f t="shared" si="16"/>
        <v>-36</v>
      </c>
      <c r="F121">
        <f t="shared" si="17"/>
        <v>0</v>
      </c>
      <c r="G121">
        <f t="shared" si="18"/>
        <v>122</v>
      </c>
    </row>
    <row r="122" spans="1:7" x14ac:dyDescent="0.2">
      <c r="A122">
        <v>1.375</v>
      </c>
      <c r="B122">
        <f t="shared" si="19"/>
        <v>137.5</v>
      </c>
      <c r="C122">
        <v>100</v>
      </c>
      <c r="D122">
        <f t="shared" si="15"/>
        <v>60</v>
      </c>
      <c r="E122">
        <f t="shared" si="16"/>
        <v>-38</v>
      </c>
      <c r="F122">
        <f t="shared" si="17"/>
        <v>0</v>
      </c>
      <c r="G122">
        <f t="shared" si="18"/>
        <v>122</v>
      </c>
    </row>
    <row r="123" spans="1:7" x14ac:dyDescent="0.2">
      <c r="A123">
        <v>1.3875</v>
      </c>
      <c r="B123">
        <f>A123*$B$9</f>
        <v>138.75</v>
      </c>
      <c r="C123">
        <v>100</v>
      </c>
      <c r="D123">
        <f>1.6 *MAX(0, B123-$B$9)</f>
        <v>62</v>
      </c>
      <c r="E123">
        <f>-1.6*MAX(0, B123 - 1.1375 *$B$9)</f>
        <v>-40</v>
      </c>
      <c r="F123">
        <f>-1.1429 *MAX(0, 0.875*$B$9 - B123)</f>
        <v>0</v>
      </c>
      <c r="G123">
        <f>SUM(C123:F123)</f>
        <v>122</v>
      </c>
    </row>
    <row r="124" spans="1:7" x14ac:dyDescent="0.2">
      <c r="A124">
        <v>1.4</v>
      </c>
      <c r="B124">
        <f>A124*$B$9</f>
        <v>140</v>
      </c>
      <c r="C124">
        <v>100</v>
      </c>
      <c r="D124">
        <f t="shared" ref="D124:D132" si="20">1.6 *MAX(0, B124-$B$9)</f>
        <v>64</v>
      </c>
      <c r="E124">
        <f t="shared" ref="E124:E132" si="21">-1.6*MAX(0, B124 - 1.1375 *$B$9)</f>
        <v>-42</v>
      </c>
      <c r="F124">
        <f t="shared" ref="F124:F132" si="22">-1.1429 *MAX(0, 0.875*$B$9 - B124)</f>
        <v>0</v>
      </c>
      <c r="G124">
        <f t="shared" ref="G124:G132" si="23">SUM(C124:F124)</f>
        <v>122</v>
      </c>
    </row>
    <row r="125" spans="1:7" x14ac:dyDescent="0.2">
      <c r="A125">
        <v>1.4125000000000001</v>
      </c>
      <c r="B125">
        <f t="shared" ref="B125:B132" si="24">A125*$B$9</f>
        <v>141.25</v>
      </c>
      <c r="C125">
        <v>100</v>
      </c>
      <c r="D125">
        <f t="shared" si="20"/>
        <v>66</v>
      </c>
      <c r="E125">
        <f t="shared" si="21"/>
        <v>-44</v>
      </c>
      <c r="F125">
        <f t="shared" si="22"/>
        <v>0</v>
      </c>
      <c r="G125">
        <f t="shared" si="23"/>
        <v>122</v>
      </c>
    </row>
    <row r="126" spans="1:7" x14ac:dyDescent="0.2">
      <c r="A126">
        <v>1.425</v>
      </c>
      <c r="B126">
        <f t="shared" si="24"/>
        <v>142.5</v>
      </c>
      <c r="C126">
        <v>100</v>
      </c>
      <c r="D126">
        <f t="shared" si="20"/>
        <v>68</v>
      </c>
      <c r="E126">
        <f t="shared" si="21"/>
        <v>-46</v>
      </c>
      <c r="F126">
        <f t="shared" si="22"/>
        <v>0</v>
      </c>
      <c r="G126">
        <f t="shared" si="23"/>
        <v>122</v>
      </c>
    </row>
    <row r="127" spans="1:7" x14ac:dyDescent="0.2">
      <c r="A127">
        <v>1.4375</v>
      </c>
      <c r="B127">
        <f t="shared" si="24"/>
        <v>143.75</v>
      </c>
      <c r="C127">
        <v>100</v>
      </c>
      <c r="D127">
        <f t="shared" si="20"/>
        <v>70</v>
      </c>
      <c r="E127">
        <f t="shared" si="21"/>
        <v>-48</v>
      </c>
      <c r="F127">
        <f t="shared" si="22"/>
        <v>0</v>
      </c>
      <c r="G127">
        <f t="shared" si="23"/>
        <v>122</v>
      </c>
    </row>
    <row r="128" spans="1:7" x14ac:dyDescent="0.2">
      <c r="A128">
        <v>1.45</v>
      </c>
      <c r="B128">
        <f t="shared" si="24"/>
        <v>145</v>
      </c>
      <c r="C128">
        <v>100</v>
      </c>
      <c r="D128">
        <f t="shared" si="20"/>
        <v>72</v>
      </c>
      <c r="E128">
        <f t="shared" si="21"/>
        <v>-50</v>
      </c>
      <c r="F128">
        <f t="shared" si="22"/>
        <v>0</v>
      </c>
      <c r="G128">
        <f t="shared" si="23"/>
        <v>122</v>
      </c>
    </row>
    <row r="129" spans="1:7" x14ac:dyDescent="0.2">
      <c r="A129">
        <v>1.4624999999999999</v>
      </c>
      <c r="B129">
        <f t="shared" si="24"/>
        <v>146.25</v>
      </c>
      <c r="C129">
        <v>100</v>
      </c>
      <c r="D129">
        <f t="shared" si="20"/>
        <v>74</v>
      </c>
      <c r="E129">
        <f t="shared" si="21"/>
        <v>-52</v>
      </c>
      <c r="F129">
        <f t="shared" si="22"/>
        <v>0</v>
      </c>
      <c r="G129">
        <f t="shared" si="23"/>
        <v>122</v>
      </c>
    </row>
    <row r="130" spans="1:7" x14ac:dyDescent="0.2">
      <c r="A130">
        <v>1.4750000000000001</v>
      </c>
      <c r="B130">
        <f t="shared" si="24"/>
        <v>147.5</v>
      </c>
      <c r="C130">
        <v>100</v>
      </c>
      <c r="D130">
        <f t="shared" si="20"/>
        <v>76</v>
      </c>
      <c r="E130">
        <f t="shared" si="21"/>
        <v>-54</v>
      </c>
      <c r="F130">
        <f t="shared" si="22"/>
        <v>0</v>
      </c>
      <c r="G130">
        <f t="shared" si="23"/>
        <v>122</v>
      </c>
    </row>
    <row r="131" spans="1:7" x14ac:dyDescent="0.2">
      <c r="A131">
        <v>1.4875</v>
      </c>
      <c r="B131">
        <f t="shared" si="24"/>
        <v>148.75</v>
      </c>
      <c r="C131">
        <v>100</v>
      </c>
      <c r="D131">
        <f t="shared" si="20"/>
        <v>78</v>
      </c>
      <c r="E131">
        <f t="shared" si="21"/>
        <v>-56</v>
      </c>
      <c r="F131">
        <f t="shared" si="22"/>
        <v>0</v>
      </c>
      <c r="G131">
        <f t="shared" si="23"/>
        <v>122</v>
      </c>
    </row>
    <row r="132" spans="1:7" x14ac:dyDescent="0.2">
      <c r="A132">
        <v>1.5</v>
      </c>
      <c r="B132">
        <f t="shared" si="24"/>
        <v>150</v>
      </c>
      <c r="C132">
        <v>100</v>
      </c>
      <c r="D132">
        <f t="shared" si="20"/>
        <v>80</v>
      </c>
      <c r="E132">
        <f t="shared" si="21"/>
        <v>-58</v>
      </c>
      <c r="F132">
        <f t="shared" si="22"/>
        <v>0</v>
      </c>
      <c r="G132">
        <f t="shared" si="23"/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E28"/>
  <sheetViews>
    <sheetView workbookViewId="0">
      <selection activeCell="E4" sqref="E4"/>
    </sheetView>
  </sheetViews>
  <sheetFormatPr baseColWidth="10" defaultRowHeight="16" x14ac:dyDescent="0.2"/>
  <cols>
    <col min="2" max="2" width="17" bestFit="1" customWidth="1"/>
    <col min="4" max="4" width="12" bestFit="1" customWidth="1"/>
  </cols>
  <sheetData>
    <row r="1" spans="1:5" x14ac:dyDescent="0.2">
      <c r="A1" s="1" t="s">
        <v>52</v>
      </c>
      <c r="B1" s="1" t="s">
        <v>11</v>
      </c>
      <c r="C1" s="1" t="s">
        <v>12</v>
      </c>
      <c r="D1" s="1" t="s">
        <v>55</v>
      </c>
      <c r="E1" s="1" t="s">
        <v>86</v>
      </c>
    </row>
    <row r="2" spans="1:5" x14ac:dyDescent="0.2">
      <c r="A2" s="4">
        <v>43100</v>
      </c>
      <c r="C2" s="11">
        <f>AVERAGE(C14,C26)</f>
        <v>4.6135000000000002</v>
      </c>
      <c r="D2" s="13">
        <f>EXP(LN('Term Structure'!$G$4) / (('Term Structure'!$A$4 - 'Term Structure'!$A$2) / 360) * ((A2 - 'Term Structure'!$A$2) / 360))</f>
        <v>0.99881040663472931</v>
      </c>
      <c r="E2">
        <f>C2*D2</f>
        <v>4.608011811009324</v>
      </c>
    </row>
    <row r="3" spans="1:5" x14ac:dyDescent="0.2">
      <c r="A3" s="4">
        <v>43131</v>
      </c>
      <c r="B3">
        <v>26</v>
      </c>
      <c r="C3" s="11">
        <v>0.50600000000000001</v>
      </c>
      <c r="D3" s="13">
        <f>EXP(LN('Term Structure'!$G$4) / (('Term Structure'!$A$4 - 'Term Structure'!$A$2) / 360) * ((A3 - 'Term Structure'!$A$2) / 360))</f>
        <v>0.99758264681280484</v>
      </c>
      <c r="E3">
        <f t="shared" ref="E3:E27" si="0">C3*D3</f>
        <v>0.50477681928727924</v>
      </c>
    </row>
    <row r="4" spans="1:5" x14ac:dyDescent="0.2">
      <c r="A4" s="4">
        <v>43159</v>
      </c>
      <c r="B4">
        <v>164</v>
      </c>
      <c r="C4" s="11">
        <v>5.7629999999999999</v>
      </c>
      <c r="D4" s="13">
        <f>EXP(LN('Term Structure'!$G$4) / (('Term Structure'!$A$4 - 'Term Structure'!$A$2) / 360) * ((A4 - 'Term Structure'!$A$2) / 360))</f>
        <v>0.9964749996895429</v>
      </c>
      <c r="E4">
        <f t="shared" si="0"/>
        <v>5.742685423210836</v>
      </c>
    </row>
    <row r="5" spans="1:5" x14ac:dyDescent="0.2">
      <c r="A5" s="4">
        <v>43190</v>
      </c>
      <c r="B5">
        <v>170</v>
      </c>
      <c r="C5" s="11">
        <v>4.0049999999999999</v>
      </c>
      <c r="D5">
        <f>((A5-'Term Structure'!$A$5)/360)/(('Term Structure'!$A$6-'Term Structure'!$A$5)/360)*'Term Structure'!$G$6+(('Term Structure'!$A$6-Dividend!A5)/360)/ (('Term Structure'!$A$6-'Term Structure'!$A$5)/360) * 'Term Structure'!$G$5</f>
        <v>0.99500267617874183</v>
      </c>
      <c r="E5">
        <f t="shared" si="0"/>
        <v>3.984985718095861</v>
      </c>
    </row>
    <row r="6" spans="1:5" x14ac:dyDescent="0.2">
      <c r="A6" s="4">
        <v>43220</v>
      </c>
      <c r="B6">
        <v>80</v>
      </c>
      <c r="C6" s="11">
        <v>3.1739999999999999</v>
      </c>
      <c r="D6">
        <f>((A6-'Term Structure'!$A$5)/360)/(('Term Structure'!$A$6-'Term Structure'!$A$5)/360)*'Term Structure'!$G$6+(('Term Structure'!$A$6-Dividend!A6)/360)/ (('Term Structure'!$A$6-'Term Structure'!$A$5)/360) * 'Term Structure'!$G$5</f>
        <v>0.9935784028512934</v>
      </c>
      <c r="E6">
        <f t="shared" si="0"/>
        <v>3.1536178506500052</v>
      </c>
    </row>
    <row r="7" spans="1:5" x14ac:dyDescent="0.2">
      <c r="A7" s="4">
        <v>43251</v>
      </c>
      <c r="B7">
        <v>182</v>
      </c>
      <c r="C7" s="11">
        <v>6.18</v>
      </c>
      <c r="D7">
        <f>((A7-'Term Structure'!$A$5)/360)/(('Term Structure'!$A$6-'Term Structure'!$A$5)/360)*'Term Structure'!$G$6+(('Term Structure'!$A$6-Dividend!A7)/360)/ (('Term Structure'!$A$6-'Term Structure'!$A$5)/360) * 'Term Structure'!$G$5</f>
        <v>0.99210665374626328</v>
      </c>
      <c r="E7">
        <f t="shared" si="0"/>
        <v>6.1312191201519068</v>
      </c>
    </row>
    <row r="8" spans="1:5" x14ac:dyDescent="0.2">
      <c r="A8" s="4">
        <v>43281</v>
      </c>
      <c r="B8">
        <v>157</v>
      </c>
      <c r="C8" s="11">
        <v>3.9140000000000001</v>
      </c>
      <c r="D8">
        <f>((A8 - 'Term Structure'!$A$6) / 360) / (('Term Structure'!$A$7 - 'Term Structure'!$A$6) / 360) * 'Term Structure'!$G$7 + (('Term Structure'!$A$7 - Dividend!A8) / 360) / (('Term Structure'!$A$7 - 'Term Structure'!$A$6) / 360) * 'Term Structure'!$G$6</f>
        <v>0.99064239498679763</v>
      </c>
      <c r="E8">
        <f t="shared" si="0"/>
        <v>3.877374333978326</v>
      </c>
    </row>
    <row r="9" spans="1:5" x14ac:dyDescent="0.2">
      <c r="A9" s="4">
        <v>43312</v>
      </c>
      <c r="B9">
        <v>75</v>
      </c>
      <c r="C9" s="11">
        <v>3.0510000000000002</v>
      </c>
      <c r="D9">
        <f>((A9 - 'Term Structure'!$A$6) / 360) / (('Term Structure'!$A$7 - 'Term Structure'!$A$6) / 360) * 'Term Structure'!$G$7 + (('Term Structure'!$A$7 - Dividend!A9) / 360) / (('Term Structure'!$A$7 - 'Term Structure'!$A$6) / 360) * 'Term Structure'!$G$6</f>
        <v>0.98904669104251419</v>
      </c>
      <c r="E9">
        <f t="shared" si="0"/>
        <v>3.0175814543707111</v>
      </c>
    </row>
    <row r="10" spans="1:5" x14ac:dyDescent="0.2">
      <c r="A10" s="4">
        <v>43343</v>
      </c>
      <c r="B10">
        <v>182</v>
      </c>
      <c r="C10" s="11">
        <v>6.0309999999999997</v>
      </c>
      <c r="D10">
        <f>((A10 - 'Term Structure'!$A$6) / 360) / (('Term Structure'!$A$7 - 'Term Structure'!$A$6) / 360) * 'Term Structure'!$G$7 + (('Term Structure'!$A$7 - Dividend!A10) / 360) / (('Term Structure'!$A$7 - 'Term Structure'!$A$6) / 360) * 'Term Structure'!$G$6</f>
        <v>0.98745098709823054</v>
      </c>
      <c r="E10">
        <f t="shared" si="0"/>
        <v>5.955316903189428</v>
      </c>
    </row>
    <row r="11" spans="1:5" x14ac:dyDescent="0.2">
      <c r="A11" s="4">
        <v>43373</v>
      </c>
      <c r="B11">
        <v>151</v>
      </c>
      <c r="C11" s="11">
        <v>3.895</v>
      </c>
      <c r="D11">
        <f>((A11 - 'Term Structure'!$A$7) / 360) / (('Term Structure'!$A$8 - 'Term Structure'!$A$7) / 360) * 'Term Structure'!$G$8 + (('Term Structure'!$A$8 - Dividend!A11) / 360) / (('Term Structure'!$A$8 - 'Term Structure'!$A$7) / 360) * 'Term Structure'!$G$7</f>
        <v>0.98588143571522613</v>
      </c>
      <c r="E11">
        <f t="shared" si="0"/>
        <v>3.8400081921108056</v>
      </c>
    </row>
    <row r="12" spans="1:5" x14ac:dyDescent="0.2">
      <c r="A12" s="4">
        <v>43404</v>
      </c>
      <c r="B12">
        <v>76</v>
      </c>
      <c r="C12" s="11">
        <v>3.0790000000000002</v>
      </c>
      <c r="D12">
        <f>((A12 - 'Term Structure'!$A$7) / 360) / (('Term Structure'!$A$8 - 'Term Structure'!$A$7) / 360) * 'Term Structure'!$G$8 + (('Term Structure'!$A$8 - Dividend!A12) / 360) / (('Term Structure'!$A$8 - 'Term Structure'!$A$7) / 360) * 'Term Structure'!$G$7</f>
        <v>0.98421437044870386</v>
      </c>
      <c r="E12">
        <f t="shared" si="0"/>
        <v>3.0303960466115591</v>
      </c>
    </row>
    <row r="13" spans="1:5" x14ac:dyDescent="0.2">
      <c r="A13" s="4">
        <v>43434</v>
      </c>
      <c r="B13">
        <v>186</v>
      </c>
      <c r="C13" s="11">
        <v>6.4569999999999999</v>
      </c>
      <c r="D13">
        <f>((A13 - 'Term Structure'!$A$7) / 360) / (('Term Structure'!$A$8 - 'Term Structure'!$A$7) / 360) * 'Term Structure'!$G$8 + (('Term Structure'!$A$8 - Dividend!A13) / 360) / (('Term Structure'!$A$8 - 'Term Structure'!$A$7) / 360) * 'Term Structure'!$G$7</f>
        <v>0.98260108148110159</v>
      </c>
      <c r="E13">
        <f t="shared" si="0"/>
        <v>6.3446551831234732</v>
      </c>
    </row>
    <row r="14" spans="1:5" x14ac:dyDescent="0.2">
      <c r="A14" s="4">
        <v>43465</v>
      </c>
      <c r="B14">
        <v>158</v>
      </c>
      <c r="C14" s="11">
        <v>4.2160000000000002</v>
      </c>
      <c r="D14">
        <f>((Dividend!A14 - 'Term Structure'!$A$8) / 360) / (('Term Structure'!$A$9 - 'Term Structure'!$A$8) / 360) * 'Term Structure'!$G$9 + (('Term Structure'!$A$9 - Dividend!A14) / 360) / (('Term Structure'!$A$9 - 'Term Structure'!$A$8) / 360) * 'Term Structure'!$G$8</f>
        <v>0.98091018061366553</v>
      </c>
      <c r="E14">
        <f t="shared" si="0"/>
        <v>4.1355173214672138</v>
      </c>
    </row>
    <row r="15" spans="1:5" x14ac:dyDescent="0.2">
      <c r="A15" s="4">
        <v>43496</v>
      </c>
      <c r="B15">
        <v>79</v>
      </c>
      <c r="C15" s="11">
        <v>3.5579999999999998</v>
      </c>
      <c r="D15">
        <f>((Dividend!A15 - 'Term Structure'!$A$8) / 360) / (('Term Structure'!$A$9 - 'Term Structure'!$A$8) / 360) * 'Term Structure'!$G$9 + (('Term Structure'!$A$9 - Dividend!A15) / 360) / (('Term Structure'!$A$9 - 'Term Structure'!$A$8) / 360) * 'Term Structure'!$G$8</f>
        <v>0.97918154004478319</v>
      </c>
      <c r="E15">
        <f t="shared" si="0"/>
        <v>3.4839279194793384</v>
      </c>
    </row>
    <row r="16" spans="1:5" x14ac:dyDescent="0.2">
      <c r="A16" s="4">
        <v>43524</v>
      </c>
      <c r="B16">
        <v>167</v>
      </c>
      <c r="C16" s="11">
        <v>6.016</v>
      </c>
      <c r="D16">
        <f>((Dividend!A16 - 'Term Structure'!$A$8) / 360) / (('Term Structure'!$A$9 - 'Term Structure'!$A$8) / 360) * 'Term Structure'!$G$9 + (('Term Structure'!$A$9 - Dividend!A16) / 360) / (('Term Structure'!$A$9 - 'Term Structure'!$A$8) / 360) * 'Term Structure'!$G$8</f>
        <v>0.97762018727288924</v>
      </c>
      <c r="E16">
        <f t="shared" si="0"/>
        <v>5.8813630466337017</v>
      </c>
    </row>
    <row r="17" spans="1:5" x14ac:dyDescent="0.2">
      <c r="A17" s="4">
        <v>43555</v>
      </c>
      <c r="B17">
        <v>162</v>
      </c>
      <c r="C17" s="11">
        <v>3.968</v>
      </c>
      <c r="D17">
        <f>((A17 - 'Term Structure'!$A$9) / 360) / (('Term Structure'!$A$10 - 'Term Structure'!$A$9) / 360) * 'Term Structure'!$G$10 + (('Term Structure'!$A$10 - Dividend!A17) / 360) / (('Term Structure'!$A$10 - 'Term Structure'!$A$9) / 360) * 'Term Structure'!$G$9</f>
        <v>0.97587901823591283</v>
      </c>
      <c r="E17">
        <f t="shared" si="0"/>
        <v>3.8722879443601022</v>
      </c>
    </row>
    <row r="18" spans="1:5" x14ac:dyDescent="0.2">
      <c r="A18" s="4">
        <v>43585</v>
      </c>
      <c r="B18">
        <v>78</v>
      </c>
      <c r="C18" s="11">
        <v>3.2189999999999999</v>
      </c>
      <c r="D18">
        <f>((A18 - 'Term Structure'!$A$9) / 360) / (('Term Structure'!$A$10 - 'Term Structure'!$A$9) / 360) * 'Term Structure'!$G$10 + (('Term Structure'!$A$10 - Dividend!A18) / 360) / (('Term Structure'!$A$10 - 'Term Structure'!$A$9) / 360) * 'Term Structure'!$G$9</f>
        <v>0.97417197171667946</v>
      </c>
      <c r="E18">
        <f t="shared" si="0"/>
        <v>3.1358595769559909</v>
      </c>
    </row>
    <row r="19" spans="1:5" x14ac:dyDescent="0.2">
      <c r="A19" s="4">
        <v>43616</v>
      </c>
      <c r="B19">
        <v>182</v>
      </c>
      <c r="C19" s="11">
        <v>6.4960000000000004</v>
      </c>
      <c r="D19">
        <f>((A19 - 'Term Structure'!$A$9) / 360) / (('Term Structure'!$A$10 - 'Term Structure'!$A$9) / 360) * 'Term Structure'!$G$10 + (('Term Structure'!$A$10 - Dividend!A19) / 360) / (('Term Structure'!$A$10 - 'Term Structure'!$A$9) / 360) * 'Term Structure'!$G$9</f>
        <v>0.97240802364680512</v>
      </c>
      <c r="E19">
        <f t="shared" si="0"/>
        <v>6.3167625216096468</v>
      </c>
    </row>
    <row r="20" spans="1:5" x14ac:dyDescent="0.2">
      <c r="A20" s="4">
        <v>43646</v>
      </c>
      <c r="B20">
        <v>155</v>
      </c>
      <c r="C20" s="11">
        <v>4.4000000000000004</v>
      </c>
      <c r="D20">
        <f>((A20 - 'Term Structure'!$A$10) / 360) / (('Term Structure'!$A$11 - 'Term Structure'!$A$10) / 360) * 'Term Structure'!$G$11 + (('Term Structure'!$A$11 - Dividend!A20) / 360) / (('Term Structure'!$A$11 - 'Term Structure'!$A$10) / 360) * 'Term Structure'!$G$10</f>
        <v>0.97069908323224074</v>
      </c>
      <c r="E20">
        <f t="shared" si="0"/>
        <v>4.2710759662218596</v>
      </c>
    </row>
    <row r="21" spans="1:5" x14ac:dyDescent="0.2">
      <c r="A21" s="4">
        <v>43677</v>
      </c>
      <c r="B21">
        <v>80</v>
      </c>
      <c r="C21" s="11">
        <v>3.2160000000000002</v>
      </c>
      <c r="D21">
        <f>((A21 - 'Term Structure'!$A$10) / 360) / (('Term Structure'!$A$11 - 'Term Structure'!$A$10) / 360) * 'Term Structure'!$G$11 + (('Term Structure'!$A$11 - Dividend!A21) / 360) / (('Term Structure'!$A$11 - 'Term Structure'!$A$10) / 360) * 'Term Structure'!$G$10</f>
        <v>0.96892979782097877</v>
      </c>
      <c r="E21">
        <f t="shared" si="0"/>
        <v>3.1160782297922678</v>
      </c>
    </row>
    <row r="22" spans="1:5" x14ac:dyDescent="0.2">
      <c r="A22" s="4">
        <v>43708</v>
      </c>
      <c r="B22">
        <v>176</v>
      </c>
      <c r="C22" s="11">
        <v>6.4189999999999996</v>
      </c>
      <c r="D22">
        <f>((A22 - 'Term Structure'!$A$10) / 360) / (('Term Structure'!$A$11 - 'Term Structure'!$A$10) / 360) * 'Term Structure'!$G$11 + (('Term Structure'!$A$11 - Dividend!A22) / 360) / (('Term Structure'!$A$11 - 'Term Structure'!$A$10) / 360) * 'Term Structure'!$G$10</f>
        <v>0.9671605124097169</v>
      </c>
      <c r="E22">
        <f t="shared" si="0"/>
        <v>6.2082033291579721</v>
      </c>
    </row>
    <row r="23" spans="1:5" x14ac:dyDescent="0.2">
      <c r="A23" s="4">
        <v>43738</v>
      </c>
      <c r="B23">
        <v>157</v>
      </c>
      <c r="C23" s="11">
        <v>4.3239999999999998</v>
      </c>
      <c r="D23">
        <f>((A23 - 'Term Structure'!$A$10) / 360) / (('Term Structure'!$A$11 - 'Term Structure'!$A$10) / 360) * 'Term Structure'!$G$11 + (('Term Structure'!$A$11 - Dividend!A23) / 360) / (('Term Structure'!$A$11 - 'Term Structure'!$A$10) / 360) * 'Term Structure'!$G$10</f>
        <v>0.96544830072139876</v>
      </c>
      <c r="E23">
        <f t="shared" si="0"/>
        <v>4.1745984523193282</v>
      </c>
    </row>
    <row r="24" spans="1:5" x14ac:dyDescent="0.2">
      <c r="A24" s="4">
        <v>43769</v>
      </c>
      <c r="B24">
        <v>76</v>
      </c>
      <c r="C24" s="11">
        <v>3.2559999999999998</v>
      </c>
      <c r="D24">
        <f>((A24 - 'Term Structure'!$A$10) / 360) / (('Term Structure'!$A$11 - 'Term Structure'!$A$10) / 360) * 'Term Structure'!$G$11 + (('Term Structure'!$A$11 - Dividend!A24) / 360) / (('Term Structure'!$A$11 - 'Term Structure'!$A$10) / 360) * 'Term Structure'!$G$10</f>
        <v>0.96367901531013678</v>
      </c>
      <c r="E24">
        <f t="shared" si="0"/>
        <v>3.1377388738498051</v>
      </c>
    </row>
    <row r="25" spans="1:5" x14ac:dyDescent="0.2">
      <c r="A25" s="4">
        <v>43799</v>
      </c>
      <c r="B25">
        <v>181</v>
      </c>
      <c r="C25" s="11">
        <v>6.5919999999999996</v>
      </c>
      <c r="D25">
        <f>((A25 - 'Term Structure'!$A$10) / 360) / (('Term Structure'!$A$11 - 'Term Structure'!$A$10) / 360) * 'Term Structure'!$G$11 + (('Term Structure'!$A$11 - Dividend!A25) / 360) / (('Term Structure'!$A$11 - 'Term Structure'!$A$10) / 360) * 'Term Structure'!$G$10</f>
        <v>0.96196680362181863</v>
      </c>
      <c r="E25">
        <f t="shared" si="0"/>
        <v>6.3412851694750278</v>
      </c>
    </row>
    <row r="26" spans="1:5" x14ac:dyDescent="0.2">
      <c r="A26" s="4">
        <v>43830</v>
      </c>
      <c r="B26">
        <v>160</v>
      </c>
      <c r="C26" s="11">
        <v>5.0110000000000001</v>
      </c>
      <c r="D26">
        <f xml:space="preserve"> ((A26 - 'Term Structure'!$A$11) / 360) / (('Term Structure'!$A$12 - 'Term Structure'!$A$11) / 360) * 'Term Structure'!$G$12 + (('Term Structure'!$A$12 - Dividend!A26) / 360) / (('Term Structure'!$A$12 - 'Term Structure'!$A$11) / 360) * 'Term Structure'!$G$11</f>
        <v>0.96015172551745165</v>
      </c>
      <c r="E26">
        <f t="shared" si="0"/>
        <v>4.81132029656795</v>
      </c>
    </row>
    <row r="27" spans="1:5" x14ac:dyDescent="0.2">
      <c r="A27" s="4">
        <v>43861</v>
      </c>
      <c r="B27">
        <v>76</v>
      </c>
      <c r="C27" s="11">
        <v>3.085</v>
      </c>
      <c r="D27">
        <f xml:space="preserve"> ((A27 - 'Term Structure'!$A$11) / 360) / (('Term Structure'!$A$12 - 'Term Structure'!$A$11) / 360) * 'Term Structure'!$G$12 + (('Term Structure'!$A$12 - Dividend!A27) / 360) / (('Term Structure'!$A$12 - 'Term Structure'!$A$11) / 360) * 'Term Structure'!$G$11</f>
        <v>0.95832784112594904</v>
      </c>
      <c r="E27">
        <f t="shared" si="0"/>
        <v>2.9564413898735529</v>
      </c>
    </row>
    <row r="28" spans="1:5" x14ac:dyDescent="0.2">
      <c r="A28" s="4"/>
      <c r="C2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I27"/>
  <sheetViews>
    <sheetView workbookViewId="0">
      <selection activeCell="B3" sqref="B3"/>
    </sheetView>
  </sheetViews>
  <sheetFormatPr baseColWidth="10" defaultRowHeight="16" x14ac:dyDescent="0.2"/>
  <cols>
    <col min="9" max="9" width="11.83203125" customWidth="1"/>
  </cols>
  <sheetData>
    <row r="1" spans="1:9" x14ac:dyDescent="0.2">
      <c r="A1" t="s">
        <v>54</v>
      </c>
    </row>
    <row r="2" spans="1:9" x14ac:dyDescent="0.2">
      <c r="A2" s="4">
        <f>'Caculation of Parameters'!B3</f>
        <v>43070</v>
      </c>
    </row>
    <row r="3" spans="1:9" x14ac:dyDescent="0.2">
      <c r="A3" s="1" t="s">
        <v>13</v>
      </c>
      <c r="B3" t="s">
        <v>53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</row>
    <row r="4" spans="1:9" x14ac:dyDescent="0.2">
      <c r="A4" s="5" t="s">
        <v>20</v>
      </c>
      <c r="B4">
        <f>(A4-$A$2)/360</f>
        <v>0.26111111111111113</v>
      </c>
      <c r="C4">
        <v>1.4946299999999999</v>
      </c>
      <c r="D4">
        <v>0</v>
      </c>
      <c r="E4">
        <v>1.4946299999999999</v>
      </c>
      <c r="F4">
        <v>1.4946299999999999</v>
      </c>
      <c r="G4">
        <v>0.99627733501690896</v>
      </c>
      <c r="H4" t="s">
        <v>21</v>
      </c>
      <c r="I4" s="13"/>
    </row>
    <row r="5" spans="1:9" x14ac:dyDescent="0.2">
      <c r="A5" s="5" t="s">
        <v>22</v>
      </c>
      <c r="B5">
        <f t="shared" ref="B5:B27" si="0">(A5-$A$2)/360</f>
        <v>0.30555555555555558</v>
      </c>
      <c r="C5">
        <v>1.54994247478098</v>
      </c>
      <c r="D5">
        <v>0</v>
      </c>
      <c r="E5">
        <v>1.54994247478098</v>
      </c>
      <c r="F5">
        <v>1.54538958119978</v>
      </c>
      <c r="G5">
        <v>0.99547743395455801</v>
      </c>
      <c r="H5" t="s">
        <v>23</v>
      </c>
    </row>
    <row r="6" spans="1:9" x14ac:dyDescent="0.2">
      <c r="A6" s="5" t="s">
        <v>24</v>
      </c>
      <c r="B6">
        <f t="shared" si="0"/>
        <v>0.55833333333333335</v>
      </c>
      <c r="C6">
        <v>1.72437641527873</v>
      </c>
      <c r="D6">
        <v>0</v>
      </c>
      <c r="E6">
        <v>1.72437641527873</v>
      </c>
      <c r="F6">
        <v>1.64652996304015</v>
      </c>
      <c r="G6">
        <v>0.99115713819463103</v>
      </c>
      <c r="H6" t="s">
        <v>23</v>
      </c>
    </row>
    <row r="7" spans="1:9" x14ac:dyDescent="0.2">
      <c r="A7" s="5" t="s">
        <v>25</v>
      </c>
      <c r="B7">
        <f t="shared" si="0"/>
        <v>0.81111111111111112</v>
      </c>
      <c r="C7">
        <v>1.87848587356785</v>
      </c>
      <c r="D7">
        <v>0</v>
      </c>
      <c r="E7">
        <v>1.87848587356785</v>
      </c>
      <c r="F7">
        <v>1.7338689130491001</v>
      </c>
      <c r="G7">
        <v>0.98647297500334696</v>
      </c>
      <c r="H7" t="s">
        <v>23</v>
      </c>
    </row>
    <row r="8" spans="1:9" x14ac:dyDescent="0.2">
      <c r="A8" s="5" t="s">
        <v>26</v>
      </c>
      <c r="B8">
        <f t="shared" si="0"/>
        <v>1.0638888888888889</v>
      </c>
      <c r="C8">
        <v>1.9722774292418901</v>
      </c>
      <c r="D8">
        <v>0</v>
      </c>
      <c r="E8">
        <v>1.9722774292418901</v>
      </c>
      <c r="F8">
        <v>1.79767779407549</v>
      </c>
      <c r="G8">
        <v>0.98157933180162005</v>
      </c>
      <c r="H8" t="s">
        <v>23</v>
      </c>
    </row>
    <row r="9" spans="1:9" x14ac:dyDescent="0.2">
      <c r="A9" s="5" t="s">
        <v>27</v>
      </c>
      <c r="B9">
        <f t="shared" si="0"/>
        <v>1.3166666666666667</v>
      </c>
      <c r="C9">
        <v>2.0557536283842501</v>
      </c>
      <c r="D9">
        <v>0</v>
      </c>
      <c r="E9">
        <v>2.0557536283842501</v>
      </c>
      <c r="F9">
        <v>1.8491782253839499</v>
      </c>
      <c r="G9">
        <v>0.976504935292965</v>
      </c>
      <c r="H9" t="s">
        <v>23</v>
      </c>
    </row>
    <row r="10" spans="1:9" x14ac:dyDescent="0.2">
      <c r="A10" s="5" t="s">
        <v>28</v>
      </c>
      <c r="B10">
        <f t="shared" si="0"/>
        <v>1.5694444444444444</v>
      </c>
      <c r="C10">
        <v>2.1089252602231299</v>
      </c>
      <c r="D10">
        <v>0</v>
      </c>
      <c r="E10">
        <v>2.1089252602231299</v>
      </c>
      <c r="F10">
        <v>1.8994314224984401</v>
      </c>
      <c r="G10">
        <v>0.97132689418462403</v>
      </c>
      <c r="H10" t="s">
        <v>23</v>
      </c>
    </row>
    <row r="11" spans="1:9" x14ac:dyDescent="0.2">
      <c r="A11" s="5" t="s">
        <v>29</v>
      </c>
      <c r="B11">
        <f t="shared" si="0"/>
        <v>2.0388888888888888</v>
      </c>
      <c r="C11">
        <v>1.96099948883057</v>
      </c>
      <c r="D11">
        <v>0</v>
      </c>
      <c r="E11">
        <v>1.96099948883057</v>
      </c>
      <c r="F11">
        <v>1.9631741307374599</v>
      </c>
      <c r="G11">
        <v>0.96168143500709902</v>
      </c>
      <c r="H11" t="s">
        <v>30</v>
      </c>
    </row>
    <row r="12" spans="1:9" x14ac:dyDescent="0.2">
      <c r="A12" s="5" t="s">
        <v>31</v>
      </c>
      <c r="B12">
        <f t="shared" si="0"/>
        <v>3.0611111111111109</v>
      </c>
      <c r="C12">
        <v>2.0644998550414999</v>
      </c>
      <c r="D12">
        <v>0</v>
      </c>
      <c r="E12">
        <v>2.0644998550414999</v>
      </c>
      <c r="F12">
        <v>2.0682544904859301</v>
      </c>
      <c r="G12">
        <v>0.94003016223055103</v>
      </c>
      <c r="H12" t="s">
        <v>30</v>
      </c>
    </row>
    <row r="13" spans="1:9" x14ac:dyDescent="0.2">
      <c r="A13" s="5" t="s">
        <v>32</v>
      </c>
      <c r="B13">
        <f t="shared" si="0"/>
        <v>4.072222222222222</v>
      </c>
      <c r="C13">
        <v>2.1266994476318399</v>
      </c>
      <c r="D13">
        <v>0</v>
      </c>
      <c r="E13">
        <v>2.1266994476318399</v>
      </c>
      <c r="F13">
        <v>2.1316949657653099</v>
      </c>
      <c r="G13">
        <v>0.91862665548676303</v>
      </c>
      <c r="H13" t="s">
        <v>30</v>
      </c>
    </row>
    <row r="14" spans="1:9" x14ac:dyDescent="0.2">
      <c r="A14" s="5" t="s">
        <v>33</v>
      </c>
      <c r="B14">
        <f t="shared" si="0"/>
        <v>5.083333333333333</v>
      </c>
      <c r="C14">
        <v>2.1735997200012198</v>
      </c>
      <c r="D14">
        <v>0</v>
      </c>
      <c r="E14">
        <v>2.1735997200012198</v>
      </c>
      <c r="F14">
        <v>2.1798322689075902</v>
      </c>
      <c r="G14">
        <v>0.89726688039755198</v>
      </c>
      <c r="H14" t="s">
        <v>30</v>
      </c>
    </row>
    <row r="15" spans="1:9" x14ac:dyDescent="0.2">
      <c r="A15" s="5" t="s">
        <v>34</v>
      </c>
      <c r="B15">
        <f t="shared" si="0"/>
        <v>6.0972222222222223</v>
      </c>
      <c r="C15">
        <v>2.2177495956420898</v>
      </c>
      <c r="D15">
        <v>0</v>
      </c>
      <c r="E15">
        <v>2.2177495956420898</v>
      </c>
      <c r="F15">
        <v>2.2256254979638799</v>
      </c>
      <c r="G15">
        <v>0.87564021562682304</v>
      </c>
      <c r="H15" t="s">
        <v>30</v>
      </c>
    </row>
    <row r="16" spans="1:9" x14ac:dyDescent="0.2">
      <c r="A16" s="5" t="s">
        <v>35</v>
      </c>
      <c r="B16">
        <f t="shared" si="0"/>
        <v>7.1138888888888889</v>
      </c>
      <c r="C16">
        <v>2.2589998245239298</v>
      </c>
      <c r="D16">
        <v>0</v>
      </c>
      <c r="E16">
        <v>2.2589998245239298</v>
      </c>
      <c r="F16">
        <v>2.2688338394614598</v>
      </c>
      <c r="G16">
        <v>0.85391442692015695</v>
      </c>
      <c r="H16" t="s">
        <v>30</v>
      </c>
    </row>
    <row r="17" spans="1:8" x14ac:dyDescent="0.2">
      <c r="A17" s="5" t="s">
        <v>36</v>
      </c>
      <c r="B17">
        <f t="shared" si="0"/>
        <v>8.1277777777777782</v>
      </c>
      <c r="C17">
        <v>2.2964997291564901</v>
      </c>
      <c r="D17">
        <v>0</v>
      </c>
      <c r="E17">
        <v>2.2964997291564901</v>
      </c>
      <c r="F17">
        <v>2.3084701787815298</v>
      </c>
      <c r="G17">
        <v>0.83225205083854104</v>
      </c>
      <c r="H17" t="s">
        <v>30</v>
      </c>
    </row>
    <row r="18" spans="1:8" x14ac:dyDescent="0.2">
      <c r="A18" s="5" t="s">
        <v>37</v>
      </c>
      <c r="B18">
        <f t="shared" si="0"/>
        <v>9.1472222222222221</v>
      </c>
      <c r="C18">
        <v>2.3319997787475599</v>
      </c>
      <c r="D18">
        <v>0</v>
      </c>
      <c r="E18">
        <v>2.3319997787475599</v>
      </c>
      <c r="F18">
        <v>2.3463629545027702</v>
      </c>
      <c r="G18">
        <v>0.81052495777649602</v>
      </c>
      <c r="H18" t="s">
        <v>30</v>
      </c>
    </row>
    <row r="19" spans="1:8" x14ac:dyDescent="0.2">
      <c r="A19" s="5" t="s">
        <v>38</v>
      </c>
      <c r="B19">
        <f t="shared" si="0"/>
        <v>10.158333333333333</v>
      </c>
      <c r="C19">
        <v>2.3644995689392099</v>
      </c>
      <c r="D19">
        <v>0</v>
      </c>
      <c r="E19">
        <v>2.3644995689392099</v>
      </c>
      <c r="F19">
        <v>2.3813889679525699</v>
      </c>
      <c r="G19">
        <v>0.78915063542682096</v>
      </c>
      <c r="H19" t="s">
        <v>30</v>
      </c>
    </row>
    <row r="20" spans="1:8" x14ac:dyDescent="0.2">
      <c r="A20" s="5" t="s">
        <v>39</v>
      </c>
      <c r="B20">
        <f t="shared" si="0"/>
        <v>11.172222222222222</v>
      </c>
      <c r="C20">
        <v>2.3949995040893599</v>
      </c>
      <c r="D20">
        <v>0</v>
      </c>
      <c r="E20">
        <v>2.3949995040893599</v>
      </c>
      <c r="F20">
        <v>2.41458277435158</v>
      </c>
      <c r="G20">
        <v>0.76796310595818396</v>
      </c>
      <c r="H20" t="s">
        <v>30</v>
      </c>
    </row>
    <row r="21" spans="1:8" x14ac:dyDescent="0.2">
      <c r="A21" s="5" t="s">
        <v>40</v>
      </c>
      <c r="B21">
        <f t="shared" si="0"/>
        <v>12.186111111111112</v>
      </c>
      <c r="C21">
        <v>2.42099952697754</v>
      </c>
      <c r="D21">
        <v>0</v>
      </c>
      <c r="E21">
        <v>2.42099952697754</v>
      </c>
      <c r="F21">
        <v>2.4430040528769399</v>
      </c>
      <c r="G21">
        <v>0.74722834791730197</v>
      </c>
      <c r="H21" t="s">
        <v>30</v>
      </c>
    </row>
    <row r="22" spans="1:8" x14ac:dyDescent="0.2">
      <c r="A22" s="5" t="s">
        <v>41</v>
      </c>
      <c r="B22">
        <f t="shared" si="0"/>
        <v>15.233333333333333</v>
      </c>
      <c r="C22">
        <v>2.4779996871948202</v>
      </c>
      <c r="D22">
        <v>0</v>
      </c>
      <c r="E22">
        <v>2.4779996871948202</v>
      </c>
      <c r="F22">
        <v>2.50573895206889</v>
      </c>
      <c r="G22">
        <v>0.688255616475971</v>
      </c>
      <c r="H22" t="s">
        <v>30</v>
      </c>
    </row>
    <row r="23" spans="1:8" x14ac:dyDescent="0.2">
      <c r="A23" s="5" t="s">
        <v>42</v>
      </c>
      <c r="B23">
        <f t="shared" si="0"/>
        <v>20.308333333333334</v>
      </c>
      <c r="C23">
        <v>2.5329995155334499</v>
      </c>
      <c r="D23">
        <v>0</v>
      </c>
      <c r="E23">
        <v>2.5329995155334499</v>
      </c>
      <c r="F23">
        <v>2.56673881142948</v>
      </c>
      <c r="G23">
        <v>0.60036150764307294</v>
      </c>
      <c r="H23" t="s">
        <v>30</v>
      </c>
    </row>
    <row r="24" spans="1:8" x14ac:dyDescent="0.2">
      <c r="A24" s="5" t="s">
        <v>43</v>
      </c>
      <c r="B24">
        <f t="shared" si="0"/>
        <v>25.375</v>
      </c>
      <c r="C24">
        <v>2.5498995780944802</v>
      </c>
      <c r="D24">
        <v>0</v>
      </c>
      <c r="E24">
        <v>2.5498995780944802</v>
      </c>
      <c r="F24">
        <v>2.58237698049513</v>
      </c>
      <c r="G24">
        <v>0.52652215997136997</v>
      </c>
      <c r="H24" t="s">
        <v>30</v>
      </c>
    </row>
    <row r="25" spans="1:8" x14ac:dyDescent="0.2">
      <c r="A25" s="5" t="s">
        <v>44</v>
      </c>
      <c r="B25">
        <f t="shared" si="0"/>
        <v>30.447222222222223</v>
      </c>
      <c r="C25">
        <v>2.54999971389771</v>
      </c>
      <c r="D25">
        <v>0</v>
      </c>
      <c r="E25">
        <v>2.54999971389771</v>
      </c>
      <c r="F25">
        <v>2.5769860424196298</v>
      </c>
      <c r="G25">
        <v>0.46386693579475202</v>
      </c>
      <c r="H25" t="s">
        <v>30</v>
      </c>
    </row>
    <row r="26" spans="1:8" x14ac:dyDescent="0.2">
      <c r="A26" s="5" t="s">
        <v>45</v>
      </c>
      <c r="B26">
        <f t="shared" si="0"/>
        <v>40.594444444444441</v>
      </c>
      <c r="C26">
        <v>2.5343995094299299</v>
      </c>
      <c r="D26">
        <v>0</v>
      </c>
      <c r="E26">
        <v>2.5343995094299299</v>
      </c>
      <c r="F26">
        <v>2.5454266757040802</v>
      </c>
      <c r="G26">
        <v>0.36358363415750899</v>
      </c>
      <c r="H26" t="s">
        <v>30</v>
      </c>
    </row>
    <row r="27" spans="1:8" x14ac:dyDescent="0.2">
      <c r="A27" s="5" t="s">
        <v>46</v>
      </c>
      <c r="B27">
        <f t="shared" si="0"/>
        <v>50.738888888888887</v>
      </c>
      <c r="C27">
        <v>2.5029997825622599</v>
      </c>
      <c r="D27">
        <v>0</v>
      </c>
      <c r="E27">
        <v>2.5029997825622599</v>
      </c>
      <c r="F27">
        <v>2.4874961398670501</v>
      </c>
      <c r="G27">
        <v>0.29052168350389701</v>
      </c>
      <c r="H27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P11"/>
  <sheetViews>
    <sheetView zoomScale="90" zoomScaleNormal="90" workbookViewId="0"/>
  </sheetViews>
  <sheetFormatPr baseColWidth="10" defaultRowHeight="16" x14ac:dyDescent="0.2"/>
  <sheetData>
    <row r="1" spans="1:16" x14ac:dyDescent="0.2">
      <c r="C1" t="s">
        <v>47</v>
      </c>
      <c r="J1" t="s">
        <v>48</v>
      </c>
    </row>
    <row r="2" spans="1:16" x14ac:dyDescent="0.2">
      <c r="B2" t="s">
        <v>50</v>
      </c>
      <c r="C2">
        <f>1/12</f>
        <v>8.3333333333333329E-2</v>
      </c>
      <c r="D2">
        <f>6/12</f>
        <v>0.5</v>
      </c>
      <c r="E2">
        <f>12/12</f>
        <v>1</v>
      </c>
      <c r="F2">
        <f>18/12</f>
        <v>1.5</v>
      </c>
      <c r="G2">
        <f>24/12</f>
        <v>2</v>
      </c>
      <c r="H2">
        <f>36/12</f>
        <v>3</v>
      </c>
      <c r="J2" t="s">
        <v>50</v>
      </c>
      <c r="K2">
        <f>1/12</f>
        <v>8.3333333333333329E-2</v>
      </c>
      <c r="L2">
        <f>6/12</f>
        <v>0.5</v>
      </c>
      <c r="M2">
        <f>12/12</f>
        <v>1</v>
      </c>
      <c r="N2">
        <f>18/12</f>
        <v>1.5</v>
      </c>
      <c r="O2">
        <f>24/12</f>
        <v>2</v>
      </c>
      <c r="P2">
        <f>36/12</f>
        <v>3</v>
      </c>
    </row>
    <row r="3" spans="1:16" x14ac:dyDescent="0.2">
      <c r="B3">
        <v>87.5</v>
      </c>
      <c r="C3" s="2">
        <v>0.23569000000000001</v>
      </c>
      <c r="D3" s="2">
        <v>0.18804999999999999</v>
      </c>
      <c r="E3" s="2">
        <v>0.18679000000000001</v>
      </c>
      <c r="F3" s="2">
        <v>0.18753</v>
      </c>
      <c r="G3" s="2">
        <v>0.18944</v>
      </c>
      <c r="H3" s="2">
        <v>0.19719</v>
      </c>
      <c r="J3">
        <v>87.5</v>
      </c>
      <c r="K3" s="2">
        <v>0.22872000000000001</v>
      </c>
      <c r="L3" s="2">
        <v>0.18512999999999999</v>
      </c>
      <c r="M3" s="2">
        <v>0.18239</v>
      </c>
      <c r="N3" s="2">
        <v>0.18023</v>
      </c>
      <c r="O3" s="2">
        <v>0.18092</v>
      </c>
      <c r="P3" s="2">
        <v>0.18881999999999999</v>
      </c>
    </row>
    <row r="4" spans="1:16" x14ac:dyDescent="0.2">
      <c r="B4">
        <v>100</v>
      </c>
      <c r="C4" s="2">
        <v>8.9849999999999999E-2</v>
      </c>
      <c r="D4" s="2">
        <v>0.1211</v>
      </c>
      <c r="E4" s="2">
        <v>0.13996</v>
      </c>
      <c r="F4" s="2">
        <v>0.15065000000000001</v>
      </c>
      <c r="G4" s="2">
        <v>0.15909000000000001</v>
      </c>
      <c r="H4" s="2">
        <v>0.17415</v>
      </c>
      <c r="J4">
        <v>100</v>
      </c>
      <c r="K4" s="2">
        <v>8.6099999999999996E-2</v>
      </c>
      <c r="L4" s="2">
        <v>0.11703</v>
      </c>
      <c r="M4" s="2">
        <v>0.13539999999999999</v>
      </c>
      <c r="N4" s="2">
        <v>0.14316000000000001</v>
      </c>
      <c r="O4" s="2">
        <v>0.14956</v>
      </c>
      <c r="P4" s="2">
        <v>0.16511000000000001</v>
      </c>
    </row>
    <row r="5" spans="1:16" x14ac:dyDescent="0.2">
      <c r="B5">
        <v>113.75</v>
      </c>
      <c r="C5" s="2">
        <v>0.1012</v>
      </c>
      <c r="D5" s="2">
        <v>8.9940000000000006E-2</v>
      </c>
      <c r="E5" s="2">
        <v>9.5890000000000003E-2</v>
      </c>
      <c r="F5" s="2">
        <v>0.11384</v>
      </c>
      <c r="G5" s="2">
        <v>0.12575</v>
      </c>
      <c r="H5" s="2">
        <v>0.14951999999999999</v>
      </c>
      <c r="J5">
        <v>113.75</v>
      </c>
      <c r="K5" s="2">
        <v>9.2810000000000004E-2</v>
      </c>
      <c r="L5" s="2">
        <v>8.3000000000000004E-2</v>
      </c>
      <c r="M5" s="2">
        <v>9.0800000000000006E-2</v>
      </c>
      <c r="N5" s="2">
        <v>0.10643</v>
      </c>
      <c r="O5" s="2">
        <v>0.12046</v>
      </c>
      <c r="P5" s="2">
        <v>0.14432</v>
      </c>
    </row>
    <row r="7" spans="1:16" x14ac:dyDescent="0.2">
      <c r="C7" t="s">
        <v>49</v>
      </c>
    </row>
    <row r="8" spans="1:16" x14ac:dyDescent="0.2">
      <c r="A8" t="s">
        <v>51</v>
      </c>
      <c r="B8" t="s">
        <v>50</v>
      </c>
      <c r="C8" s="3">
        <v>8.3333332999999996E-2</v>
      </c>
      <c r="D8" s="3">
        <v>0.5</v>
      </c>
      <c r="E8" s="3">
        <v>1</v>
      </c>
      <c r="F8" s="3">
        <v>1.5</v>
      </c>
      <c r="G8" s="3">
        <v>2</v>
      </c>
      <c r="H8" s="3">
        <v>3</v>
      </c>
    </row>
    <row r="9" spans="1:16" x14ac:dyDescent="0.2">
      <c r="B9">
        <v>87.5</v>
      </c>
      <c r="C9" s="2">
        <v>0.22872000000000001</v>
      </c>
      <c r="D9" s="2">
        <v>0.18512999999999999</v>
      </c>
      <c r="E9" s="2">
        <v>0.18239</v>
      </c>
      <c r="F9" s="2">
        <v>0.18023</v>
      </c>
      <c r="G9" s="2">
        <v>0.18092</v>
      </c>
      <c r="H9" s="2">
        <v>0.18881999999999999</v>
      </c>
    </row>
    <row r="10" spans="1:16" x14ac:dyDescent="0.2">
      <c r="B10">
        <v>100</v>
      </c>
      <c r="C10" s="2">
        <v>8.6099999999999996E-2</v>
      </c>
      <c r="D10" s="2">
        <v>0.11703</v>
      </c>
      <c r="E10" s="2">
        <v>0.13539999999999999</v>
      </c>
      <c r="F10" s="2">
        <v>0.14316000000000001</v>
      </c>
      <c r="G10" s="2">
        <v>0.14956</v>
      </c>
      <c r="H10" s="2">
        <v>0.16511000000000001</v>
      </c>
    </row>
    <row r="11" spans="1:16" x14ac:dyDescent="0.2">
      <c r="B11">
        <v>113.75</v>
      </c>
      <c r="C11" s="2">
        <v>9.2810000000000004E-2</v>
      </c>
      <c r="D11" s="2">
        <v>8.3000000000000004E-2</v>
      </c>
      <c r="E11" s="2">
        <v>9.0800000000000006E-2</v>
      </c>
      <c r="F11" s="2">
        <v>0.10643</v>
      </c>
      <c r="G11" s="2">
        <v>0.12046</v>
      </c>
      <c r="H11" s="2">
        <v>0.14432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Result</vt:lpstr>
      <vt:lpstr>Caculation of Parameters</vt:lpstr>
      <vt:lpstr>Replicating Portfolio</vt:lpstr>
      <vt:lpstr>Dividend</vt:lpstr>
      <vt:lpstr>Term Structure</vt:lpstr>
      <vt:lpstr>Implied Volatility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2018-01-26T01:32:49Z</dcterms:created>
  <dcterms:modified xsi:type="dcterms:W3CDTF">2018-01-26T21:24:13Z</dcterms:modified>
</cp:coreProperties>
</file>