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ark-wanbae/Desktop/MFE/2018-1/FIN521/Case/CS2/"/>
    </mc:Choice>
  </mc:AlternateContent>
  <bookViews>
    <workbookView xWindow="0" yWindow="460" windowWidth="25600" windowHeight="14500" tabRatio="500"/>
  </bookViews>
  <sheets>
    <sheet name="Q1" sheetId="1" r:id="rId1"/>
    <sheet name="Q2" sheetId="2" r:id="rId2"/>
    <sheet name="Q3" sheetId="3" r:id="rId3"/>
    <sheet name="Q4" sheetId="4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4" l="1"/>
  <c r="B27" i="4"/>
  <c r="K37" i="3"/>
  <c r="B37" i="3"/>
  <c r="L11" i="4"/>
  <c r="L12" i="4" s="1"/>
  <c r="L14" i="4"/>
  <c r="L15" i="4" s="1"/>
  <c r="K14" i="4"/>
  <c r="L16" i="4"/>
  <c r="L17" i="4" s="1"/>
  <c r="K16" i="4"/>
  <c r="M11" i="4"/>
  <c r="M12" i="4"/>
  <c r="M13" i="4"/>
  <c r="M18" i="4" s="1"/>
  <c r="M14" i="4"/>
  <c r="M15" i="4" s="1"/>
  <c r="M16" i="4"/>
  <c r="M17" i="4"/>
  <c r="N11" i="4"/>
  <c r="O11" i="4" s="1"/>
  <c r="K12" i="4"/>
  <c r="K13" i="4" s="1"/>
  <c r="C12" i="4"/>
  <c r="C13" i="4" s="1"/>
  <c r="C11" i="4"/>
  <c r="D11" i="4"/>
  <c r="D16" i="4" s="1"/>
  <c r="D17" i="4" s="1"/>
  <c r="C16" i="4"/>
  <c r="C14" i="4"/>
  <c r="C15" i="4" s="1"/>
  <c r="B14" i="4"/>
  <c r="B16" i="4"/>
  <c r="C17" i="4" s="1"/>
  <c r="B12" i="4"/>
  <c r="B13" i="4" s="1"/>
  <c r="C13" i="3"/>
  <c r="C14" i="3" s="1"/>
  <c r="D28" i="3"/>
  <c r="C29" i="3" s="1"/>
  <c r="L13" i="3"/>
  <c r="L14" i="3" s="1"/>
  <c r="M13" i="3"/>
  <c r="M18" i="3" s="1"/>
  <c r="M19" i="3" s="1"/>
  <c r="L18" i="3"/>
  <c r="L19" i="3" s="1"/>
  <c r="K18" i="3"/>
  <c r="K16" i="3"/>
  <c r="K14" i="3"/>
  <c r="K15" i="3"/>
  <c r="C16" i="3"/>
  <c r="C18" i="3"/>
  <c r="C19" i="3" s="1"/>
  <c r="B16" i="3"/>
  <c r="C17" i="3"/>
  <c r="B18" i="3"/>
  <c r="B14" i="3"/>
  <c r="B15" i="3"/>
  <c r="C12" i="2"/>
  <c r="E12" i="2" s="1"/>
  <c r="D5" i="2"/>
  <c r="A8" i="2"/>
  <c r="C8" i="2" s="1"/>
  <c r="A3" i="1"/>
  <c r="C6" i="1" s="1"/>
  <c r="C15" i="3" l="1"/>
  <c r="C20" i="3" s="1"/>
  <c r="C34" i="3" s="1"/>
  <c r="C36" i="3" s="1"/>
  <c r="L15" i="3"/>
  <c r="L20" i="3"/>
  <c r="L34" i="3" s="1"/>
  <c r="L36" i="3" s="1"/>
  <c r="O12" i="4"/>
  <c r="O16" i="4"/>
  <c r="O17" i="4" s="1"/>
  <c r="P11" i="4"/>
  <c r="O14" i="4"/>
  <c r="M24" i="4"/>
  <c r="M26" i="4" s="1"/>
  <c r="L13" i="4"/>
  <c r="L18" i="4" s="1"/>
  <c r="L16" i="3"/>
  <c r="L17" i="3" s="1"/>
  <c r="D13" i="3"/>
  <c r="M14" i="3"/>
  <c r="D12" i="4"/>
  <c r="N16" i="4"/>
  <c r="N17" i="4" s="1"/>
  <c r="N12" i="4"/>
  <c r="M16" i="3"/>
  <c r="M17" i="3" s="1"/>
  <c r="N13" i="3"/>
  <c r="D14" i="4"/>
  <c r="D15" i="4" s="1"/>
  <c r="E11" i="4"/>
  <c r="C18" i="4"/>
  <c r="C24" i="4" s="1"/>
  <c r="C26" i="4" s="1"/>
  <c r="N14" i="4"/>
  <c r="N15" i="4" s="1"/>
  <c r="L24" i="4" l="1"/>
  <c r="L26" i="4" s="1"/>
  <c r="M19" i="4"/>
  <c r="N14" i="3"/>
  <c r="O13" i="3"/>
  <c r="N18" i="3"/>
  <c r="N19" i="3" s="1"/>
  <c r="N16" i="3"/>
  <c r="N17" i="3" s="1"/>
  <c r="D13" i="4"/>
  <c r="D18" i="4" s="1"/>
  <c r="O15" i="4"/>
  <c r="N13" i="4"/>
  <c r="N18" i="4" s="1"/>
  <c r="M15" i="3"/>
  <c r="M20" i="3"/>
  <c r="P14" i="4"/>
  <c r="P15" i="4" s="1"/>
  <c r="P12" i="4"/>
  <c r="P16" i="4"/>
  <c r="P17" i="4" s="1"/>
  <c r="E12" i="4"/>
  <c r="E14" i="4"/>
  <c r="E15" i="4" s="1"/>
  <c r="F11" i="4"/>
  <c r="E16" i="4"/>
  <c r="E17" i="4" s="1"/>
  <c r="E13" i="3"/>
  <c r="D16" i="3"/>
  <c r="D17" i="3" s="1"/>
  <c r="D14" i="3"/>
  <c r="D18" i="3"/>
  <c r="D19" i="3" s="1"/>
  <c r="O13" i="4"/>
  <c r="O18" i="4" s="1"/>
  <c r="O24" i="4" l="1"/>
  <c r="O19" i="4"/>
  <c r="D19" i="4"/>
  <c r="D24" i="4"/>
  <c r="D26" i="4" s="1"/>
  <c r="N19" i="4"/>
  <c r="N24" i="4"/>
  <c r="N26" i="4" s="1"/>
  <c r="E14" i="3"/>
  <c r="E16" i="3"/>
  <c r="E17" i="3" s="1"/>
  <c r="E18" i="3"/>
  <c r="E19" i="3" s="1"/>
  <c r="F13" i="3"/>
  <c r="E13" i="4"/>
  <c r="E18" i="4"/>
  <c r="M34" i="3"/>
  <c r="M36" i="3" s="1"/>
  <c r="M21" i="3"/>
  <c r="N15" i="3"/>
  <c r="N20" i="3"/>
  <c r="D15" i="3"/>
  <c r="D20" i="3"/>
  <c r="G11" i="4"/>
  <c r="F14" i="4"/>
  <c r="F15" i="4" s="1"/>
  <c r="F16" i="4"/>
  <c r="F17" i="4" s="1"/>
  <c r="F12" i="4"/>
  <c r="P13" i="4"/>
  <c r="P18" i="4" s="1"/>
  <c r="P13" i="3"/>
  <c r="O14" i="3"/>
  <c r="O18" i="3"/>
  <c r="O19" i="3" s="1"/>
  <c r="O16" i="3"/>
  <c r="O17" i="3" s="1"/>
  <c r="P20" i="4" l="1"/>
  <c r="O20" i="4" s="1"/>
  <c r="O25" i="4" s="1"/>
  <c r="P19" i="4"/>
  <c r="E19" i="4"/>
  <c r="E24" i="4"/>
  <c r="E26" i="4" s="1"/>
  <c r="N34" i="3"/>
  <c r="N36" i="3" s="1"/>
  <c r="N21" i="3"/>
  <c r="E15" i="3"/>
  <c r="E20" i="3" s="1"/>
  <c r="F13" i="4"/>
  <c r="F18" i="4"/>
  <c r="D34" i="3"/>
  <c r="D36" i="3" s="1"/>
  <c r="D21" i="3"/>
  <c r="F16" i="3"/>
  <c r="F17" i="3" s="1"/>
  <c r="F14" i="3"/>
  <c r="G13" i="3"/>
  <c r="F18" i="3"/>
  <c r="F19" i="3" s="1"/>
  <c r="G16" i="4"/>
  <c r="G17" i="4" s="1"/>
  <c r="G12" i="4"/>
  <c r="G14" i="4"/>
  <c r="G15" i="4" s="1"/>
  <c r="O15" i="3"/>
  <c r="O20" i="3"/>
  <c r="P16" i="3"/>
  <c r="P17" i="3" s="1"/>
  <c r="P14" i="3"/>
  <c r="P18" i="3"/>
  <c r="P19" i="3" s="1"/>
  <c r="O26" i="4"/>
  <c r="K28" i="4" s="1"/>
  <c r="E21" i="3" l="1"/>
  <c r="E34" i="3"/>
  <c r="E36" i="3" s="1"/>
  <c r="P15" i="3"/>
  <c r="P20" i="3" s="1"/>
  <c r="G13" i="4"/>
  <c r="G18" i="4" s="1"/>
  <c r="G18" i="3"/>
  <c r="G19" i="3" s="1"/>
  <c r="G14" i="3"/>
  <c r="G16" i="3"/>
  <c r="G17" i="3" s="1"/>
  <c r="O21" i="3"/>
  <c r="O34" i="3"/>
  <c r="F15" i="3"/>
  <c r="F20" i="3"/>
  <c r="F19" i="4"/>
  <c r="F24" i="4"/>
  <c r="G20" i="4" l="1"/>
  <c r="F20" i="4" s="1"/>
  <c r="F25" i="4" s="1"/>
  <c r="G19" i="4"/>
  <c r="P21" i="3"/>
  <c r="P22" i="3"/>
  <c r="O22" i="3" s="1"/>
  <c r="O35" i="3" s="1"/>
  <c r="F21" i="3"/>
  <c r="F34" i="3"/>
  <c r="F26" i="4"/>
  <c r="B28" i="4" s="1"/>
  <c r="O36" i="3"/>
  <c r="K38" i="3" s="1"/>
  <c r="G15" i="3"/>
  <c r="G20" i="3"/>
  <c r="G22" i="3" l="1"/>
  <c r="F22" i="3" s="1"/>
  <c r="F35" i="3" s="1"/>
  <c r="G21" i="3"/>
  <c r="F36" i="3"/>
  <c r="B38" i="3" s="1"/>
</calcChain>
</file>

<file path=xl/sharedStrings.xml><?xml version="1.0" encoding="utf-8"?>
<sst xmlns="http://schemas.openxmlformats.org/spreadsheetml/2006/main" count="128" uniqueCount="55">
  <si>
    <t>(a)</t>
  </si>
  <si>
    <t>Re</t>
  </si>
  <si>
    <t>Rf</t>
  </si>
  <si>
    <t>Beta</t>
  </si>
  <si>
    <t>Mkt Premium</t>
  </si>
  <si>
    <t>Current Price</t>
  </si>
  <si>
    <t>Div per Share</t>
  </si>
  <si>
    <t>implied growth</t>
  </si>
  <si>
    <t>(b)</t>
  </si>
  <si>
    <t>Price = (EV - Debt) / (# of Shares)</t>
  </si>
  <si>
    <t>EV</t>
  </si>
  <si>
    <t>EBITDA</t>
  </si>
  <si>
    <t>Debt</t>
  </si>
  <si>
    <t>EV - Debt</t>
  </si>
  <si>
    <t># of shares</t>
  </si>
  <si>
    <t>Price</t>
  </si>
  <si>
    <t>EBITDA Multiple</t>
  </si>
  <si>
    <t>EBITDA Multiple(Average)</t>
  </si>
  <si>
    <t>Net Income</t>
  </si>
  <si>
    <t>ROE(Average)</t>
  </si>
  <si>
    <t>Equity</t>
  </si>
  <si>
    <t># of Shares</t>
  </si>
  <si>
    <t>USING ROE</t>
  </si>
  <si>
    <t>Bullish Scenario</t>
  </si>
  <si>
    <t>Actual</t>
  </si>
  <si>
    <t xml:space="preserve">       *********** Forecast  ***********</t>
  </si>
  <si>
    <t>Revenue Growth</t>
  </si>
  <si>
    <t>Operating Margin</t>
  </si>
  <si>
    <t>Net Working Capital Turnover</t>
  </si>
  <si>
    <t>Fixed Asset Turnover</t>
  </si>
  <si>
    <t>EBIT</t>
  </si>
  <si>
    <t>Minus Tax</t>
  </si>
  <si>
    <t>Revenue</t>
  </si>
  <si>
    <t>Parameters</t>
  </si>
  <si>
    <t>Tax Rate</t>
  </si>
  <si>
    <t>PP&amp;E</t>
  </si>
  <si>
    <t>Minus Changes in PP&amp;E</t>
  </si>
  <si>
    <t>Net Working Capital</t>
  </si>
  <si>
    <t>Minus Changes in NWC</t>
  </si>
  <si>
    <t>Free Cash Flow</t>
  </si>
  <si>
    <t>PCT changes in FCF</t>
  </si>
  <si>
    <t>Terminal Value</t>
  </si>
  <si>
    <t>Bearish Scenario</t>
  </si>
  <si>
    <t>Free Cash Flow Scenario</t>
  </si>
  <si>
    <t>Calculate WACC</t>
  </si>
  <si>
    <t>Value</t>
  </si>
  <si>
    <t>r</t>
  </si>
  <si>
    <t>WACC</t>
  </si>
  <si>
    <t>FCF Schedule</t>
  </si>
  <si>
    <t>FCF</t>
  </si>
  <si>
    <t>Discount Value</t>
  </si>
  <si>
    <t>Sum</t>
  </si>
  <si>
    <t>Calculate EV(c, d)</t>
  </si>
  <si>
    <t>Shares Outstanding</t>
  </si>
  <si>
    <t>Operating Margin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</si>
</sst>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6" formatCode="0.00000%"/>
    <numFmt numFmtId="177" formatCode="0.0"/>
    <numFmt numFmtId="178" formatCode="0.00_);[Red]\(0.00\)"/>
  </numFmts>
  <fonts count="7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0"/>
      <color theme="1"/>
      <name val="Times New Roman"/>
      <family val="1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2"/>
      <color theme="1"/>
      <name val="Calibri(Body)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0" fontId="0" fillId="0" borderId="0" xfId="0" applyNumberFormat="1"/>
    <xf numFmtId="0" fontId="0" fillId="0" borderId="0" xfId="0" applyNumberFormat="1"/>
    <xf numFmtId="176" fontId="0" fillId="0" borderId="0" xfId="0" applyNumberFormat="1"/>
    <xf numFmtId="10" fontId="0" fillId="2" borderId="0" xfId="0" applyNumberFormat="1" applyFill="1"/>
    <xf numFmtId="9" fontId="2" fillId="0" borderId="0" xfId="2" applyFont="1"/>
    <xf numFmtId="9" fontId="0" fillId="0" borderId="0" xfId="0" applyNumberFormat="1"/>
    <xf numFmtId="0" fontId="5" fillId="0" borderId="0" xfId="0" applyFont="1"/>
    <xf numFmtId="9" fontId="5" fillId="0" borderId="0" xfId="2" applyFont="1"/>
    <xf numFmtId="0" fontId="0" fillId="0" borderId="0" xfId="0" applyFont="1"/>
    <xf numFmtId="177" fontId="0" fillId="0" borderId="0" xfId="1" applyNumberFormat="1" applyFont="1"/>
    <xf numFmtId="9" fontId="0" fillId="0" borderId="0" xfId="0" applyNumberFormat="1" applyFont="1"/>
    <xf numFmtId="0" fontId="0" fillId="2" borderId="0" xfId="0" applyFont="1" applyFill="1"/>
    <xf numFmtId="2" fontId="0" fillId="0" borderId="0" xfId="0" applyNumberFormat="1"/>
    <xf numFmtId="2" fontId="1" fillId="0" borderId="0" xfId="7" applyNumberFormat="1" applyFont="1" applyAlignment="1">
      <alignment horizontal="right"/>
    </xf>
    <xf numFmtId="178" fontId="0" fillId="0" borderId="0" xfId="0" applyNumberFormat="1"/>
    <xf numFmtId="0" fontId="0" fillId="0" borderId="0" xfId="0" applyBorder="1"/>
    <xf numFmtId="10" fontId="0" fillId="0" borderId="0" xfId="0" applyNumberFormat="1" applyBorder="1"/>
    <xf numFmtId="10" fontId="1" fillId="0" borderId="0" xfId="2" applyNumberFormat="1" applyFont="1" applyBorder="1"/>
    <xf numFmtId="2" fontId="0" fillId="0" borderId="0" xfId="0" applyNumberFormat="1" applyBorder="1"/>
    <xf numFmtId="10" fontId="0" fillId="2" borderId="0" xfId="0" applyNumberFormat="1" applyFill="1" applyBorder="1"/>
    <xf numFmtId="0" fontId="0" fillId="2" borderId="0" xfId="0" applyFill="1"/>
    <xf numFmtId="177" fontId="1" fillId="0" borderId="0" xfId="1" applyNumberFormat="1" applyFont="1"/>
    <xf numFmtId="0" fontId="0" fillId="3" borderId="0" xfId="0" applyFill="1"/>
    <xf numFmtId="10" fontId="0" fillId="3" borderId="0" xfId="0" applyNumberFormat="1" applyFill="1"/>
  </cellXfs>
  <cellStyles count="12">
    <cellStyle name="기본" xfId="0" builtinId="0"/>
    <cellStyle name="열어 본 하이퍼링크" xfId="4" builtinId="9" hidden="1"/>
    <cellStyle name="열어 본 하이퍼링크" xfId="6" builtinId="9" hidden="1"/>
    <cellStyle name="열어 본 하이퍼링크" xfId="9" builtinId="9" hidden="1"/>
    <cellStyle name="열어 본 하이퍼링크" xfId="11" builtinId="9" hidden="1"/>
    <cellStyle name="하이퍼링크" xfId="3" builtinId="8" hidden="1"/>
    <cellStyle name="하이퍼링크" xfId="5" builtinId="8" hidden="1"/>
    <cellStyle name="하이퍼링크" xfId="8" builtinId="8" hidden="1"/>
    <cellStyle name="하이퍼링크" xfId="10" builtinId="8" hidden="1"/>
    <cellStyle name="Comma 2" xfId="1"/>
    <cellStyle name="Normal 4" xfId="7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baseColWidth="10" defaultRowHeight="18"/>
  <cols>
    <col min="3" max="3" width="13.42578125" bestFit="1" customWidth="1"/>
  </cols>
  <sheetData>
    <row r="1" spans="1:4">
      <c r="A1" t="s">
        <v>8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s="3">
        <f>B3 + C3 * D3</f>
        <v>0.11764999999999999</v>
      </c>
      <c r="B3" s="1">
        <v>2.8000000000000001E-2</v>
      </c>
      <c r="C3" s="2">
        <v>1.63</v>
      </c>
      <c r="D3" s="1">
        <v>5.5E-2</v>
      </c>
    </row>
    <row r="5" spans="1:4">
      <c r="A5" t="s">
        <v>5</v>
      </c>
      <c r="B5" t="s">
        <v>6</v>
      </c>
      <c r="C5" t="s">
        <v>7</v>
      </c>
    </row>
    <row r="6" spans="1:4">
      <c r="A6">
        <v>12.51</v>
      </c>
      <c r="B6">
        <v>0.6</v>
      </c>
      <c r="C6" s="4">
        <f>(A3 * A6 - B6) / A6</f>
        <v>6.9688369304556338E-2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baseColWidth="10" defaultRowHeight="18"/>
  <cols>
    <col min="2" max="3" width="13.140625" bestFit="1" customWidth="1"/>
  </cols>
  <sheetData>
    <row r="1" spans="1:6">
      <c r="A1" s="9" t="s">
        <v>0</v>
      </c>
      <c r="B1" s="9"/>
      <c r="C1" s="9"/>
      <c r="D1" s="9"/>
      <c r="E1" s="9"/>
      <c r="F1" s="9"/>
    </row>
    <row r="2" spans="1:6">
      <c r="A2" s="9" t="s">
        <v>9</v>
      </c>
      <c r="B2" s="9"/>
      <c r="C2" s="9"/>
      <c r="D2" s="9"/>
      <c r="E2" s="9"/>
      <c r="F2" s="9"/>
    </row>
    <row r="3" spans="1:6">
      <c r="A3" s="9"/>
      <c r="B3" s="9"/>
      <c r="C3" s="9"/>
      <c r="D3" s="9"/>
      <c r="E3" s="9"/>
      <c r="F3" s="9"/>
    </row>
    <row r="4" spans="1:6">
      <c r="A4" s="9" t="s">
        <v>11</v>
      </c>
      <c r="B4" s="9" t="s">
        <v>17</v>
      </c>
      <c r="C4" s="9" t="s">
        <v>16</v>
      </c>
      <c r="D4" s="9" t="s">
        <v>10</v>
      </c>
      <c r="E4" s="9" t="s">
        <v>12</v>
      </c>
      <c r="F4" s="9"/>
    </row>
    <row r="5" spans="1:6">
      <c r="A5" s="9">
        <v>204</v>
      </c>
      <c r="B5" s="9">
        <v>7.2517121417356263</v>
      </c>
      <c r="C5" s="9">
        <v>3.5</v>
      </c>
      <c r="D5" s="9">
        <f>A5 * B5</f>
        <v>1479.3492769140678</v>
      </c>
      <c r="E5" s="9">
        <v>235</v>
      </c>
      <c r="F5" s="9"/>
    </row>
    <row r="6" spans="1:6">
      <c r="A6" s="9"/>
      <c r="B6" s="9"/>
      <c r="C6" s="9"/>
      <c r="D6" s="9"/>
      <c r="E6" s="9"/>
      <c r="F6" s="9"/>
    </row>
    <row r="7" spans="1:6">
      <c r="A7" s="9" t="s">
        <v>13</v>
      </c>
      <c r="B7" s="9" t="s">
        <v>14</v>
      </c>
      <c r="C7" s="9" t="s">
        <v>15</v>
      </c>
      <c r="D7" s="9"/>
      <c r="E7" s="9"/>
      <c r="F7" s="9"/>
    </row>
    <row r="8" spans="1:6">
      <c r="A8" s="9">
        <f>D5 - E5</f>
        <v>1244.3492769140678</v>
      </c>
      <c r="B8" s="10">
        <v>38.32</v>
      </c>
      <c r="C8" s="9">
        <f>A8 / B8</f>
        <v>32.472580295252293</v>
      </c>
      <c r="D8" s="9"/>
      <c r="E8" s="9"/>
      <c r="F8" s="9"/>
    </row>
    <row r="9" spans="1:6">
      <c r="A9" s="9"/>
      <c r="B9" s="9"/>
      <c r="C9" s="9"/>
      <c r="D9" s="9"/>
      <c r="E9" s="9"/>
      <c r="F9" s="9"/>
    </row>
    <row r="10" spans="1:6">
      <c r="A10" t="s">
        <v>22</v>
      </c>
      <c r="F10" s="9"/>
    </row>
    <row r="11" spans="1:6">
      <c r="A11" s="9" t="s">
        <v>18</v>
      </c>
      <c r="B11" s="9" t="s">
        <v>19</v>
      </c>
      <c r="C11" s="9" t="s">
        <v>20</v>
      </c>
      <c r="D11" s="9" t="s">
        <v>21</v>
      </c>
      <c r="E11" s="9" t="s">
        <v>15</v>
      </c>
      <c r="F11" s="9"/>
    </row>
    <row r="12" spans="1:6">
      <c r="A12" s="9">
        <v>81.760000000000005</v>
      </c>
      <c r="B12" s="11">
        <v>0.16129999999999997</v>
      </c>
      <c r="C12" s="9">
        <f>A12 / B12</f>
        <v>506.88158710477381</v>
      </c>
      <c r="D12" s="10">
        <v>38.32</v>
      </c>
      <c r="E12" s="12">
        <f>C12 / D12</f>
        <v>13.227598828412678</v>
      </c>
      <c r="F12" s="9"/>
    </row>
    <row r="13" spans="1:6">
      <c r="A13" s="9"/>
      <c r="B13" s="9"/>
      <c r="C13" s="9"/>
      <c r="D13" s="9"/>
      <c r="E13" s="9"/>
      <c r="F13" s="9"/>
    </row>
    <row r="14" spans="1:6">
      <c r="A14" s="7"/>
      <c r="B14" s="8"/>
      <c r="C14" s="7"/>
      <c r="D14" s="7"/>
      <c r="E14" s="7"/>
      <c r="F14" s="7"/>
    </row>
    <row r="15" spans="1:6">
      <c r="A15" s="7"/>
      <c r="B15" s="8"/>
      <c r="C15" s="7"/>
      <c r="D15" s="7"/>
      <c r="E15" s="7"/>
      <c r="F15" s="7"/>
    </row>
    <row r="16" spans="1:6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3" workbookViewId="0">
      <selection activeCell="J28" sqref="J28"/>
    </sheetView>
  </sheetViews>
  <sheetFormatPr baseColWidth="10" defaultRowHeight="18"/>
  <cols>
    <col min="1" max="1" width="25.28515625" bestFit="1" customWidth="1"/>
    <col min="10" max="10" width="25.28515625" bestFit="1" customWidth="1"/>
  </cols>
  <sheetData>
    <row r="1" spans="1:17">
      <c r="A1" t="s">
        <v>33</v>
      </c>
      <c r="B1" t="s">
        <v>34</v>
      </c>
      <c r="C1" t="s">
        <v>53</v>
      </c>
    </row>
    <row r="2" spans="1:17">
      <c r="B2" s="6">
        <v>0.39</v>
      </c>
      <c r="C2" s="22">
        <v>38.32</v>
      </c>
    </row>
    <row r="3" spans="1:17">
      <c r="A3" t="s">
        <v>43</v>
      </c>
    </row>
    <row r="4" spans="1:17">
      <c r="A4" t="s">
        <v>23</v>
      </c>
      <c r="J4" t="s">
        <v>42</v>
      </c>
    </row>
    <row r="5" spans="1:17">
      <c r="B5" t="s">
        <v>24</v>
      </c>
      <c r="C5" t="s">
        <v>25</v>
      </c>
      <c r="K5" t="s">
        <v>24</v>
      </c>
      <c r="L5" t="s">
        <v>25</v>
      </c>
    </row>
    <row r="6" spans="1:17">
      <c r="B6">
        <v>2011</v>
      </c>
      <c r="C6">
        <v>2012</v>
      </c>
      <c r="D6">
        <v>2013</v>
      </c>
      <c r="E6">
        <v>2014</v>
      </c>
      <c r="F6">
        <v>2015</v>
      </c>
      <c r="G6">
        <v>2016</v>
      </c>
      <c r="K6">
        <v>2011</v>
      </c>
      <c r="L6">
        <v>2012</v>
      </c>
      <c r="M6">
        <v>2013</v>
      </c>
      <c r="N6">
        <v>2014</v>
      </c>
      <c r="O6">
        <v>2015</v>
      </c>
      <c r="P6">
        <v>2016</v>
      </c>
    </row>
    <row r="7" spans="1:17">
      <c r="A7" t="s">
        <v>26</v>
      </c>
      <c r="B7" s="1">
        <v>5.305789275398709E-2</v>
      </c>
      <c r="C7" s="1">
        <v>0.01</v>
      </c>
      <c r="D7" s="1">
        <v>1.4999999999999999E-2</v>
      </c>
      <c r="E7" s="1">
        <v>0.02</v>
      </c>
      <c r="F7" s="1">
        <v>2.5000000000000001E-2</v>
      </c>
      <c r="G7" s="1">
        <v>0.03</v>
      </c>
      <c r="J7" t="s">
        <v>26</v>
      </c>
      <c r="K7" s="1">
        <v>5.305789275398709E-2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/>
    </row>
    <row r="8" spans="1:17">
      <c r="A8" t="s">
        <v>27</v>
      </c>
      <c r="B8" s="1">
        <v>9.3560312444099986E-2</v>
      </c>
      <c r="C8" s="1">
        <v>0.09</v>
      </c>
      <c r="D8" s="1">
        <v>0.09</v>
      </c>
      <c r="E8" s="1">
        <v>0.09</v>
      </c>
      <c r="F8" s="1">
        <v>0.09</v>
      </c>
      <c r="G8" s="1">
        <v>0.09</v>
      </c>
      <c r="J8" t="s">
        <v>27</v>
      </c>
      <c r="K8" s="1">
        <v>9.3560312444099986E-2</v>
      </c>
      <c r="L8" s="1">
        <v>0.08</v>
      </c>
      <c r="M8" s="1">
        <v>7.0000000000000007E-2</v>
      </c>
      <c r="N8" s="1">
        <v>0.06</v>
      </c>
      <c r="O8" s="1">
        <v>0.05</v>
      </c>
      <c r="P8" s="1">
        <v>0.05</v>
      </c>
      <c r="Q8" s="1"/>
    </row>
    <row r="9" spans="1:17">
      <c r="A9" t="s">
        <v>28</v>
      </c>
      <c r="B9" s="13">
        <v>5.019303863765602</v>
      </c>
      <c r="C9" s="13">
        <v>6</v>
      </c>
      <c r="D9" s="13">
        <v>6.5</v>
      </c>
      <c r="E9" s="13">
        <v>7</v>
      </c>
      <c r="F9" s="13">
        <v>7.5</v>
      </c>
      <c r="G9" s="13">
        <v>7.5</v>
      </c>
      <c r="J9" t="s">
        <v>28</v>
      </c>
      <c r="K9" s="13">
        <v>5.019303863765602</v>
      </c>
      <c r="L9" s="13">
        <v>6</v>
      </c>
      <c r="M9" s="13">
        <v>6.5</v>
      </c>
      <c r="N9" s="13">
        <v>7</v>
      </c>
      <c r="O9" s="13">
        <v>7.5</v>
      </c>
      <c r="P9" s="13">
        <v>7.5</v>
      </c>
      <c r="Q9" s="13"/>
    </row>
    <row r="10" spans="1:17">
      <c r="A10" t="s">
        <v>29</v>
      </c>
      <c r="B10" s="13">
        <v>1.9526138083595295</v>
      </c>
      <c r="C10" s="13">
        <v>1.9526138083595295</v>
      </c>
      <c r="D10" s="13">
        <v>1.9526138083595295</v>
      </c>
      <c r="E10" s="13">
        <v>1.9526138083595295</v>
      </c>
      <c r="F10" s="13">
        <v>1.9526138083595295</v>
      </c>
      <c r="G10" s="13">
        <v>1.9526138083595295</v>
      </c>
      <c r="J10" t="s">
        <v>29</v>
      </c>
      <c r="K10" s="13">
        <v>1.9526138083595295</v>
      </c>
      <c r="L10" s="13">
        <v>1.9526138083595295</v>
      </c>
      <c r="M10" s="13">
        <v>1.9526138083595295</v>
      </c>
      <c r="N10" s="13">
        <v>1.9526138083595295</v>
      </c>
      <c r="O10" s="13">
        <v>1.9526138083595295</v>
      </c>
      <c r="P10" s="13">
        <v>1.9526138083595295</v>
      </c>
      <c r="Q10" s="13"/>
    </row>
    <row r="13" spans="1:17">
      <c r="A13" t="s">
        <v>32</v>
      </c>
      <c r="B13" s="14">
        <v>1677.1</v>
      </c>
      <c r="C13" s="13">
        <f>B13 * (1 + C7)</f>
        <v>1693.8709999999999</v>
      </c>
      <c r="D13" s="13">
        <f>C13 * (1 + D7)</f>
        <v>1719.2790649999997</v>
      </c>
      <c r="E13" s="13">
        <f>D13 * (1 + E7)</f>
        <v>1753.6646462999997</v>
      </c>
      <c r="F13" s="13">
        <f>E13 * (1 + F7)</f>
        <v>1797.5062624574996</v>
      </c>
      <c r="G13" s="13">
        <f>F13 * (1 + G7)</f>
        <v>1851.4314503312246</v>
      </c>
      <c r="J13" t="s">
        <v>32</v>
      </c>
      <c r="K13" s="14">
        <v>1677.1</v>
      </c>
      <c r="L13" s="13">
        <f>K13 * (1 + L7)</f>
        <v>1677.1</v>
      </c>
      <c r="M13" s="13">
        <f>L13 * (1 + M7)</f>
        <v>1677.1</v>
      </c>
      <c r="N13" s="13">
        <f>M13 * (1 + N7)</f>
        <v>1677.1</v>
      </c>
      <c r="O13" s="13">
        <f>N13 * (1 + O7)</f>
        <v>1677.1</v>
      </c>
      <c r="P13" s="13">
        <f>O13 * (1 + P7)</f>
        <v>1677.1</v>
      </c>
      <c r="Q13" s="13"/>
    </row>
    <row r="14" spans="1:17">
      <c r="A14" t="s">
        <v>30</v>
      </c>
      <c r="B14">
        <f t="shared" ref="B14:G14" si="0">B13 * B8</f>
        <v>156.91000000000008</v>
      </c>
      <c r="C14">
        <f t="shared" si="0"/>
        <v>152.44838999999999</v>
      </c>
      <c r="D14">
        <f t="shared" si="0"/>
        <v>154.73511584999997</v>
      </c>
      <c r="E14">
        <f t="shared" si="0"/>
        <v>157.82981816699996</v>
      </c>
      <c r="F14">
        <f t="shared" si="0"/>
        <v>161.77556362117497</v>
      </c>
      <c r="G14">
        <f t="shared" si="0"/>
        <v>166.62883052981022</v>
      </c>
      <c r="J14" t="s">
        <v>30</v>
      </c>
      <c r="K14">
        <f t="shared" ref="K14:P14" si="1">K13 * K8</f>
        <v>156.91000000000008</v>
      </c>
      <c r="L14">
        <f t="shared" si="1"/>
        <v>134.16800000000001</v>
      </c>
      <c r="M14">
        <f t="shared" si="1"/>
        <v>117.39700000000001</v>
      </c>
      <c r="N14">
        <f t="shared" si="1"/>
        <v>100.62599999999999</v>
      </c>
      <c r="O14">
        <f t="shared" si="1"/>
        <v>83.855000000000004</v>
      </c>
      <c r="P14">
        <f t="shared" si="1"/>
        <v>83.855000000000004</v>
      </c>
    </row>
    <row r="15" spans="1:17">
      <c r="A15" t="s">
        <v>31</v>
      </c>
      <c r="B15" s="15">
        <f t="shared" ref="B15:G15" si="2">-B14 * $B$2</f>
        <v>-61.194900000000032</v>
      </c>
      <c r="C15" s="15">
        <f t="shared" si="2"/>
        <v>-59.454872099999996</v>
      </c>
      <c r="D15" s="15">
        <f t="shared" si="2"/>
        <v>-60.346695181499989</v>
      </c>
      <c r="E15" s="15">
        <f t="shared" si="2"/>
        <v>-61.553629085129984</v>
      </c>
      <c r="F15" s="15">
        <f t="shared" si="2"/>
        <v>-63.092469812258237</v>
      </c>
      <c r="G15" s="15">
        <f t="shared" si="2"/>
        <v>-64.985243906625982</v>
      </c>
      <c r="J15" t="s">
        <v>31</v>
      </c>
      <c r="K15" s="15">
        <f t="shared" ref="K15:P15" si="3">-K14 * $B$2</f>
        <v>-61.194900000000032</v>
      </c>
      <c r="L15" s="15">
        <f t="shared" si="3"/>
        <v>-52.325520000000004</v>
      </c>
      <c r="M15" s="15">
        <f t="shared" si="3"/>
        <v>-45.784830000000007</v>
      </c>
      <c r="N15" s="15">
        <f t="shared" si="3"/>
        <v>-39.244139999999994</v>
      </c>
      <c r="O15" s="15">
        <f t="shared" si="3"/>
        <v>-32.703450000000004</v>
      </c>
      <c r="P15" s="15">
        <f t="shared" si="3"/>
        <v>-32.703450000000004</v>
      </c>
      <c r="Q15" s="15"/>
    </row>
    <row r="16" spans="1:17" hidden="1">
      <c r="A16" t="s">
        <v>35</v>
      </c>
      <c r="B16">
        <f t="shared" ref="B16:G16" si="4">B13 / B10</f>
        <v>858.9</v>
      </c>
      <c r="C16">
        <f t="shared" si="4"/>
        <v>867.48900000000003</v>
      </c>
      <c r="D16">
        <f t="shared" si="4"/>
        <v>880.50133499999993</v>
      </c>
      <c r="E16">
        <f t="shared" si="4"/>
        <v>898.11136169999997</v>
      </c>
      <c r="F16">
        <f t="shared" si="4"/>
        <v>920.56414574249982</v>
      </c>
      <c r="G16">
        <f t="shared" si="4"/>
        <v>948.18107011477491</v>
      </c>
      <c r="J16" t="s">
        <v>35</v>
      </c>
      <c r="K16">
        <f t="shared" ref="K16:P16" si="5">K13 / K10</f>
        <v>858.9</v>
      </c>
      <c r="L16">
        <f t="shared" si="5"/>
        <v>858.9</v>
      </c>
      <c r="M16">
        <f t="shared" si="5"/>
        <v>858.9</v>
      </c>
      <c r="N16">
        <f t="shared" si="5"/>
        <v>858.9</v>
      </c>
      <c r="O16">
        <f t="shared" si="5"/>
        <v>858.9</v>
      </c>
      <c r="P16">
        <f t="shared" si="5"/>
        <v>858.9</v>
      </c>
    </row>
    <row r="17" spans="1:17">
      <c r="A17" t="s">
        <v>36</v>
      </c>
      <c r="B17" s="15"/>
      <c r="C17" s="15">
        <f>-(C16 - B16)</f>
        <v>-8.5890000000000555</v>
      </c>
      <c r="D17" s="15">
        <f>-(D16 - C16)</f>
        <v>-13.012334999999894</v>
      </c>
      <c r="E17" s="15">
        <f>-(E16 - D16)</f>
        <v>-17.610026700000049</v>
      </c>
      <c r="F17" s="15">
        <f>-(F16 - E16)</f>
        <v>-22.452784042499843</v>
      </c>
      <c r="G17" s="15">
        <f>-(G16 - F16)</f>
        <v>-27.616924372275093</v>
      </c>
      <c r="J17" t="s">
        <v>36</v>
      </c>
      <c r="L17">
        <f xml:space="preserve"> - (L16 - K16)</f>
        <v>0</v>
      </c>
      <c r="M17">
        <f xml:space="preserve"> - (M16 - L16)</f>
        <v>0</v>
      </c>
      <c r="N17">
        <f xml:space="preserve"> - (N16 - M16)</f>
        <v>0</v>
      </c>
      <c r="O17">
        <f xml:space="preserve"> - (O16 - N16)</f>
        <v>0</v>
      </c>
      <c r="P17">
        <f xml:space="preserve"> - (P16 - O16)</f>
        <v>0</v>
      </c>
    </row>
    <row r="18" spans="1:17" hidden="1">
      <c r="A18" t="s">
        <v>37</v>
      </c>
      <c r="B18">
        <f t="shared" ref="B18:G18" si="6">B13 / B9</f>
        <v>334.12999999999988</v>
      </c>
      <c r="C18">
        <f t="shared" si="6"/>
        <v>282.31183333333331</v>
      </c>
      <c r="D18">
        <f t="shared" si="6"/>
        <v>264.50447153846147</v>
      </c>
      <c r="E18">
        <f t="shared" si="6"/>
        <v>250.52352089999997</v>
      </c>
      <c r="F18">
        <f t="shared" si="6"/>
        <v>239.66750166099993</v>
      </c>
      <c r="G18">
        <f t="shared" si="6"/>
        <v>246.85752671082994</v>
      </c>
      <c r="J18" t="s">
        <v>37</v>
      </c>
      <c r="K18" s="13">
        <f t="shared" ref="K18:P18" si="7">K13 / K9</f>
        <v>334.12999999999988</v>
      </c>
      <c r="L18" s="13">
        <f t="shared" si="7"/>
        <v>279.51666666666665</v>
      </c>
      <c r="M18" s="13">
        <f t="shared" si="7"/>
        <v>258.01538461538462</v>
      </c>
      <c r="N18" s="13">
        <f t="shared" si="7"/>
        <v>239.58571428571426</v>
      </c>
      <c r="O18" s="13">
        <f t="shared" si="7"/>
        <v>223.61333333333332</v>
      </c>
      <c r="P18" s="13">
        <f t="shared" si="7"/>
        <v>223.61333333333332</v>
      </c>
      <c r="Q18" s="13"/>
    </row>
    <row r="19" spans="1:17">
      <c r="A19" t="s">
        <v>38</v>
      </c>
      <c r="B19" s="15"/>
      <c r="C19" s="15">
        <f>-(C18 - B18)</f>
        <v>51.818166666666571</v>
      </c>
      <c r="D19" s="15">
        <f>-(D18 - C18)</f>
        <v>17.807361794871838</v>
      </c>
      <c r="E19" s="15">
        <f>-(E18 - D18)</f>
        <v>13.980950638461508</v>
      </c>
      <c r="F19" s="15">
        <f>-(F18 - E18)</f>
        <v>10.856019239000034</v>
      </c>
      <c r="G19" s="15">
        <f>-(G18 - F18)</f>
        <v>-7.1900250498300124</v>
      </c>
      <c r="J19" t="s">
        <v>38</v>
      </c>
      <c r="K19" s="15"/>
      <c r="L19" s="15">
        <f xml:space="preserve"> -(L18 - K18)</f>
        <v>54.61333333333323</v>
      </c>
      <c r="M19" s="15">
        <f xml:space="preserve"> -(M18 - L18)</f>
        <v>21.501282051282033</v>
      </c>
      <c r="N19" s="15">
        <f xml:space="preserve"> -(N18 - M18)</f>
        <v>18.429670329670358</v>
      </c>
      <c r="O19" s="15">
        <f xml:space="preserve"> -(O18 - N18)</f>
        <v>15.972380952380945</v>
      </c>
      <c r="P19" s="15">
        <f xml:space="preserve"> -(P18 - O18)</f>
        <v>0</v>
      </c>
      <c r="Q19" s="15"/>
    </row>
    <row r="20" spans="1:17">
      <c r="A20" t="s">
        <v>39</v>
      </c>
      <c r="C20" s="15">
        <f>C14 +C15 + C17 + C19</f>
        <v>136.22268456666652</v>
      </c>
      <c r="D20" s="15">
        <f>D14 +D15 + D17 + D19</f>
        <v>99.18344746337192</v>
      </c>
      <c r="E20" s="15">
        <f>E14 +E15 + E17 + E19</f>
        <v>92.647113020331432</v>
      </c>
      <c r="F20" s="15">
        <f>F14 +F15 + F17 + F19</f>
        <v>87.086329005416928</v>
      </c>
      <c r="G20" s="15">
        <f>G14 +G15 + G17 + G19</f>
        <v>66.836637201079128</v>
      </c>
      <c r="J20" t="s">
        <v>39</v>
      </c>
      <c r="L20" s="15">
        <f>L14 +L15 + L17 + L19</f>
        <v>136.45581333333323</v>
      </c>
      <c r="M20" s="15">
        <f>M14 +M15 + M17 + M19</f>
        <v>93.113452051282025</v>
      </c>
      <c r="N20" s="15">
        <f>N14 +N15 + N17 + N19</f>
        <v>79.811530329670347</v>
      </c>
      <c r="O20" s="15">
        <f>O14 +O15 + O17 + O19</f>
        <v>67.123930952380945</v>
      </c>
      <c r="P20" s="15">
        <f>P14 +P15 + P17 + P19</f>
        <v>51.15155</v>
      </c>
      <c r="Q20" s="15"/>
    </row>
    <row r="21" spans="1:17" hidden="1">
      <c r="A21" t="s">
        <v>40</v>
      </c>
      <c r="D21" s="1">
        <f>(D20 - C20) / C20</f>
        <v>-0.2719021227713937</v>
      </c>
      <c r="E21" s="1">
        <f>(E20 - D20) / D20</f>
        <v>-6.5901464510540755E-2</v>
      </c>
      <c r="F21" s="1">
        <f>(F20 - E20) / E20</f>
        <v>-6.0021125684663133E-2</v>
      </c>
      <c r="G21" s="1">
        <f>(G20 - F20) / F20</f>
        <v>-0.23252434722651166</v>
      </c>
      <c r="J21" t="s">
        <v>40</v>
      </c>
      <c r="M21" s="1">
        <f>(M20 - L20) / L20</f>
        <v>-0.31762927663752083</v>
      </c>
      <c r="N21" s="1">
        <f>(N20 - M20) / M20</f>
        <v>-0.14285714285714243</v>
      </c>
      <c r="O21" s="1">
        <f>(O20 - N20) / N20</f>
        <v>-0.15896950384088451</v>
      </c>
      <c r="P21" s="1">
        <f>(P20 - O20) / O20</f>
        <v>-0.23795359904818553</v>
      </c>
    </row>
    <row r="22" spans="1:17">
      <c r="A22" t="s">
        <v>41</v>
      </c>
      <c r="F22">
        <f>G22 / (1 + $C$29)</f>
        <v>1364.4476350026305</v>
      </c>
      <c r="G22">
        <f>G20 / ($C$29 - 0.03)</f>
        <v>1467.5232427285205</v>
      </c>
      <c r="J22" t="s">
        <v>41</v>
      </c>
      <c r="O22">
        <f>P22 / (1 + $C$29)</f>
        <v>629.55206337425875</v>
      </c>
      <c r="P22">
        <f>P20 / $C$29</f>
        <v>677.1108409064318</v>
      </c>
    </row>
    <row r="25" spans="1:17">
      <c r="A25" t="s">
        <v>44</v>
      </c>
    </row>
    <row r="26" spans="1:17">
      <c r="B26" s="16"/>
      <c r="C26" s="16" t="s">
        <v>12</v>
      </c>
      <c r="D26" s="16" t="s">
        <v>20</v>
      </c>
    </row>
    <row r="27" spans="1:17">
      <c r="B27" s="16" t="s">
        <v>45</v>
      </c>
      <c r="C27" s="16">
        <v>783.55</v>
      </c>
      <c r="D27" s="19">
        <v>752.4</v>
      </c>
    </row>
    <row r="28" spans="1:17">
      <c r="B28" s="16" t="s">
        <v>46</v>
      </c>
      <c r="C28" s="18">
        <v>5.756E-2</v>
      </c>
      <c r="D28" s="17">
        <f>'Q1'!A3</f>
        <v>0.11764999999999999</v>
      </c>
    </row>
    <row r="29" spans="1:17">
      <c r="B29" s="16" t="s">
        <v>47</v>
      </c>
      <c r="C29" s="20">
        <f>(C27 / SUM(C27:D27)) * C28 * (1 - $B$2) + (D27 / SUM(C27:D27)) * D28</f>
        <v>7.5543835528500275E-2</v>
      </c>
      <c r="D29" s="16"/>
    </row>
    <row r="32" spans="1:17">
      <c r="A32" t="s">
        <v>52</v>
      </c>
    </row>
    <row r="33" spans="1:15">
      <c r="A33" t="s">
        <v>48</v>
      </c>
      <c r="C33">
        <v>1</v>
      </c>
      <c r="D33">
        <v>2</v>
      </c>
      <c r="E33">
        <v>3</v>
      </c>
      <c r="F33">
        <v>4</v>
      </c>
      <c r="J33" t="s">
        <v>48</v>
      </c>
      <c r="L33">
        <v>1</v>
      </c>
      <c r="M33">
        <v>2</v>
      </c>
      <c r="N33">
        <v>3</v>
      </c>
      <c r="O33">
        <v>4</v>
      </c>
    </row>
    <row r="34" spans="1:15">
      <c r="A34" t="s">
        <v>49</v>
      </c>
      <c r="C34" s="15">
        <f>C20</f>
        <v>136.22268456666652</v>
      </c>
      <c r="D34" s="15">
        <f>D20</f>
        <v>99.18344746337192</v>
      </c>
      <c r="E34" s="15">
        <f>E20</f>
        <v>92.647113020331432</v>
      </c>
      <c r="F34" s="15">
        <f>F20</f>
        <v>87.086329005416928</v>
      </c>
      <c r="G34" s="15"/>
      <c r="J34" t="s">
        <v>49</v>
      </c>
      <c r="L34" s="15">
        <f>L20</f>
        <v>136.45581333333323</v>
      </c>
      <c r="M34" s="15">
        <f>M20</f>
        <v>93.113452051282025</v>
      </c>
      <c r="N34" s="15">
        <f>N20</f>
        <v>79.811530329670347</v>
      </c>
      <c r="O34" s="15">
        <f>O20</f>
        <v>67.123930952380945</v>
      </c>
    </row>
    <row r="35" spans="1:15">
      <c r="A35" t="s">
        <v>41</v>
      </c>
      <c r="F35">
        <f>F22</f>
        <v>1364.4476350026305</v>
      </c>
      <c r="J35" t="s">
        <v>41</v>
      </c>
      <c r="O35">
        <f>O22</f>
        <v>629.55206337425875</v>
      </c>
    </row>
    <row r="36" spans="1:15">
      <c r="A36" t="s">
        <v>50</v>
      </c>
      <c r="C36">
        <f>C34 / (1 + $C$29)^C33</f>
        <v>126.65470254843632</v>
      </c>
      <c r="D36">
        <f>D34 / (1 + $C$29)^D33</f>
        <v>85.739899221516595</v>
      </c>
      <c r="E36">
        <f>E34 / (1 + $C$29)^E33</f>
        <v>74.4642028062744</v>
      </c>
      <c r="F36">
        <f>(F34 + F35) / (1 + $C$29)^F33</f>
        <v>1084.7127384644029</v>
      </c>
      <c r="J36" t="s">
        <v>50</v>
      </c>
      <c r="L36">
        <f>L34 / (1 + $C$29)^L33</f>
        <v>126.87145686282663</v>
      </c>
      <c r="M36">
        <f>M34 / (1 + $C$29)^M33</f>
        <v>80.492644682397525</v>
      </c>
      <c r="N36">
        <f>N34 / (1 + $C$29)^N33</f>
        <v>64.147729886018979</v>
      </c>
      <c r="O36">
        <f>(O34 + O35) / (1 + $C$29)^O33</f>
        <v>520.61704677016473</v>
      </c>
    </row>
    <row r="37" spans="1:15">
      <c r="A37" t="s">
        <v>51</v>
      </c>
      <c r="B37" s="21">
        <f>SUM(C36:F36) - 'Q2'!$E$5</f>
        <v>1136.5715430406303</v>
      </c>
      <c r="J37" t="s">
        <v>51</v>
      </c>
      <c r="K37" s="21">
        <f>SUM(L36:O36) - 'Q2'!$E$5</f>
        <v>557.12887820140782</v>
      </c>
    </row>
    <row r="38" spans="1:15">
      <c r="A38" t="s">
        <v>15</v>
      </c>
      <c r="B38" s="23">
        <f>B37 / $C$2</f>
        <v>29.660008951999746</v>
      </c>
      <c r="J38" t="s">
        <v>15</v>
      </c>
      <c r="K38" s="23">
        <f>K37 / $C$2</f>
        <v>14.538853815276822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2" workbookViewId="0"/>
  </sheetViews>
  <sheetFormatPr baseColWidth="10" defaultRowHeight="18"/>
  <cols>
    <col min="1" max="1" width="25.28515625" bestFit="1" customWidth="1"/>
    <col min="10" max="10" width="25.28515625" bestFit="1" customWidth="1"/>
  </cols>
  <sheetData>
    <row r="1" spans="1:16">
      <c r="A1" t="s">
        <v>54</v>
      </c>
    </row>
    <row r="2" spans="1:16">
      <c r="A2" t="s">
        <v>42</v>
      </c>
      <c r="J2" t="s">
        <v>42</v>
      </c>
    </row>
    <row r="3" spans="1:16">
      <c r="B3" t="s">
        <v>24</v>
      </c>
      <c r="C3" t="s">
        <v>25</v>
      </c>
      <c r="K3" t="s">
        <v>24</v>
      </c>
      <c r="L3" t="s">
        <v>25</v>
      </c>
    </row>
    <row r="4" spans="1:16">
      <c r="B4">
        <v>2011</v>
      </c>
      <c r="C4">
        <v>2012</v>
      </c>
      <c r="D4">
        <v>2013</v>
      </c>
      <c r="E4">
        <v>2014</v>
      </c>
      <c r="F4">
        <v>2015</v>
      </c>
      <c r="G4">
        <v>2016</v>
      </c>
      <c r="K4">
        <v>2011</v>
      </c>
      <c r="L4">
        <v>2012</v>
      </c>
      <c r="M4">
        <v>2013</v>
      </c>
      <c r="N4">
        <v>2014</v>
      </c>
      <c r="O4">
        <v>2015</v>
      </c>
      <c r="P4">
        <v>2016</v>
      </c>
    </row>
    <row r="5" spans="1:16">
      <c r="A5" t="s">
        <v>26</v>
      </c>
      <c r="B5" s="1">
        <v>5.305789275398709E-2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J5" t="s">
        <v>26</v>
      </c>
      <c r="K5" s="1">
        <v>5.305789275398709E-2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>
      <c r="A6" t="s">
        <v>27</v>
      </c>
      <c r="B6" s="1">
        <v>9.3560312444099986E-2</v>
      </c>
      <c r="C6" s="24">
        <v>7.0000000000000007E-2</v>
      </c>
      <c r="D6" s="24">
        <v>0.06</v>
      </c>
      <c r="E6" s="24">
        <v>0.05</v>
      </c>
      <c r="F6" s="24">
        <v>0.04</v>
      </c>
      <c r="G6" s="24">
        <v>0.04</v>
      </c>
      <c r="J6" t="s">
        <v>27</v>
      </c>
      <c r="K6" s="1">
        <v>9.3560312444099986E-2</v>
      </c>
      <c r="L6" s="24">
        <v>0.06</v>
      </c>
      <c r="M6" s="24">
        <v>0.05</v>
      </c>
      <c r="N6" s="24">
        <v>0.04</v>
      </c>
      <c r="O6" s="24">
        <v>0.03</v>
      </c>
      <c r="P6" s="24">
        <v>0.03</v>
      </c>
    </row>
    <row r="7" spans="1:16">
      <c r="A7" t="s">
        <v>28</v>
      </c>
      <c r="B7" s="13">
        <v>5.019303863765602</v>
      </c>
      <c r="C7" s="13">
        <v>6</v>
      </c>
      <c r="D7" s="13">
        <v>6.5</v>
      </c>
      <c r="E7" s="13">
        <v>7</v>
      </c>
      <c r="F7" s="13">
        <v>7.5</v>
      </c>
      <c r="G7" s="13">
        <v>7.5</v>
      </c>
      <c r="J7" t="s">
        <v>28</v>
      </c>
      <c r="K7" s="13">
        <v>5.019303863765602</v>
      </c>
      <c r="L7" s="13">
        <v>6</v>
      </c>
      <c r="M7" s="13">
        <v>6.5</v>
      </c>
      <c r="N7" s="13">
        <v>7</v>
      </c>
      <c r="O7" s="13">
        <v>7.5</v>
      </c>
      <c r="P7" s="13">
        <v>7.5</v>
      </c>
    </row>
    <row r="8" spans="1:16">
      <c r="A8" t="s">
        <v>29</v>
      </c>
      <c r="B8" s="13">
        <v>1.9526138083595295</v>
      </c>
      <c r="C8" s="13">
        <v>1.9526138083595295</v>
      </c>
      <c r="D8" s="13">
        <v>1.9526138083595295</v>
      </c>
      <c r="E8" s="13">
        <v>1.9526138083595295</v>
      </c>
      <c r="F8" s="13">
        <v>1.9526138083595295</v>
      </c>
      <c r="G8" s="13">
        <v>1.9526138083595295</v>
      </c>
      <c r="J8" t="s">
        <v>29</v>
      </c>
      <c r="K8" s="13">
        <v>1.9526138083595295</v>
      </c>
      <c r="L8" s="13">
        <v>1.9526138083595295</v>
      </c>
      <c r="M8" s="13">
        <v>1.9526138083595295</v>
      </c>
      <c r="N8" s="13">
        <v>1.9526138083595295</v>
      </c>
      <c r="O8" s="13">
        <v>1.9526138083595295</v>
      </c>
      <c r="P8" s="13">
        <v>1.9526138083595295</v>
      </c>
    </row>
    <row r="11" spans="1:16">
      <c r="A11" t="s">
        <v>32</v>
      </c>
      <c r="B11" s="14">
        <v>1677.1</v>
      </c>
      <c r="C11" s="13">
        <f>B11 * (1 + C5)</f>
        <v>1677.1</v>
      </c>
      <c r="D11" s="13">
        <f>C11 * (1 + D5)</f>
        <v>1677.1</v>
      </c>
      <c r="E11" s="13">
        <f>D11 * (1 + E5)</f>
        <v>1677.1</v>
      </c>
      <c r="F11" s="13">
        <f>E11 * (1 + F5)</f>
        <v>1677.1</v>
      </c>
      <c r="G11" s="13">
        <f>F11 * (1 + G5)</f>
        <v>1677.1</v>
      </c>
      <c r="J11" t="s">
        <v>32</v>
      </c>
      <c r="K11" s="14">
        <v>1677.1</v>
      </c>
      <c r="L11" s="13">
        <f>K11 * (1 + L5)</f>
        <v>1677.1</v>
      </c>
      <c r="M11" s="13">
        <f>L11 * (1 + M5)</f>
        <v>1677.1</v>
      </c>
      <c r="N11" s="13">
        <f>M11 * (1 + N5)</f>
        <v>1677.1</v>
      </c>
      <c r="O11" s="13">
        <f>N11 * (1 + O5)</f>
        <v>1677.1</v>
      </c>
      <c r="P11" s="13">
        <f>O11 * (1 + P5)</f>
        <v>1677.1</v>
      </c>
    </row>
    <row r="12" spans="1:16">
      <c r="A12" t="s">
        <v>30</v>
      </c>
      <c r="B12">
        <f t="shared" ref="B12:G12" si="0">B11 * B6</f>
        <v>156.91000000000008</v>
      </c>
      <c r="C12">
        <f t="shared" si="0"/>
        <v>117.39700000000001</v>
      </c>
      <c r="D12">
        <f t="shared" si="0"/>
        <v>100.62599999999999</v>
      </c>
      <c r="E12">
        <f t="shared" si="0"/>
        <v>83.855000000000004</v>
      </c>
      <c r="F12">
        <f t="shared" si="0"/>
        <v>67.084000000000003</v>
      </c>
      <c r="G12">
        <f t="shared" si="0"/>
        <v>67.084000000000003</v>
      </c>
      <c r="J12" t="s">
        <v>30</v>
      </c>
      <c r="K12">
        <f t="shared" ref="K12:P12" si="1">K11 * K6</f>
        <v>156.91000000000008</v>
      </c>
      <c r="L12">
        <f t="shared" si="1"/>
        <v>100.62599999999999</v>
      </c>
      <c r="M12">
        <f t="shared" si="1"/>
        <v>83.855000000000004</v>
      </c>
      <c r="N12">
        <f t="shared" si="1"/>
        <v>67.084000000000003</v>
      </c>
      <c r="O12">
        <f t="shared" si="1"/>
        <v>50.312999999999995</v>
      </c>
      <c r="P12">
        <f t="shared" si="1"/>
        <v>50.312999999999995</v>
      </c>
    </row>
    <row r="13" spans="1:16">
      <c r="A13" t="s">
        <v>31</v>
      </c>
      <c r="B13" s="15">
        <f>-B12 * 'Q3'!$B$2</f>
        <v>-61.194900000000032</v>
      </c>
      <c r="C13" s="15">
        <f>-C12 * 'Q3'!$B$2</f>
        <v>-45.784830000000007</v>
      </c>
      <c r="D13" s="15">
        <f>-D12 * 'Q3'!$B$2</f>
        <v>-39.244139999999994</v>
      </c>
      <c r="E13" s="15">
        <f>-E12 * 'Q3'!$B$2</f>
        <v>-32.703450000000004</v>
      </c>
      <c r="F13" s="15">
        <f>-F12 * 'Q3'!$B$2</f>
        <v>-26.162760000000002</v>
      </c>
      <c r="G13" s="15">
        <f>-G12 * 'Q3'!$B$2</f>
        <v>-26.162760000000002</v>
      </c>
      <c r="J13" t="s">
        <v>31</v>
      </c>
      <c r="K13" s="15">
        <f>-K12 * 'Q3'!$B$2</f>
        <v>-61.194900000000032</v>
      </c>
      <c r="L13" s="15">
        <f>-L12 * 'Q3'!$B$2</f>
        <v>-39.244139999999994</v>
      </c>
      <c r="M13" s="15">
        <f>-M12 * 'Q3'!$B$2</f>
        <v>-32.703450000000004</v>
      </c>
      <c r="N13" s="15">
        <f>-N12 * 'Q3'!$B$2</f>
        <v>-26.162760000000002</v>
      </c>
      <c r="O13" s="15">
        <f>-O12 * 'Q3'!$B$2</f>
        <v>-19.622069999999997</v>
      </c>
      <c r="P13" s="15">
        <f>-P12 * 'Q3'!$B$2</f>
        <v>-19.622069999999997</v>
      </c>
    </row>
    <row r="14" spans="1:16">
      <c r="A14" t="s">
        <v>35</v>
      </c>
      <c r="B14">
        <f t="shared" ref="B14:G14" si="2">B11 / B8</f>
        <v>858.9</v>
      </c>
      <c r="C14">
        <f t="shared" si="2"/>
        <v>858.9</v>
      </c>
      <c r="D14">
        <f t="shared" si="2"/>
        <v>858.9</v>
      </c>
      <c r="E14">
        <f t="shared" si="2"/>
        <v>858.9</v>
      </c>
      <c r="F14">
        <f t="shared" si="2"/>
        <v>858.9</v>
      </c>
      <c r="G14">
        <f t="shared" si="2"/>
        <v>858.9</v>
      </c>
      <c r="J14" t="s">
        <v>35</v>
      </c>
      <c r="K14">
        <f t="shared" ref="K14:P14" si="3">K11 / K8</f>
        <v>858.9</v>
      </c>
      <c r="L14">
        <f t="shared" si="3"/>
        <v>858.9</v>
      </c>
      <c r="M14">
        <f t="shared" si="3"/>
        <v>858.9</v>
      </c>
      <c r="N14">
        <f t="shared" si="3"/>
        <v>858.9</v>
      </c>
      <c r="O14">
        <f t="shared" si="3"/>
        <v>858.9</v>
      </c>
      <c r="P14">
        <f t="shared" si="3"/>
        <v>858.9</v>
      </c>
    </row>
    <row r="15" spans="1:16">
      <c r="A15" t="s">
        <v>36</v>
      </c>
      <c r="C15">
        <f xml:space="preserve"> - (C14 - B14)</f>
        <v>0</v>
      </c>
      <c r="D15">
        <f xml:space="preserve"> - (D14 - C14)</f>
        <v>0</v>
      </c>
      <c r="E15">
        <f xml:space="preserve"> - (E14 - D14)</f>
        <v>0</v>
      </c>
      <c r="F15">
        <f xml:space="preserve"> - (F14 - E14)</f>
        <v>0</v>
      </c>
      <c r="G15">
        <f xml:space="preserve"> - (G14 - F14)</f>
        <v>0</v>
      </c>
      <c r="J15" t="s">
        <v>36</v>
      </c>
      <c r="L15">
        <f xml:space="preserve"> - (L14 - K14)</f>
        <v>0</v>
      </c>
      <c r="M15">
        <f xml:space="preserve"> - (M14 - L14)</f>
        <v>0</v>
      </c>
      <c r="N15">
        <f xml:space="preserve"> - (N14 - M14)</f>
        <v>0</v>
      </c>
      <c r="O15">
        <f xml:space="preserve"> - (O14 - N14)</f>
        <v>0</v>
      </c>
      <c r="P15">
        <f xml:space="preserve"> - (P14 - O14)</f>
        <v>0</v>
      </c>
    </row>
    <row r="16" spans="1:16">
      <c r="A16" t="s">
        <v>37</v>
      </c>
      <c r="B16" s="13">
        <f t="shared" ref="B16:G16" si="4">B11 / B7</f>
        <v>334.12999999999988</v>
      </c>
      <c r="C16" s="13">
        <f t="shared" si="4"/>
        <v>279.51666666666665</v>
      </c>
      <c r="D16" s="13">
        <f t="shared" si="4"/>
        <v>258.01538461538462</v>
      </c>
      <c r="E16" s="13">
        <f t="shared" si="4"/>
        <v>239.58571428571426</v>
      </c>
      <c r="F16" s="13">
        <f t="shared" si="4"/>
        <v>223.61333333333332</v>
      </c>
      <c r="G16" s="13">
        <f t="shared" si="4"/>
        <v>223.61333333333332</v>
      </c>
      <c r="J16" t="s">
        <v>37</v>
      </c>
      <c r="K16" s="13">
        <f t="shared" ref="K16:P16" si="5">K11 / K7</f>
        <v>334.12999999999988</v>
      </c>
      <c r="L16" s="13">
        <f t="shared" si="5"/>
        <v>279.51666666666665</v>
      </c>
      <c r="M16" s="13">
        <f t="shared" si="5"/>
        <v>258.01538461538462</v>
      </c>
      <c r="N16" s="13">
        <f t="shared" si="5"/>
        <v>239.58571428571426</v>
      </c>
      <c r="O16" s="13">
        <f t="shared" si="5"/>
        <v>223.61333333333332</v>
      </c>
      <c r="P16" s="13">
        <f t="shared" si="5"/>
        <v>223.61333333333332</v>
      </c>
    </row>
    <row r="17" spans="1:16">
      <c r="A17" t="s">
        <v>38</v>
      </c>
      <c r="B17" s="15"/>
      <c r="C17" s="15">
        <f xml:space="preserve"> -(C16 - B16)</f>
        <v>54.61333333333323</v>
      </c>
      <c r="D17" s="15">
        <f xml:space="preserve"> -(D16 - C16)</f>
        <v>21.501282051282033</v>
      </c>
      <c r="E17" s="15">
        <f xml:space="preserve"> -(E16 - D16)</f>
        <v>18.429670329670358</v>
      </c>
      <c r="F17" s="15">
        <f xml:space="preserve"> -(F16 - E16)</f>
        <v>15.972380952380945</v>
      </c>
      <c r="G17" s="15">
        <f xml:space="preserve"> -(G16 - F16)</f>
        <v>0</v>
      </c>
      <c r="J17" t="s">
        <v>38</v>
      </c>
      <c r="K17" s="15"/>
      <c r="L17" s="15">
        <f xml:space="preserve"> -(L16 - K16)</f>
        <v>54.61333333333323</v>
      </c>
      <c r="M17" s="15">
        <f xml:space="preserve"> -(M16 - L16)</f>
        <v>21.501282051282033</v>
      </c>
      <c r="N17" s="15">
        <f xml:space="preserve"> -(N16 - M16)</f>
        <v>18.429670329670358</v>
      </c>
      <c r="O17" s="15">
        <f xml:space="preserve"> -(O16 - N16)</f>
        <v>15.972380952380945</v>
      </c>
      <c r="P17" s="15">
        <f xml:space="preserve"> -(P16 - O16)</f>
        <v>0</v>
      </c>
    </row>
    <row r="18" spans="1:16">
      <c r="A18" t="s">
        <v>39</v>
      </c>
      <c r="C18" s="15">
        <f>C12 +C13 + C15 + C17</f>
        <v>126.22550333333322</v>
      </c>
      <c r="D18" s="15">
        <f>D12 +D13 + D15 + D17</f>
        <v>82.883142051282022</v>
      </c>
      <c r="E18" s="15">
        <f>E12 +E13 + E15 + E17</f>
        <v>69.581220329670359</v>
      </c>
      <c r="F18" s="15">
        <f>F12 +F13 + F15 + F17</f>
        <v>56.893620952380942</v>
      </c>
      <c r="G18" s="15">
        <f>G12 +G13 + G15 + G17</f>
        <v>40.921239999999997</v>
      </c>
      <c r="J18" t="s">
        <v>39</v>
      </c>
      <c r="L18" s="15">
        <f>L12 +L13 + L15 + L17</f>
        <v>115.99519333333322</v>
      </c>
      <c r="M18" s="15">
        <f>M12 +M13 + M15 + M17</f>
        <v>72.652832051282033</v>
      </c>
      <c r="N18" s="15">
        <f>N12 +N13 + N15 + N17</f>
        <v>59.350910329670356</v>
      </c>
      <c r="O18" s="15">
        <f>O12 +O13 + O15 + O17</f>
        <v>46.66331095238094</v>
      </c>
      <c r="P18" s="15">
        <f>P12 +P13 + P15 + P17</f>
        <v>30.690929999999998</v>
      </c>
    </row>
    <row r="19" spans="1:16">
      <c r="A19" t="s">
        <v>40</v>
      </c>
      <c r="D19" s="1">
        <f>(D18 - C18) / C18</f>
        <v>-0.34337245752622392</v>
      </c>
      <c r="E19" s="1">
        <f>(E18 - D18) / D18</f>
        <v>-0.16049007545323762</v>
      </c>
      <c r="F19" s="1">
        <f>(F18 - E18) / E18</f>
        <v>-0.18234229461881477</v>
      </c>
      <c r="G19" s="1">
        <f>(G18 - F18) / F18</f>
        <v>-0.28074115665356536</v>
      </c>
      <c r="J19" t="s">
        <v>40</v>
      </c>
      <c r="M19" s="1">
        <f>(M18 - L18) / L18</f>
        <v>-0.37365652865889926</v>
      </c>
      <c r="N19" s="1">
        <f>(N18 - M18) / M18</f>
        <v>-0.18308882594174045</v>
      </c>
      <c r="O19" s="1">
        <f>(O18 - N18) / N18</f>
        <v>-0.21377261623814903</v>
      </c>
      <c r="P19" s="1">
        <f>(P18 - O18) / O18</f>
        <v>-0.34228991956186877</v>
      </c>
    </row>
    <row r="20" spans="1:16">
      <c r="A20" t="s">
        <v>41</v>
      </c>
      <c r="F20">
        <f>G20 / (1 + 'Q3'!$C$29)</f>
        <v>503.64165069940697</v>
      </c>
      <c r="G20">
        <f>G18 / 'Q3'!$C$29</f>
        <v>541.68867272514535</v>
      </c>
      <c r="J20" t="s">
        <v>41</v>
      </c>
      <c r="O20">
        <f>P20 / (1 + 'Q3'!$C$29)</f>
        <v>377.7312380245553</v>
      </c>
      <c r="P20">
        <f>P18 / 'Q3'!$C$29</f>
        <v>406.26650454385907</v>
      </c>
    </row>
    <row r="23" spans="1:16">
      <c r="A23" t="s">
        <v>48</v>
      </c>
      <c r="C23">
        <v>1</v>
      </c>
      <c r="D23">
        <v>2</v>
      </c>
      <c r="E23">
        <v>3</v>
      </c>
      <c r="F23">
        <v>4</v>
      </c>
      <c r="J23" t="s">
        <v>48</v>
      </c>
      <c r="L23">
        <v>1</v>
      </c>
      <c r="M23">
        <v>2</v>
      </c>
      <c r="N23">
        <v>3</v>
      </c>
      <c r="O23">
        <v>4</v>
      </c>
    </row>
    <row r="24" spans="1:16">
      <c r="A24" t="s">
        <v>49</v>
      </c>
      <c r="C24" s="15">
        <f>C18</f>
        <v>126.22550333333322</v>
      </c>
      <c r="D24" s="15">
        <f>D18</f>
        <v>82.883142051282022</v>
      </c>
      <c r="E24" s="15">
        <f>E18</f>
        <v>69.581220329670359</v>
      </c>
      <c r="F24" s="15">
        <f>F18</f>
        <v>56.893620952380942</v>
      </c>
      <c r="J24" t="s">
        <v>49</v>
      </c>
      <c r="L24" s="15">
        <f>L18</f>
        <v>115.99519333333322</v>
      </c>
      <c r="M24" s="15">
        <f>M18</f>
        <v>72.652832051282033</v>
      </c>
      <c r="N24" s="15">
        <f>N18</f>
        <v>59.350910329670356</v>
      </c>
      <c r="O24" s="15">
        <f>O18</f>
        <v>46.66331095238094</v>
      </c>
    </row>
    <row r="25" spans="1:16">
      <c r="A25" t="s">
        <v>41</v>
      </c>
      <c r="F25">
        <f>F20</f>
        <v>503.64165069940697</v>
      </c>
      <c r="J25" t="s">
        <v>41</v>
      </c>
      <c r="O25">
        <f>O20</f>
        <v>377.7312380245553</v>
      </c>
    </row>
    <row r="26" spans="1:16">
      <c r="A26" t="s">
        <v>50</v>
      </c>
      <c r="C26">
        <f>C24 / (1 + 'Q3'!$C$29)^C23</f>
        <v>117.35970135639202</v>
      </c>
      <c r="D26">
        <f>D24 / (1 + 'Q3'!$C$29)^D23</f>
        <v>71.648973980904728</v>
      </c>
      <c r="E26">
        <f>E24 / (1 + 'Q3'!$C$29)^E23</f>
        <v>55.925219180867479</v>
      </c>
      <c r="F26">
        <f>(F24 + F25) / (1 + 'Q3'!$C$29)^F23</f>
        <v>418.8808285549203</v>
      </c>
      <c r="J26" t="s">
        <v>50</v>
      </c>
      <c r="L26">
        <f>L24 / (1 + 'Q3'!$C$29)^L23</f>
        <v>107.84794584995743</v>
      </c>
      <c r="M26">
        <f>M24 / (1 + 'Q3'!$C$29)^M23</f>
        <v>62.805303279411923</v>
      </c>
      <c r="N26">
        <f>N24 / (1 + 'Q3'!$C$29)^N23</f>
        <v>47.702708475715973</v>
      </c>
      <c r="O26">
        <f>(O24 + O25) / (1 + 'Q3'!$C$29)^O23</f>
        <v>317.14461033967609</v>
      </c>
    </row>
    <row r="27" spans="1:16">
      <c r="A27" t="s">
        <v>51</v>
      </c>
      <c r="B27" s="21">
        <f>SUM(C26:F26) - 'Q2'!$E$5</f>
        <v>428.81472307308456</v>
      </c>
      <c r="J27" t="s">
        <v>51</v>
      </c>
      <c r="K27" s="21">
        <f>SUM(L26:O26) - 'Q2'!$E$5</f>
        <v>300.50056794476143</v>
      </c>
    </row>
    <row r="28" spans="1:16">
      <c r="A28" t="s">
        <v>15</v>
      </c>
      <c r="B28" s="23">
        <f>B27 / 'Q3'!$C$2</f>
        <v>11.190363336980287</v>
      </c>
      <c r="J28" t="s">
        <v>15</v>
      </c>
      <c r="K28" s="23">
        <f>K27 / 'Q3'!$C$2</f>
        <v>7.8418728586837529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wbpark91@gmail.com</cp:lastModifiedBy>
  <dcterms:created xsi:type="dcterms:W3CDTF">2018-02-24T23:18:17Z</dcterms:created>
  <dcterms:modified xsi:type="dcterms:W3CDTF">2018-02-25T23:00:56Z</dcterms:modified>
</cp:coreProperties>
</file>