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baep2\Desktop\"/>
    </mc:Choice>
  </mc:AlternateContent>
  <bookViews>
    <workbookView xWindow="0" yWindow="0" windowWidth="19200" windowHeight="11595" activeTab="6"/>
  </bookViews>
  <sheets>
    <sheet name="WC" sheetId="3" r:id="rId1"/>
    <sheet name="DCF" sheetId="1" r:id="rId2"/>
    <sheet name="Sensitivity Analysis" sheetId="64" r:id="rId3"/>
    <sheet name="Sheet13" sheetId="65" r:id="rId4"/>
    <sheet name="WC(COPY)" sheetId="54" r:id="rId5"/>
    <sheet name="_CIQHiddenCacheSheet" sheetId="74" state="veryHidden" r:id="rId6"/>
    <sheet name="DCF(COPY)" sheetId="55" r:id="rId7"/>
    <sheet name="WACC" sheetId="2" state="hidden" r:id="rId8"/>
  </sheets>
  <definedNames>
    <definedName name="CIQWBGuid" hidden="1">"6354b6c7-42e7-482c-bcd9-381cb33fe96b"</definedName>
    <definedName name="IQ_ADDIN" hidden="1">"AUTO"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"01/01/0001 00:00:00"</definedName>
    <definedName name="IQ_NTM">6000</definedName>
    <definedName name="IQ_OPENED55" hidden="1">1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WACCB10" hidden="1">WACC!$B$11:$B$15</definedName>
    <definedName name="IQRWACCB11" hidden="1">WACC!$B$12:$B$16</definedName>
  </definedNames>
  <calcPr calcId="152511" iterateDelta="9.9999999999994451E-4"/>
</workbook>
</file>

<file path=xl/calcChain.xml><?xml version="1.0" encoding="utf-8"?>
<calcChain xmlns="http://schemas.openxmlformats.org/spreadsheetml/2006/main">
  <c r="E44" i="1" l="1"/>
  <c r="N35" i="64"/>
  <c r="N15" i="64" s="1"/>
  <c r="M35" i="64"/>
  <c r="L35" i="64"/>
  <c r="L15" i="64" s="1"/>
  <c r="K35" i="64"/>
  <c r="K15" i="64" s="1"/>
  <c r="J35" i="64"/>
  <c r="J15" i="64" s="1"/>
  <c r="I35" i="64"/>
  <c r="I15" i="64" s="1"/>
  <c r="H35" i="64"/>
  <c r="H15" i="64" s="1"/>
  <c r="B9" i="65"/>
  <c r="B10" i="65" s="1"/>
  <c r="B11" i="65" s="1"/>
  <c r="B12" i="65" s="1"/>
  <c r="B13" i="65" s="1"/>
  <c r="B7" i="65"/>
  <c r="B6" i="65" s="1"/>
  <c r="B5" i="65" s="1"/>
  <c r="B4" i="65" s="1"/>
  <c r="B3" i="65" s="1"/>
  <c r="M15" i="64"/>
  <c r="H51" i="64"/>
  <c r="H52" i="64" s="1"/>
  <c r="H53" i="64" s="1"/>
  <c r="H49" i="64"/>
  <c r="H48" i="64" s="1"/>
  <c r="H47" i="64" s="1"/>
  <c r="L46" i="64"/>
  <c r="M46" i="64" s="1"/>
  <c r="J46" i="64"/>
  <c r="I46" i="64"/>
  <c r="S25" i="64"/>
  <c r="S21" i="64" s="1"/>
  <c r="S20" i="64" s="1"/>
  <c r="S23" i="64"/>
  <c r="N23" i="64"/>
  <c r="M23" i="64"/>
  <c r="L23" i="64"/>
  <c r="K23" i="64"/>
  <c r="J23" i="64"/>
  <c r="I23" i="64"/>
  <c r="H23" i="64"/>
  <c r="B22" i="64"/>
  <c r="B21" i="64"/>
  <c r="H11" i="64"/>
  <c r="I11" i="64" s="1"/>
  <c r="J11" i="64" s="1"/>
  <c r="K11" i="64" s="1"/>
  <c r="L11" i="64" s="1"/>
  <c r="M11" i="64" s="1"/>
  <c r="N11" i="64" s="1"/>
  <c r="E11" i="64"/>
  <c r="D11" i="64"/>
  <c r="E6" i="64"/>
  <c r="E60" i="64"/>
  <c r="E55" i="64"/>
  <c r="D24" i="64"/>
  <c r="S16" i="64"/>
  <c r="F16" i="64"/>
  <c r="D15" i="64"/>
  <c r="N13" i="64"/>
  <c r="J13" i="64"/>
  <c r="E13" i="64"/>
  <c r="E7" i="64"/>
  <c r="F17" i="64"/>
  <c r="E16" i="64"/>
  <c r="M13" i="64"/>
  <c r="D13" i="64"/>
  <c r="E58" i="64"/>
  <c r="E24" i="64"/>
  <c r="D17" i="64"/>
  <c r="E15" i="64"/>
  <c r="D14" i="64"/>
  <c r="K13" i="64"/>
  <c r="F13" i="64"/>
  <c r="E54" i="64"/>
  <c r="F14" i="64"/>
  <c r="I13" i="64"/>
  <c r="D16" i="64"/>
  <c r="L13" i="64"/>
  <c r="E4" i="64"/>
  <c r="F24" i="64"/>
  <c r="H13" i="64"/>
  <c r="E17" i="64"/>
  <c r="E14" i="64"/>
  <c r="S26" i="64"/>
  <c r="F15" i="64"/>
  <c r="F35" i="64" l="1"/>
  <c r="E34" i="64"/>
  <c r="H33" i="64"/>
  <c r="F37" i="64"/>
  <c r="L33" i="64"/>
  <c r="D36" i="64"/>
  <c r="I33" i="64"/>
  <c r="F34" i="64"/>
  <c r="F33" i="64"/>
  <c r="K33" i="64"/>
  <c r="D34" i="64"/>
  <c r="E35" i="64"/>
  <c r="E37" i="64"/>
  <c r="M33" i="64"/>
  <c r="S12" i="64"/>
  <c r="S30" i="64" s="1"/>
  <c r="E44" i="64" s="1"/>
  <c r="C27" i="64" s="1"/>
  <c r="E36" i="64"/>
  <c r="E33" i="64"/>
  <c r="J33" i="64"/>
  <c r="N33" i="64"/>
  <c r="D35" i="64"/>
  <c r="F36" i="64"/>
  <c r="S18" i="64"/>
  <c r="S28" i="64" s="1"/>
  <c r="D37" i="64"/>
  <c r="H37" i="64" s="1"/>
  <c r="I37" i="64" s="1"/>
  <c r="J37" i="64" s="1"/>
  <c r="K37" i="64" s="1"/>
  <c r="L37" i="64" s="1"/>
  <c r="M37" i="64" s="1"/>
  <c r="N37" i="64" s="1"/>
  <c r="N24" i="64" s="1"/>
  <c r="N15" i="1"/>
  <c r="M15" i="1"/>
  <c r="E9" i="3"/>
  <c r="D8" i="3"/>
  <c r="D9" i="3"/>
  <c r="D10" i="3"/>
  <c r="C8" i="3"/>
  <c r="D7" i="3"/>
  <c r="E7" i="3"/>
  <c r="E10" i="3"/>
  <c r="E8" i="3"/>
  <c r="C9" i="3"/>
  <c r="D6" i="3"/>
  <c r="K35" i="2"/>
  <c r="E6" i="3"/>
  <c r="C7" i="3"/>
  <c r="C6" i="3"/>
  <c r="C10" i="3"/>
  <c r="F24" i="1"/>
  <c r="E24" i="1"/>
  <c r="E7" i="1"/>
  <c r="S26" i="1"/>
  <c r="D24" i="1"/>
  <c r="E54" i="1"/>
  <c r="K29" i="64" l="1"/>
  <c r="N29" i="64"/>
  <c r="E50" i="64" s="1"/>
  <c r="L29" i="64"/>
  <c r="H29" i="64"/>
  <c r="J29" i="64"/>
  <c r="M29" i="64"/>
  <c r="I29" i="64"/>
  <c r="L24" i="64"/>
  <c r="J24" i="64"/>
  <c r="H34" i="64"/>
  <c r="I24" i="64"/>
  <c r="H24" i="64"/>
  <c r="K24" i="64"/>
  <c r="M24" i="64"/>
  <c r="H36" i="64"/>
  <c r="S20" i="1"/>
  <c r="S21" i="1"/>
  <c r="E4" i="1"/>
  <c r="S14" i="1"/>
  <c r="S16" i="1"/>
  <c r="D14" i="1"/>
  <c r="E13" i="1"/>
  <c r="F13" i="1"/>
  <c r="D13" i="1"/>
  <c r="E15" i="1"/>
  <c r="F15" i="1"/>
  <c r="D15" i="1"/>
  <c r="F14" i="1"/>
  <c r="E14" i="1"/>
  <c r="F17" i="1"/>
  <c r="D17" i="1"/>
  <c r="E16" i="1"/>
  <c r="F16" i="1"/>
  <c r="D16" i="1"/>
  <c r="I13" i="1"/>
  <c r="M13" i="1"/>
  <c r="J13" i="1"/>
  <c r="H13" i="1"/>
  <c r="E17" i="1"/>
  <c r="K15" i="1"/>
  <c r="H15" i="1"/>
  <c r="N13" i="1"/>
  <c r="K13" i="1"/>
  <c r="L13" i="1"/>
  <c r="L15" i="1"/>
  <c r="I15" i="1"/>
  <c r="J15" i="1"/>
  <c r="I34" i="64" l="1"/>
  <c r="H14" i="64"/>
  <c r="I36" i="64"/>
  <c r="H16" i="64"/>
  <c r="S18" i="1"/>
  <c r="S28" i="1" s="1"/>
  <c r="S12" i="1"/>
  <c r="D37" i="2"/>
  <c r="D3" i="2"/>
  <c r="D4" i="2"/>
  <c r="N10" i="2"/>
  <c r="N19" i="2" s="1"/>
  <c r="S10" i="2"/>
  <c r="N11" i="2"/>
  <c r="S11" i="2"/>
  <c r="N12" i="2"/>
  <c r="S12" i="2"/>
  <c r="N13" i="2"/>
  <c r="S13" i="2"/>
  <c r="N14" i="2"/>
  <c r="S14" i="2"/>
  <c r="N15" i="2"/>
  <c r="S15" i="2"/>
  <c r="N17" i="2"/>
  <c r="S17" i="2"/>
  <c r="K19" i="2"/>
  <c r="L19" i="2"/>
  <c r="P19" i="2"/>
  <c r="Q19" i="2"/>
  <c r="S19" i="2"/>
  <c r="K20" i="2"/>
  <c r="L20" i="2"/>
  <c r="P20" i="2"/>
  <c r="Q20" i="2"/>
  <c r="S20" i="2"/>
  <c r="K21" i="2"/>
  <c r="L21" i="2"/>
  <c r="P21" i="2"/>
  <c r="Q21" i="2"/>
  <c r="S21" i="2"/>
  <c r="K22" i="2"/>
  <c r="L22" i="2"/>
  <c r="P22" i="2"/>
  <c r="Q22" i="2"/>
  <c r="S22" i="2"/>
  <c r="W25" i="2"/>
  <c r="I26" i="2"/>
  <c r="N35" i="2"/>
  <c r="N36" i="2"/>
  <c r="P37" i="2"/>
  <c r="E6" i="1"/>
  <c r="D11" i="1"/>
  <c r="E11" i="1"/>
  <c r="H11" i="1"/>
  <c r="I11" i="1" s="1"/>
  <c r="J11" i="1" s="1"/>
  <c r="K11" i="1" s="1"/>
  <c r="L11" i="1" s="1"/>
  <c r="M11" i="1" s="1"/>
  <c r="N11" i="1" s="1"/>
  <c r="B21" i="1"/>
  <c r="B22" i="1"/>
  <c r="S23" i="1"/>
  <c r="S25" i="1"/>
  <c r="E33" i="1"/>
  <c r="F33" i="1"/>
  <c r="H33" i="1"/>
  <c r="I33" i="1"/>
  <c r="J33" i="1"/>
  <c r="K33" i="1"/>
  <c r="L33" i="1"/>
  <c r="M33" i="1"/>
  <c r="N33" i="1"/>
  <c r="D34" i="1"/>
  <c r="E34" i="1"/>
  <c r="F34" i="1"/>
  <c r="D35" i="1"/>
  <c r="E35" i="1"/>
  <c r="F35" i="1"/>
  <c r="H35" i="1"/>
  <c r="I35" i="1"/>
  <c r="J35" i="1"/>
  <c r="K35" i="1"/>
  <c r="L35" i="1"/>
  <c r="M35" i="1"/>
  <c r="N35" i="1"/>
  <c r="D36" i="1"/>
  <c r="E36" i="1"/>
  <c r="F36" i="1"/>
  <c r="J46" i="1"/>
  <c r="I46" i="1" s="1"/>
  <c r="L46" i="1"/>
  <c r="M46" i="1" s="1"/>
  <c r="H49" i="1"/>
  <c r="H48" i="1" s="1"/>
  <c r="H47" i="1" s="1"/>
  <c r="H51" i="1"/>
  <c r="H52" i="1" s="1"/>
  <c r="H53" i="1" s="1"/>
  <c r="C2" i="3"/>
  <c r="C5" i="3"/>
  <c r="D5" i="3"/>
  <c r="E5" i="3"/>
  <c r="G5" i="3"/>
  <c r="H5" i="3"/>
  <c r="I5" i="3"/>
  <c r="J5" i="3"/>
  <c r="K5" i="3"/>
  <c r="L5" i="3"/>
  <c r="M5" i="3"/>
  <c r="D35" i="2"/>
  <c r="D36" i="2"/>
  <c r="N29" i="2"/>
  <c r="B15" i="2"/>
  <c r="B10" i="2"/>
  <c r="B13" i="2"/>
  <c r="B14" i="2"/>
  <c r="B12" i="2"/>
  <c r="B11" i="2"/>
  <c r="C3" i="3"/>
  <c r="K36" i="2"/>
  <c r="E58" i="1"/>
  <c r="E60" i="1"/>
  <c r="I15" i="2"/>
  <c r="G15" i="2"/>
  <c r="D15" i="2"/>
  <c r="D10" i="2"/>
  <c r="G10" i="2"/>
  <c r="I10" i="2"/>
  <c r="I13" i="2"/>
  <c r="D13" i="2"/>
  <c r="G13" i="2"/>
  <c r="I14" i="2"/>
  <c r="D14" i="2"/>
  <c r="G14" i="2"/>
  <c r="G12" i="2"/>
  <c r="D12" i="2"/>
  <c r="I12" i="2"/>
  <c r="I11" i="2"/>
  <c r="G11" i="2"/>
  <c r="D11" i="2"/>
  <c r="E55" i="1"/>
  <c r="H22" i="64" l="1"/>
  <c r="H17" i="64"/>
  <c r="J36" i="64"/>
  <c r="I16" i="64"/>
  <c r="J34" i="64"/>
  <c r="I14" i="64"/>
  <c r="S30" i="1"/>
  <c r="H36" i="1"/>
  <c r="H34" i="1"/>
  <c r="B17" i="2"/>
  <c r="F37" i="1"/>
  <c r="E37" i="1"/>
  <c r="D37" i="1"/>
  <c r="G19" i="2"/>
  <c r="G20" i="2"/>
  <c r="G21" i="2"/>
  <c r="G22" i="2"/>
  <c r="I22" i="2"/>
  <c r="I20" i="2"/>
  <c r="I21" i="2"/>
  <c r="I19" i="2"/>
  <c r="E19" i="3"/>
  <c r="E18" i="3"/>
  <c r="E16" i="3"/>
  <c r="E17" i="3"/>
  <c r="E15" i="3"/>
  <c r="E12" i="3"/>
  <c r="C18" i="3"/>
  <c r="C19" i="3"/>
  <c r="C17" i="3"/>
  <c r="C12" i="3"/>
  <c r="C15" i="3"/>
  <c r="C16" i="3"/>
  <c r="D27" i="2"/>
  <c r="S26" i="2" s="1"/>
  <c r="D18" i="3"/>
  <c r="D19" i="3"/>
  <c r="D16" i="3"/>
  <c r="D17" i="3"/>
  <c r="D12" i="3"/>
  <c r="D15" i="3"/>
  <c r="N27" i="2"/>
  <c r="K37" i="2"/>
  <c r="L35" i="2" s="1"/>
  <c r="N22" i="2"/>
  <c r="N21" i="2"/>
  <c r="N20" i="2"/>
  <c r="I17" i="2"/>
  <c r="G17" i="2"/>
  <c r="D17" i="2"/>
  <c r="K36" i="64" l="1"/>
  <c r="J16" i="64"/>
  <c r="I22" i="64"/>
  <c r="I17" i="64"/>
  <c r="H18" i="64"/>
  <c r="H19" i="64" s="1"/>
  <c r="H21" i="64" s="1"/>
  <c r="H25" i="64" s="1"/>
  <c r="H30" i="64" s="1"/>
  <c r="K34" i="64"/>
  <c r="J14" i="64"/>
  <c r="C27" i="1"/>
  <c r="H37" i="1"/>
  <c r="I34" i="1"/>
  <c r="H14" i="1"/>
  <c r="I36" i="1"/>
  <c r="H16" i="1"/>
  <c r="G15" i="3"/>
  <c r="G6" i="3" s="1"/>
  <c r="I15" i="3"/>
  <c r="I6" i="3" s="1"/>
  <c r="K15" i="3"/>
  <c r="K6" i="3" s="1"/>
  <c r="M15" i="3"/>
  <c r="M6" i="3" s="1"/>
  <c r="H15" i="3"/>
  <c r="H6" i="3" s="1"/>
  <c r="J15" i="3"/>
  <c r="J6" i="3" s="1"/>
  <c r="L15" i="3"/>
  <c r="L6" i="3" s="1"/>
  <c r="L36" i="2"/>
  <c r="L37" i="2" s="1"/>
  <c r="I19" i="3"/>
  <c r="M19" i="3"/>
  <c r="L19" i="3"/>
  <c r="H19" i="3"/>
  <c r="G19" i="3"/>
  <c r="K19" i="3"/>
  <c r="J19" i="3"/>
  <c r="H16" i="3"/>
  <c r="J16" i="3"/>
  <c r="L16" i="3"/>
  <c r="G16" i="3"/>
  <c r="G7" i="3" s="1"/>
  <c r="I16" i="3"/>
  <c r="K16" i="3"/>
  <c r="M16" i="3"/>
  <c r="H17" i="3"/>
  <c r="J17" i="3"/>
  <c r="I17" i="3"/>
  <c r="G17" i="3"/>
  <c r="G8" i="3" s="1"/>
  <c r="K17" i="3"/>
  <c r="L17" i="3"/>
  <c r="M17" i="3"/>
  <c r="G18" i="3"/>
  <c r="G9" i="3" s="1"/>
  <c r="I18" i="3"/>
  <c r="K18" i="3"/>
  <c r="M18" i="3"/>
  <c r="H18" i="3"/>
  <c r="J18" i="3"/>
  <c r="L18" i="3"/>
  <c r="L36" i="64" l="1"/>
  <c r="K16" i="64"/>
  <c r="I18" i="64"/>
  <c r="I19" i="64" s="1"/>
  <c r="I21" i="64" s="1"/>
  <c r="I25" i="64" s="1"/>
  <c r="I30" i="64" s="1"/>
  <c r="L34" i="64"/>
  <c r="K14" i="64"/>
  <c r="J22" i="64"/>
  <c r="J17" i="64"/>
  <c r="K29" i="1"/>
  <c r="N29" i="1"/>
  <c r="E50" i="1" s="1"/>
  <c r="H29" i="1"/>
  <c r="L29" i="1"/>
  <c r="I29" i="1"/>
  <c r="J29" i="1"/>
  <c r="M29" i="1"/>
  <c r="I37" i="1"/>
  <c r="H24" i="1"/>
  <c r="H22" i="1"/>
  <c r="H17" i="1"/>
  <c r="J36" i="1"/>
  <c r="I16" i="1"/>
  <c r="G10" i="3"/>
  <c r="G12" i="3" s="1"/>
  <c r="G13" i="3" s="1"/>
  <c r="H23" i="1" s="1"/>
  <c r="J34" i="1"/>
  <c r="I14" i="1"/>
  <c r="H8" i="3" s="1"/>
  <c r="K22" i="64" l="1"/>
  <c r="K17" i="64"/>
  <c r="M36" i="64"/>
  <c r="L16" i="64"/>
  <c r="J18" i="64"/>
  <c r="J19" i="64" s="1"/>
  <c r="J21" i="64" s="1"/>
  <c r="J25" i="64" s="1"/>
  <c r="J30" i="64" s="1"/>
  <c r="M34" i="64"/>
  <c r="L14" i="64"/>
  <c r="H18" i="1"/>
  <c r="H19" i="1" s="1"/>
  <c r="H21" i="1" s="1"/>
  <c r="H25" i="1" s="1"/>
  <c r="H30" i="1" s="1"/>
  <c r="J37" i="1"/>
  <c r="I24" i="1"/>
  <c r="K36" i="1"/>
  <c r="J16" i="1"/>
  <c r="H10" i="3"/>
  <c r="K34" i="1"/>
  <c r="J14" i="1"/>
  <c r="H9" i="3"/>
  <c r="H7" i="3"/>
  <c r="I22" i="1"/>
  <c r="I17" i="1"/>
  <c r="L22" i="64" l="1"/>
  <c r="L17" i="64"/>
  <c r="N34" i="64"/>
  <c r="N14" i="64" s="1"/>
  <c r="M14" i="64"/>
  <c r="N36" i="64"/>
  <c r="N16" i="64" s="1"/>
  <c r="M16" i="64"/>
  <c r="K18" i="64"/>
  <c r="K19" i="64" s="1"/>
  <c r="K21" i="64" s="1"/>
  <c r="K25" i="64" s="1"/>
  <c r="K30" i="64" s="1"/>
  <c r="H12" i="3"/>
  <c r="H13" i="3" s="1"/>
  <c r="I23" i="1" s="1"/>
  <c r="I18" i="1"/>
  <c r="I19" i="1" s="1"/>
  <c r="I21" i="1" s="1"/>
  <c r="K37" i="1"/>
  <c r="J24" i="1"/>
  <c r="L34" i="1"/>
  <c r="K14" i="1"/>
  <c r="J17" i="1"/>
  <c r="J22" i="1"/>
  <c r="I7" i="3"/>
  <c r="I8" i="3"/>
  <c r="I10" i="3"/>
  <c r="I9" i="3"/>
  <c r="L36" i="1"/>
  <c r="K16" i="1"/>
  <c r="M22" i="64" l="1"/>
  <c r="M17" i="64"/>
  <c r="L18" i="64"/>
  <c r="L19" i="64" s="1"/>
  <c r="L21" i="64" s="1"/>
  <c r="L25" i="64" s="1"/>
  <c r="L30" i="64" s="1"/>
  <c r="N22" i="64"/>
  <c r="N17" i="64"/>
  <c r="I25" i="1"/>
  <c r="I30" i="1" s="1"/>
  <c r="J18" i="1"/>
  <c r="J19" i="1" s="1"/>
  <c r="J21" i="1" s="1"/>
  <c r="L37" i="1"/>
  <c r="K24" i="1"/>
  <c r="K17" i="1"/>
  <c r="K22" i="1"/>
  <c r="J9" i="3"/>
  <c r="J10" i="3"/>
  <c r="J7" i="3"/>
  <c r="J8" i="3"/>
  <c r="M36" i="1"/>
  <c r="L16" i="1"/>
  <c r="I12" i="3"/>
  <c r="I13" i="3" s="1"/>
  <c r="J23" i="1" s="1"/>
  <c r="M34" i="1"/>
  <c r="L14" i="1"/>
  <c r="N18" i="64" l="1"/>
  <c r="N19" i="64" s="1"/>
  <c r="N21" i="64" s="1"/>
  <c r="N25" i="64" s="1"/>
  <c r="M18" i="64"/>
  <c r="M19" i="64" s="1"/>
  <c r="M21" i="64" s="1"/>
  <c r="M25" i="64" s="1"/>
  <c r="M30" i="64" s="1"/>
  <c r="J12" i="3"/>
  <c r="J25" i="1"/>
  <c r="J30" i="1" s="1"/>
  <c r="K18" i="1"/>
  <c r="K19" i="1" s="1"/>
  <c r="K21" i="1" s="1"/>
  <c r="M37" i="1"/>
  <c r="L24" i="1"/>
  <c r="J13" i="3"/>
  <c r="K23" i="1" s="1"/>
  <c r="L17" i="1"/>
  <c r="L22" i="1"/>
  <c r="K10" i="3"/>
  <c r="K9" i="3"/>
  <c r="K7" i="3"/>
  <c r="K8" i="3"/>
  <c r="N36" i="1"/>
  <c r="N16" i="1" s="1"/>
  <c r="M16" i="1"/>
  <c r="N34" i="1"/>
  <c r="N14" i="1" s="1"/>
  <c r="M14" i="1"/>
  <c r="N30" i="64" l="1"/>
  <c r="D30" i="64" s="1"/>
  <c r="E48" i="64"/>
  <c r="E49" i="64" s="1"/>
  <c r="E51" i="64" s="1"/>
  <c r="K25" i="1"/>
  <c r="K30" i="1" s="1"/>
  <c r="N37" i="1"/>
  <c r="N24" i="1" s="1"/>
  <c r="M24" i="1"/>
  <c r="L18" i="1"/>
  <c r="L19" i="1"/>
  <c r="L21" i="1" s="1"/>
  <c r="N17" i="1"/>
  <c r="N22" i="1"/>
  <c r="L9" i="3"/>
  <c r="L8" i="3"/>
  <c r="L10" i="3"/>
  <c r="L7" i="3"/>
  <c r="M10" i="3"/>
  <c r="M7" i="3"/>
  <c r="M9" i="3"/>
  <c r="M8" i="3"/>
  <c r="K12" i="3"/>
  <c r="K13" i="3" s="1"/>
  <c r="L23" i="1" s="1"/>
  <c r="M22" i="1"/>
  <c r="M17" i="1"/>
  <c r="E53" i="64" l="1"/>
  <c r="E56" i="64" s="1"/>
  <c r="E59" i="64" s="1"/>
  <c r="H46" i="64" s="1"/>
  <c r="L25" i="1"/>
  <c r="L30" i="1" s="1"/>
  <c r="M18" i="1"/>
  <c r="M19" i="1" s="1"/>
  <c r="M21" i="1" s="1"/>
  <c r="N18" i="1"/>
  <c r="N19" i="1" s="1"/>
  <c r="N21" i="1" s="1"/>
  <c r="M12" i="3"/>
  <c r="L12" i="3"/>
  <c r="L13" i="3" s="1"/>
  <c r="M23" i="1" s="1"/>
  <c r="M25" i="1" l="1"/>
  <c r="M30" i="1" s="1"/>
  <c r="M13" i="3"/>
  <c r="N23" i="1" s="1"/>
  <c r="N25" i="1" s="1"/>
  <c r="E48" i="1" s="1"/>
  <c r="E49" i="1" l="1"/>
  <c r="E51" i="1" s="1"/>
  <c r="N30" i="1"/>
  <c r="D30" i="1" s="1"/>
  <c r="E53" i="1" l="1"/>
  <c r="E56" i="1" s="1"/>
  <c r="E59" i="1" s="1"/>
  <c r="H46" i="1" s="1"/>
</calcChain>
</file>

<file path=xl/comments1.xml><?xml version="1.0" encoding="utf-8"?>
<comments xmlns="http://schemas.openxmlformats.org/spreadsheetml/2006/main">
  <authors>
    <author>mil44</author>
  </authors>
  <commentList>
    <comment ref="S13" authorId="0" shapeId="0">
      <text>
        <r>
          <rPr>
            <b/>
            <sz val="9"/>
            <color indexed="81"/>
            <rFont val="Tahoma"/>
            <family val="2"/>
          </rPr>
          <t xml:space="preserve">SE: </t>
        </r>
        <r>
          <rPr>
            <sz val="9"/>
            <color indexed="81"/>
            <rFont val="Tahoma"/>
            <family val="2"/>
          </rPr>
          <t>Use 10 or 30yr Treasury notes for risk free rate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SE:</t>
        </r>
        <r>
          <rPr>
            <sz val="9"/>
            <color indexed="81"/>
            <rFont val="Tahoma"/>
            <family val="2"/>
          </rPr>
          <t xml:space="preserve"> Debt Beta depends on Bond Rating; see SEC Filings, Bloomberg, or Rating's Agencies for Bond Ratings</t>
        </r>
      </text>
    </comment>
    <comment ref="E46" authorId="0" shapeId="0">
      <text>
        <r>
          <rPr>
            <b/>
            <sz val="9"/>
            <color indexed="81"/>
            <rFont val="Tahoma"/>
            <family val="2"/>
          </rPr>
          <t>SE:</t>
        </r>
        <r>
          <rPr>
            <sz val="9"/>
            <color indexed="81"/>
            <rFont val="Tahoma"/>
            <family val="2"/>
          </rPr>
          <t xml:space="preserve"> Enter an appropriate terminal growth rate based on long-term economic growth metrics</t>
        </r>
      </text>
    </comment>
  </commentList>
</comments>
</file>

<file path=xl/comments2.xml><?xml version="1.0" encoding="utf-8"?>
<comments xmlns="http://schemas.openxmlformats.org/spreadsheetml/2006/main">
  <authors>
    <author>mil44</author>
  </authors>
  <commentList>
    <comment ref="S13" authorId="0" shapeId="0">
      <text>
        <r>
          <rPr>
            <b/>
            <sz val="9"/>
            <color indexed="81"/>
            <rFont val="Tahoma"/>
            <family val="2"/>
          </rPr>
          <t xml:space="preserve">SE: </t>
        </r>
        <r>
          <rPr>
            <sz val="9"/>
            <color indexed="81"/>
            <rFont val="Tahoma"/>
            <family val="2"/>
          </rPr>
          <t>Use 10 or 30yr Treasury notes for risk free rate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SE:</t>
        </r>
        <r>
          <rPr>
            <sz val="9"/>
            <color indexed="81"/>
            <rFont val="Tahoma"/>
            <family val="2"/>
          </rPr>
          <t xml:space="preserve"> Debt Beta depends on Bond Rating; see SEC Filings, Bloomberg, or Rating's Agencies for Bond Ratings</t>
        </r>
      </text>
    </comment>
    <comment ref="E46" authorId="0" shapeId="0">
      <text>
        <r>
          <rPr>
            <b/>
            <sz val="9"/>
            <color indexed="81"/>
            <rFont val="Tahoma"/>
            <family val="2"/>
          </rPr>
          <t>SE:</t>
        </r>
        <r>
          <rPr>
            <sz val="9"/>
            <color indexed="81"/>
            <rFont val="Tahoma"/>
            <family val="2"/>
          </rPr>
          <t xml:space="preserve"> Enter an appropriate terminal growth rate based on long-term economic growth metrics</t>
        </r>
      </text>
    </comment>
  </commentList>
</comments>
</file>

<file path=xl/comments3.xml><?xml version="1.0" encoding="utf-8"?>
<comments xmlns="http://schemas.openxmlformats.org/spreadsheetml/2006/main">
  <authors>
    <author>mil44</author>
  </authors>
  <commentList>
    <comment ref="S13" authorId="0" shapeId="0">
      <text>
        <r>
          <rPr>
            <b/>
            <sz val="9"/>
            <color indexed="81"/>
            <rFont val="Tahoma"/>
            <family val="2"/>
          </rPr>
          <t xml:space="preserve">SE: </t>
        </r>
        <r>
          <rPr>
            <sz val="9"/>
            <color indexed="81"/>
            <rFont val="Tahoma"/>
            <family val="2"/>
          </rPr>
          <t>Use 10 or 30yr Treasury notes for risk free rate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SE:</t>
        </r>
        <r>
          <rPr>
            <sz val="9"/>
            <color indexed="81"/>
            <rFont val="Tahoma"/>
            <family val="2"/>
          </rPr>
          <t xml:space="preserve"> Debt Beta depends on Bond Rating; see SEC Filings, Bloomberg, or Rating's Agencies for Bond Ratings</t>
        </r>
      </text>
    </comment>
    <comment ref="E46" authorId="0" shapeId="0">
      <text>
        <r>
          <rPr>
            <b/>
            <sz val="9"/>
            <color indexed="81"/>
            <rFont val="Tahoma"/>
            <family val="2"/>
          </rPr>
          <t>SE:</t>
        </r>
        <r>
          <rPr>
            <sz val="9"/>
            <color indexed="81"/>
            <rFont val="Tahoma"/>
            <family val="2"/>
          </rPr>
          <t xml:space="preserve"> Enter an appropriate terminal growth rate based on long-term economic growth metrics</t>
        </r>
      </text>
    </comment>
  </commentList>
</comments>
</file>

<file path=xl/comments4.xml><?xml version="1.0" encoding="utf-8"?>
<comments xmlns="http://schemas.openxmlformats.org/spreadsheetml/2006/main">
  <authors>
    <author>T43-USER</author>
  </authors>
  <commentList>
    <comment ref="D28" authorId="0" shapeId="0">
      <text>
        <r>
          <rPr>
            <b/>
            <sz val="8"/>
            <color indexed="81"/>
            <rFont val="Tahoma"/>
            <family val="2"/>
          </rPr>
          <t>T43-USER:</t>
        </r>
        <r>
          <rPr>
            <sz val="8"/>
            <color indexed="81"/>
            <rFont val="Tahoma"/>
            <family val="2"/>
          </rPr>
          <t xml:space="preserve">
Find up-to-date credit spread information from Moody's KMV CreditEdge product.</t>
        </r>
      </text>
    </comment>
    <comment ref="N28" authorId="0" shapeId="0">
      <text>
        <r>
          <rPr>
            <b/>
            <sz val="8"/>
            <color indexed="81"/>
            <rFont val="Tahoma"/>
            <family val="2"/>
          </rPr>
          <t>T43-USER:</t>
        </r>
        <r>
          <rPr>
            <sz val="8"/>
            <color indexed="81"/>
            <rFont val="Tahoma"/>
            <family val="2"/>
          </rPr>
          <t xml:space="preserve">
Use formula builder to find beta or take the mean or median from the comparable companies.</t>
        </r>
      </text>
    </comment>
    <comment ref="S28" authorId="0" shapeId="0">
      <text>
        <r>
          <rPr>
            <b/>
            <sz val="8"/>
            <color indexed="81"/>
            <rFont val="Tahoma"/>
            <family val="2"/>
          </rPr>
          <t>T43-USER:</t>
        </r>
        <r>
          <rPr>
            <sz val="8"/>
            <color indexed="81"/>
            <rFont val="Tahoma"/>
            <family val="2"/>
          </rPr>
          <t xml:space="preserve">
Find information on up-to-date market risk premium on Bloomberg.</t>
        </r>
      </text>
    </comment>
  </commentList>
</comments>
</file>

<file path=xl/sharedStrings.xml><?xml version="1.0" encoding="utf-8"?>
<sst xmlns="http://schemas.openxmlformats.org/spreadsheetml/2006/main" count="396" uniqueCount="167">
  <si>
    <t>Capital IQ Plug-In DCF Creation</t>
  </si>
  <si>
    <t>Company Ticker Symbol</t>
  </si>
  <si>
    <t>Company Name</t>
  </si>
  <si>
    <t>EBITDA</t>
  </si>
  <si>
    <t>Gross Profit</t>
  </si>
  <si>
    <t>Historical Financials</t>
  </si>
  <si>
    <t>Expected Cash Flows</t>
  </si>
  <si>
    <t>Expected Tax Rate</t>
  </si>
  <si>
    <t>Operating Income</t>
  </si>
  <si>
    <t>Taxes</t>
  </si>
  <si>
    <t>Capital Expenditures</t>
  </si>
  <si>
    <t>Unlevered Free Cash Flow</t>
  </si>
  <si>
    <t>WACC</t>
  </si>
  <si>
    <t>Present Value of CF's</t>
  </si>
  <si>
    <t>Sales Growth</t>
  </si>
  <si>
    <t>Gross Margin %</t>
  </si>
  <si>
    <t>EBITDA Margin %</t>
  </si>
  <si>
    <t>Depreciation Margin %</t>
  </si>
  <si>
    <t>Exit Multiple</t>
  </si>
  <si>
    <t>Terminal Value</t>
  </si>
  <si>
    <t>Enterprise Value</t>
  </si>
  <si>
    <t>Less: Total Debt</t>
  </si>
  <si>
    <t>Plus: Cash</t>
  </si>
  <si>
    <t>Equity Value</t>
  </si>
  <si>
    <t>Total Shares Outstanding</t>
  </si>
  <si>
    <t>Intrinsic Value/Share</t>
  </si>
  <si>
    <t>Sensitivity Analysis</t>
  </si>
  <si>
    <t>Current Date</t>
  </si>
  <si>
    <t>Capital Structure</t>
  </si>
  <si>
    <t>Date</t>
  </si>
  <si>
    <t>Company</t>
  </si>
  <si>
    <t>1 Year</t>
  </si>
  <si>
    <t>2 Year</t>
  </si>
  <si>
    <t>Levered Beta</t>
  </si>
  <si>
    <t>Ticker</t>
  </si>
  <si>
    <t>Total Debt</t>
  </si>
  <si>
    <t>Market Cap</t>
  </si>
  <si>
    <t>(mil's $)</t>
  </si>
  <si>
    <t>Unlevered Beta</t>
  </si>
  <si>
    <t>Average</t>
  </si>
  <si>
    <t>Median</t>
  </si>
  <si>
    <t>Mean</t>
  </si>
  <si>
    <t>High</t>
  </si>
  <si>
    <t>Low</t>
  </si>
  <si>
    <t>Capital IQ Plug-In WACC Creation</t>
  </si>
  <si>
    <t>Risk Free Rate</t>
  </si>
  <si>
    <t>Tax Rate</t>
  </si>
  <si>
    <t>Credit Spread</t>
  </si>
  <si>
    <t>Cost of Debt</t>
  </si>
  <si>
    <t>Pre-Tax Cost</t>
  </si>
  <si>
    <t>Debt to Equity</t>
  </si>
  <si>
    <t>Risk Premium</t>
  </si>
  <si>
    <t>Cost of Equity</t>
  </si>
  <si>
    <t>Market Capitalizaiton</t>
  </si>
  <si>
    <t>Cost</t>
  </si>
  <si>
    <t>Weighted</t>
  </si>
  <si>
    <t>(Mil's $)</t>
  </si>
  <si>
    <t xml:space="preserve">Debt / </t>
  </si>
  <si>
    <t>Terminal Value Calculation</t>
  </si>
  <si>
    <t>Depreciation/Amortization</t>
  </si>
  <si>
    <t>Unlevered Beta Calculation - Comparable Company Analysis</t>
  </si>
  <si>
    <t>Cost of Debt Calculation</t>
  </si>
  <si>
    <t>Cost of Equity Calculation</t>
  </si>
  <si>
    <t>Weighted Average Cost of Capital</t>
  </si>
  <si>
    <t>Structure</t>
  </si>
  <si>
    <t>CapEx Margin %</t>
  </si>
  <si>
    <t>Market Value/Share</t>
  </si>
  <si>
    <t>Accounts Receivable</t>
  </si>
  <si>
    <t>Inventory</t>
  </si>
  <si>
    <t>Accounts Payable</t>
  </si>
  <si>
    <t>Prepaid Expenses</t>
  </si>
  <si>
    <t>Accrued Expenses</t>
  </si>
  <si>
    <t>Days in AR</t>
  </si>
  <si>
    <t>Days in Inventory</t>
  </si>
  <si>
    <t>Prepaid Days</t>
  </si>
  <si>
    <t>Days in AP</t>
  </si>
  <si>
    <t>Days in Accruals</t>
  </si>
  <si>
    <t>Working Capital</t>
  </si>
  <si>
    <t>Change to Net Working Capital</t>
  </si>
  <si>
    <t>Tax Affected EBIT</t>
  </si>
  <si>
    <t>Discount Rate</t>
  </si>
  <si>
    <t>Yield</t>
  </si>
  <si>
    <t>%UST10Y</t>
  </si>
  <si>
    <t>%UST05Y</t>
  </si>
  <si>
    <t>%UST30Y</t>
  </si>
  <si>
    <t>T-Bond</t>
  </si>
  <si>
    <t>Relevant Treasuries</t>
  </si>
  <si>
    <t>Treasury Type</t>
  </si>
  <si>
    <t>Step for:</t>
  </si>
  <si>
    <t>Multiple</t>
  </si>
  <si>
    <t>CompSet Beta</t>
  </si>
  <si>
    <t>Beta Used</t>
  </si>
  <si>
    <t>Terminal Year</t>
  </si>
  <si>
    <t>Revenues</t>
  </si>
  <si>
    <t>Most Recent Fiscal Year End</t>
  </si>
  <si>
    <t>Take The Mean Or Median Compset Beta (Whichever Is Higher)</t>
  </si>
  <si>
    <t>Given The Cost And Structure, Calculate The Cost Of Debt And Equity</t>
  </si>
  <si>
    <t>WACC Instructions</t>
  </si>
  <si>
    <t>Using CAPM Determine The Cost Of Equity</t>
  </si>
  <si>
    <t>Enter Capital Structure Data Using Capital IQ Plug-In</t>
  </si>
  <si>
    <t>Calculate Unlevered Beta For Year 1 &amp; 2 Using Un-Levering Formula</t>
  </si>
  <si>
    <t>Re-Lever Compset Beta With Desired D/E Ratio</t>
  </si>
  <si>
    <t xml:space="preserve">Take The Newly Levered Beta Or Published 5 Year Beta (Whichever Is Higher) </t>
  </si>
  <si>
    <t>Jump Back To DCF Sheet</t>
  </si>
  <si>
    <t>Discount Factor</t>
  </si>
  <si>
    <t>PV of Terminal Value</t>
  </si>
  <si>
    <t>5 Year Beta</t>
  </si>
  <si>
    <t>Risk-free Rate</t>
  </si>
  <si>
    <t>FY2015</t>
  </si>
  <si>
    <t>FY2016</t>
  </si>
  <si>
    <t>FY2017</t>
  </si>
  <si>
    <t>FY2018</t>
  </si>
  <si>
    <t>FY2019</t>
  </si>
  <si>
    <t>∆ in Working Capital</t>
  </si>
  <si>
    <r>
      <t xml:space="preserve">Uses formula [Final Year EBITDA * Multiple] / (1 + WACC) </t>
    </r>
    <r>
      <rPr>
        <vertAlign val="superscript"/>
        <sz val="10"/>
        <rFont val="Arial"/>
        <family val="2"/>
      </rPr>
      <t>t</t>
    </r>
  </si>
  <si>
    <t>FY2020</t>
  </si>
  <si>
    <t>FY2021</t>
  </si>
  <si>
    <t>FY2022</t>
  </si>
  <si>
    <t>WACC Calculation</t>
  </si>
  <si>
    <t>5-Year Beta</t>
  </si>
  <si>
    <t>Market Risk Premium</t>
  </si>
  <si>
    <t>Proportion of Equity Financing</t>
  </si>
  <si>
    <t>Debt Beta</t>
  </si>
  <si>
    <t>Proportion of Debt Financing</t>
  </si>
  <si>
    <t>Market Capitalization</t>
  </si>
  <si>
    <t>Bond Rating</t>
  </si>
  <si>
    <t>Terminal Growth Rate</t>
  </si>
  <si>
    <t>Pre-Tax Cost of Debt</t>
  </si>
  <si>
    <t>After Tax Cost of Debt</t>
  </si>
  <si>
    <t>Terminal Year FCF</t>
  </si>
  <si>
    <t>FY2023</t>
  </si>
  <si>
    <t>$ in millions</t>
  </si>
  <si>
    <t>DCF Instructions</t>
  </si>
  <si>
    <t xml:space="preserve">Enter Historical Financial Data Using CIQ Plug-In </t>
  </si>
  <si>
    <t>Historical Margins Will Update Automatically. We Will Be Using Historic Margin Data For FCF Calculation</t>
  </si>
  <si>
    <t xml:space="preserve">Enter Projected Capital IQ Consensus Financial Estimates For Revenue And EBITDA; forecast values if not available from CIQ. </t>
  </si>
  <si>
    <t>Calculate Average Margin For Previous Three Years. Use Average Rate For FCF Calculation Over The Projection Period</t>
  </si>
  <si>
    <t>Apply Calculated Average Margin Against Revenue</t>
  </si>
  <si>
    <t>Calculate Company Taxes Based On Expected Tax Rate (E5)</t>
  </si>
  <si>
    <t>Sum/Discount Components Of FCF</t>
  </si>
  <si>
    <t>Jump To WACC Sheet</t>
  </si>
  <si>
    <t>Use Terminal Multiple Against Terminal Year EBITDA To Calculate Terminal Value</t>
  </si>
  <si>
    <t xml:space="preserve">Derive The Enterprise Value </t>
  </si>
  <si>
    <t>Construct A Sensitivity Analysis Using Excel's Data Table Function</t>
  </si>
  <si>
    <t>PEP</t>
  </si>
  <si>
    <t>FY2024</t>
  </si>
  <si>
    <t>A+</t>
  </si>
  <si>
    <t>PepsiCo, Inc.</t>
  </si>
  <si>
    <t>Uses formula [Final Year EBITDA * Multiple] / (1 + WACC) t</t>
  </si>
  <si>
    <t>EBITDA MARGIN</t>
  </si>
  <si>
    <t>PRICE</t>
  </si>
  <si>
    <t>EQUITY BETA</t>
  </si>
  <si>
    <t>AwABTAVMT0NBTAFI/////wFQOQAAABlDSVEuUEVQLklRX0FQLjIwMDAuRlkyMDE3AQAAAFaAAAACAAAABDY3MjcBCAAAAAUAAAABMQEAAAAKMTg3NDA5NDEyNgMAAAADMTYwAgAAAAQxMDE4BAAAAAEwBwAAAAkzLzI3LzIwMTgIAAAACjEyLzMwLzIwMTcJAAAAATCpcHLy8ZPVCMkK0uHyk9UIIENJUS5QRVAuSVFfRUJJVERBX0VTVF9DSVEuRlkyMDE4AQAAAFaAAAACAAAACzEzNjI2LjczMTE0AQ4AAAAFAAAAATMBAAAAATACAAAACjEwMDAxMjExMTQDAAAABjEwMDE4NwQAAAABMgYAAAABMAcAAAADMTYwCAAAAAEwCQAAAAExCgAAAAEwCwAAAAsxMDc5NjYwODgxMgwAAAABMQ0AAAAJMy8yOC8yMDE4EAAAAAkzLzI3LzIwMTgZ+KHo8pPVCDk+cZ7zk9UIFENJUS5QRVAuSVFfR1AuRlkyMDE1AQAAAFaAAAACAAAABTM0MzI1AQgAAAAFAAAAATEBAAAACjE4NzQwOTI4ODYDAAAAAzE2MAIAAAACMTAEAAAAATAHAAAACTMvMjcvMjAxOAgAAAAKMTIvMjYvMjAxNQkAAAABMBn4oejyk9UIeV1mi/OT1QgZQ0lRLlBFUC5JUV9BUC4yMDAwLkZZMjAxNQEAAABWgAAAAgAAAAQ1NTQ2AQgAAAAFAAAAATEBAAAACjE4NzQwOTQxMTgDAAAAAzE2MAIAAAAEMTAxOAQAAAABMAcAAAAJMy8yNy8yMDE4CAAAAAoxMi8yNi8yMDE1CQAAAAEwqXBy8vGT1QjJCtLh8pPVCCFDSVEuUEVQLklRX1JFVkVOVUVfRVNUX0NJUS5GWTIw</t>
  </si>
  <si>
    <t>MjABAAAAVoAAAAIAAAALNjk2MTguNzM1MjMBDgAAAAUAAAABMwEAAAABMAIAAAAKMTAwMDEyMTExNgMAAAAGMTAwMTgwBAAAAAEyBgAAAAEwBwAAAAMxNjAIAAAAATAJAAAAATEKAAAAATALAAAACzEwNzk2NjA4NzIyDAAAAAExDQAAAAkzLzI4LzIwMTgQAAAACTMvMjcvMjAxOBn4oejyk9UIaTZmi/OT1QgdQ0lRLlBFUC5JUV9QRVJJT0REQVRFX0lTLjEwMDABAAAAVoAAAAUAAAAKMTIvMzAvMjAxNwCpcHLy8ZPVCGk2Zovzk9UIGkNJUS5QRVAuSVFfVE9UQUxfREVCVC4yMDAwAQAAAFaAAAACAAAABTM5MjgxAQgAAAAFAAAAATEBAAAACjE4NzQwOTQxMjYDAAAAAzE2MAIAAAAENDE3MwQAAAABMAcAAAAJMy8yNy8yMDE4CAAAAAoxMi8zMC8yMDE3CQAAAAEwqXBy8vGT1QiJhGaL85PVCCBDSVEuUEVQLklRX0VCSVREQV9FU1RfQ0lRLkZZMjAxOQEAAABWgAAAAgAAAAsxNDQwMS44NDYwMgEOAAAABQAAAAEzAQAAAAEwAgAAAAoxMDAwMTIxMTE1AwAAAAYxMDAxODcEAAAAATIGAAAAATAHAAAAAzE2MAgAAAABMAkAAAABMQoAAAABMAsAAAALMTA3OTY2MDg3NjQMAAAAATENAAAACTMvMjgvMjAxOBAAAAAJMy8yNy8yMDE4Gfih6PKT1QhpNmaL85PVCBhDSVEuUEVQLklRX0VCSVREQS5GWTIwMTUBAAAAVoAAAAIAAAAFMTIyMjMBCAAAAAUAAAABMQEAAAAKMTg3NDA5Mjg4NgMAAAADMTYwAgAAAAQ0MDUxBAAA</t>
  </si>
  <si>
    <t>AAEwBwAAAAkzLzI3LzIwMTgIAAAACjEyLzI2LzIwMTUJAAAAATAZ+KHo8pPVCGk2Zovzk9UIIkNJUS5QRVAuSVFfTEFTVFNBTEVQUklDRS4zLzI3LzIwMTgBAAAAVoAAAAIAAAAGMTA3LjQ4ABn4oejyk9UIWQ9mi/OT1QgjQ0lRLlBFUC5JUV9UT1RBTF9SRUNFSVYuMjAwMC5GWTIwMTYBAAAAVoAAAAIAAAAENjY5NAEIAAAABQAAAAExAQAAAAoxODc0MDk0MTIyAwAAAAMxNjACAAAABDEwMDEEAAAAATAHAAAACTMvMjcvMjAxOAgAAAAKMTIvMzEvMjAxNgkAAAABMKlwcvLxk9UIyQrS4fKT1QgZQ0lRLlBFUC5JUV9BRS4yMDAwLkZZMjAxNwEAAABWgAAAAgAAAAQ0MTc1AQgAAAAFAAAAATEBAAAACjE4NzQwOTQxMjYDAAAAAzE2MAIAAAAEMTAxNgQAAAABMAcAAAAJMy8yNy8yMDE4CAAAAAoxMi8zMC8yMDE3CQAAAAEwqXBy8vGT1QjJCtLh8pPVCBVDSVEuUEVQLklRX1JFVi5GWTIwMTYBAAAAVoAAAAIAAAAFNjI3OTkBCAAAAAUAAAABMQEAAAAKMTg3NDA5Mjg5NAMAAAADMTYwAgAAAAMxMTIEAAAAATAHAAAACTMvMjcvMjAxOAgAAAAKMTIvMzEvMjAxNgkAAAABMBn4oejyk9UIaTZmi/OT1QgcQ0lRLlBFUC5JUV9DQVBFWC4xMDAwLkZZMjAxNwEAAABWgAAAAgAAAAUtMjk2OQEIAAAABQAAAAExAQAAAAoxODc0MDkyODk1AwAAAAMxNjACAAAABDIwMjEEAAAAATAHAAAACTMvMjcvMjAxOAgAAAAKMTIvMzAv</t>
  </si>
  <si>
    <t>MjAxNwkAAAABMKlwcvLxk9UIiYRmi/OT1QgYQ0lRLlBFUC5JUV9FQklUREEuRlkyMDE3AQAAAFaAAAACAAAABTEyNzIzAQgAAAAFAAAAATEBAAAACjE4NzQwOTI4OTUDAAAAAzE2MAIAAAAENDA1MQQAAAABMAcAAAAJMy8yNy8yMDE4CAAAAAoxMi8zMC8yMDE3CQAAAAEwGfih6PKT1QiJhGaL85PVCBlDSVEuUEVQLklRX0FFLjIwMDAuRlkyMDE1AQAAAFaAAAACAAAABDQwNzgBCAAAAAUAAAABMQEAAAAKMTg3NDA5NDExOAMAAAADMTYwAgAAAAQxMDE2BAAAAAEwBwAAAAkzLzI3LzIwMTgIAAAACjEyLzI2LzIwMTUJAAAAATCpcHLy8ZPVCLnj0eHyk9UIHENJUS5QRVAuSVFfQ0FQRVguMTAwMC5GWTIwMTUBAAAAVoAAAAIAAAAFLTI3NTgBCAAAAAUAAAABMQEAAAAKMTg3NDA5Mjg4NgMAAAADMTYwAgAAAAQyMDIxBAAAAAEwBwAAAAkzLzI3LzIwMTgIAAAACjEyLzI2LzIwMTUJAAAAATCpcHLy8ZPVCGk2Zovzk9UIGkNJUS5QRVAuSVFfT1BFUl9JTkMuRlkyMDE2AQAAAFaAAAACAAAABTEwNDgzAQgAAAAFAAAAATEBAAAACjE4NzQwOTI4OTQDAAAAAzE2MAIAAAACMjEEAAAAATAHAAAACTMvMjcvMjAxOAgAAAAKMTIvMzEvMjAxNgkAAAABMBn4oejyk9UIiYRmi/OT1QgZQ0lRLlBFUC5JUV9BUC4yMDAwLkZZMjAxNgEAAABWgAAAAgAAAAQ2MTU4AQgAAAAFAAAAATEBAAAACjE4NzQwOTQxMjIDAAAAAzE2MAIA</t>
  </si>
  <si>
    <t>AAAEMTAxOAQAAAABMAcAAAAJMy8yNy8yMDE4CAAAAAoxMi8zMS8yMDE2CQAAAAEwqXBy8vGT1QjJCtLh8pPVCCBDSVEuUEVQLklRX0lOVkVOVE9SWS4yMDAwLkZZMjAxNgEAAABWgAAAAgAAAAQyNzIzAQgAAAAFAAAAATEBAAAACjE4NzQwOTQxMjIDAAAAAzE2MAIAAAAEMTA0MwQAAAABMAcAAAAJMy8yNy8yMDE4CAAAAAoxMi8zMS8yMDE2CQAAAAEwqXBy8vGT1QjJCtLh8pPVCCZDSVEuUEVQLklRX1NIQVJFU09VVFNUQU5ESU5HLjMvMjcvMjAxOAEAAABWgAAAAgAAAAsxNDE5LjQ0NTI3NQAZ+KHo8pPVCHldZovzk9UIFUNJUS5QRVAuSVFfUkVWLkZZMjAxNwEAAABWgAAAAgAAAAU2MzUyNQEIAAAABQAAAAExAQAAAAoxODc0MDkyODk1AwAAAAMxNjACAAAAAzExMgQAAAABMAcAAAAJMy8yNy8yMDE4CAAAAAoxMi8zMC8yMDE3CQAAAAEwGfih6PKT1QiJhGaL85PVCBpDSVEuUEVQLklRX1RPVEFMX0RFQlQuMTAwMAEAAABWgAAAAgAAAAUzOTI4MQEIAAAABQAAAAExAQAAAAoxODc0MDkyODk1AwAAAAMxNjACAAAABDQxNzMEAAAAATAHAAAACTMvMjcvMjAxOAgAAAAKMTIvMzAvMjAxNwkAAAABMKlwcvLxk9UIiYRmi/OT1QghQ0lRLlBFUC5JUV9SRVZFTlVFX0VTVF9DSVEuRlkyMDI0AQAAAFaAAAACAAAABTgwMzczAQ4AAAAFAAAAATMBAAAAATACAAAACjEwMDAxMjExMjADAAAABjEwMDE4MAQAAAABMgYA</t>
  </si>
  <si>
    <t>AAABMAcAAAADMTYwCAAAAAEwCQAAAAExCgAAAAEwCwAAAAsxMDc0MTcyNjQyOQwAAAABMQ0AAAAJMy8yOC8yMDE4EAAAAAkzLzI3LzIwMTgZ+KHo8pPVCGk2Zovzk9UIIENJUS5QRVAuSVFfRUJJVERBX0VTVF9DSVEuRlkyMDIwAQAAAFaAAAACAAAACzE1MTI5LjA4ODg4AQ4AAAAFAAAAATMBAAAAATACAAAACjEwMDAxMjExMTYDAAAABjEwMDE4NwQAAAABMgYAAAABMAcAAAADMTYwCAAAAAEwCQAAAAExCgAAAAEwCwAAAAsxMDc5NjYwODcyOAwAAAABMQ0AAAAJMy8yOC8yMDE4EAAAAAkzLzI3LzIwMTgZ+KHo8pPVCHldZovzk9UIF0NJUS5QRVAuSVFfQ09NUEFOWV9OQU1FAQAAAFaAAAADAAAADVBlcHNpQ28sIEluYy4A6TT82/KT1QiJhGaL85PVCBVDSVEuUEVQLklRX1JFVi5GWTIwMTUBAAAAVoAAAAIAAAAFNjMwNTYBCAAAAAUAAAABMQEAAAAKMTg3NDA5Mjg4NgMAAAADMTYwAgAAAAMxMTIEAAAAATAHAAAACTMvMjcvMjAxOAgAAAAKMTIvMjYvMjAxNQkAAAABMBn4oejyk9UIeV1mi/OT1QgXQ0lRLlBFUC5JUV9EQV9DRi5GWTIwMTYBAAAAVoAAAAIAAAAEMjE1NAEIAAAABQAAAAExAQAAAAoxODc0MDkyODk0AwAAAAMxNjACAAAABDIxNjAEAAAAATAHAAAACTMvMjcvMjAxOAgAAAAKMTIvMzEvMjAxNgkAAAABMBn4oejyk9UIaTZmi/OT1QghQ0lRLlBFUC5JUV9SRVZFTlVFX0VTVF9DSVEuRlkyMDIy</t>
  </si>
  <si>
    <t>AQAAAFaAAAACAAAABzczNDAyLjUBDgAAAAUAAAABMwEAAAABMAIAAAAKMTAwMDEyMTExOAMAAAAGMTAwMTgwBAAAAAEyBgAAAAEwBwAAAAMxNjAIAAAAATAJAAAAATEKAAAAATALAAAACzEwNzQzNDI2MTgxDAAAAAExDQAAAAkzLzI4LzIwMTgQAAAACTMvMjcvMjAxOBn4oejyk9UIiYRmi/OT1QggQ0lRLlBFUC5JUV9JTlZFTlRPUlkuMjAwMC5GWTIwMTcBAAAAVoAAAAIAAAAEMjk0NwEIAAAABQAAAAExAQAAAAoxODc0MDk0MTI2AwAAAAMxNjACAAAABDEwNDMEAAAAATAHAAAACTMvMjcvMjAxOAgAAAAKMTIvMzAvMjAxNwkAAAABMKlwcvLxk9UIyQrS4fKT1QggQ0lRLlBFUC5JUV9FQklUREFfRVNUX0NJUS5GWTIwMjEBAAAAVoAAAAIAAAAFMTYyODYBDgAAAAUAAAABMwEAAAABMAIAAAAKMTAwMDEyMTExNwMAAAAGMTAwMTg3BAAAAAEyBgAAAAEwBwAAAAMxNjAIAAAAATAJAAAAATEKAAAAATALAAAACzEwNzQzNDE1Mjg4DAAAAAExDQAAAAkzLzI4LzIwMTgQAAAACTMvMjcvMjAxOBn4oejyk9UIiYRmi/OT1QgiQ0lRLlBFUC5JUV9QUkVQQUlEX0VYUC4yMDAwLkZZMjAxNQEAAABWgAAAAgAAAAQxMTM0AQgAAAAFAAAAATEBAAAACjE4NzQwOTQxMTgDAAAAAzE2MAIAAAAEMTIxMgQAAAABMAcAAAAJMy8yNy8yMDE4CAAAAAoxMi8yNi8yMDE1CQAAAAEwqXBy8vGT1QjJCtLh8pPVCBRDSVEuUEVQLklRX01B</t>
  </si>
  <si>
    <t>UktFVENBUAEAAABWgAAAAgAAAA0xNTE2MTAuOTQ5ODIzAQYAAAAFAAAAATEBAAAACjE4NzQwOTQxMjQDAAAAAzE2MAIAAAAGMTAwMDU0BAAAAAEwBwAAAAkzLzI2LzIwMTgZ+KHo8pPVCGk2Zovzk9UIE0NJUS5QRVAuSVFfQkVUQV81WVIBAAAAVoAAAAIAAAARMC43MDUzNjkyNzA5MTgzMzQAGfih6PKT1QhpNmaL85PVCCRDSVEuUEVQLklRX0NBU0hfRVFVSVYuMjAwMC4zLzI3LzIwMTgBAAAAVoAAAAIAAAAFMTA2MTABCAAAAAUAAAABMQEAAAAKMTg3NDA5NDEyNgMAAAADMTYwAgAAAAQxMDk2BAAAAAEwBwAAAAkzLzI3LzIwMTgIAAAACjEyLzMwLzIwMTcJAAAAATCpcHLy8ZPVCGk2Zovzk9UIHENJUS5QRVAuSVFfQ0FQRVguMTAwMC5GWTIwMTYBAAAAVoAAAAIAAAAFLTMwNDABCAAAAAUAAAABMQEAAAAKMTg3NDA5Mjg5NAMAAAADMTYwAgAAAAQyMDIxBAAAAAEwBwAAAAkzLzI3LzIwMTgIAAAACjEyLzMxLzIwMTYJAAAAATCpcHLy8ZPVCHldZovzk9UIIkNJUS5QRVAuSVFfUFJFUEFJRF9FWFAuMjAwMC5GWTIwMTcBAAAAVoAAAAIAAAAEMTUwMAEIAAAABQAAAAExAQAAAAoxODc0MDk0MTI2AwAAAAMxNjACAAAABDEyMTIEAAAAATAHAAAACTMvMjcvMjAxOAgAAAAKMTIvMzAvMjAxNwkAAAABMKlwcvLxk9UIyQrS4fKT1QggQ0lRLlBFUC5JUV9JTlZFTlRPUlkuMjAwMC5GWTIwMTUBAAAAVoAAAAIAAAAE</t>
  </si>
  <si>
    <t>MjcyMAEIAAAABQAAAAExAQAAAAoxODc0MDk0MTE4AwAAAAMxNjACAAAABDEwNDMEAAAAATAHAAAACTMvMjcvMjAxOAgAAAAKMTIvMjYvMjAxNQkAAAABMKlwcvLxk9UIyQrS4fKT1QgaQ0lRLlBFUC5JUV9PUEVSX0lOQy5GWTIwMTcBAAAAVoAAAAIAAAAFMTA1NzgBCAAAAAUAAAABMQEAAAAKMTg3NDA5Mjg5NQMAAAADMTYwAgAAAAIyMQQAAAABMAcAAAAJMy8yNy8yMDE4CAAAAAoxMi8zMC8yMDE3CQAAAAEwGfih6PKT1QhpNmaL85PVCBRDSVEuUEVQLklRX0dQLkZZMjAxNgEAAABWgAAAAgAAAAUzNDU5MAEIAAAABQAAAAExAQAAAAoxODc0MDkyODk0AwAAAAMxNjACAAAAAjEwBAAAAAEwBwAAAAkzLzI3LzIwMTgIAAAACjEyLzMxLzIwMTYJAAAAATAZ+KHo8pPVCImEZovzk9UIF0NJUS5QRVAuSVFfREFfQ0YuRlkyMDE1AQAAAFaAAAACAAAABDIyMTQBCAAAAAUAAAABMQEAAAAKMTg3NDA5Mjg4NgMAAAADMTYwAgAAAAQyMTYwBAAAAAEwBwAAAAkzLzI3LzIwMTgIAAAACjEyLzI2LzIwMTUJAAAAATAZ+KHo8pPVCImEZovzk9UIIUNJUS5QRVAuSVFfUkVWRU5VRV9FU1RfQ0lRLkZZMjAxOQEAAABWgAAAAgAAAAs2NzQ3Mi4yMTEyMgEOAAAABQAAAAEzAQAAAAEwAgAAAAoxMDAwMTIxMTE1AwAAAAYxMDAxODAEAAAAATIGAAAAATAHAAAAAzE2MAgAAAABMAkAAAABMQoAAAABMAsAAAALMTA3OTY2MDg3ODIM</t>
  </si>
  <si>
    <t>AAAAATENAAAACTMvMjgvMjAxOBAAAAAJMy8yNy8yMDE4Gfih6PKT1QiJhGaL85PVCCFDSVEuUEVQLklRX1JFVkVOVUVfRVNUX0NJUS5GWTIwMjEBAAAAVoAAAAIAAAAFNzEyMjkBDgAAAAUAAAABMwEAAAABMAIAAAAKMTAwMDEyMTExNwMAAAAGMTAwMTgwBAAAAAEyBgAAAAEwBwAAAAMxNjAIAAAAATAJAAAAATEKAAAAATALAAAACzEwNzQzMzkwODY4DAAAAAExDQAAAAkzLzI4LzIwMTgQAAAACTMvMjcvMjAxOBn4oejyk9UIiYRmi/OT1QgaQ0lRLlBFUC5JUV9PUEVSX0lOQy5GWTIwMTUBAAAAVoAAAAIAAAAFMTAwMDkBCAAAAAUAAAABMQEAAAAKMTg3NDA5Mjg4NgMAAAADMTYwAgAAAAIyMQQAAAABMAcAAAAJMy8yNy8yMDE4CAAAAAoxMi8yNi8yMDE1CQAAAAEwGfih6PKT1Qh5XWaL85PVCCNDSVEuUEVQLklRX1RPVEFMX1JFQ0VJVi4yMDAwLkZZMjAxNwEAAABWgAAAAgAAAAQ3MDI0AQgAAAAFAAAAATEBAAAACjE4NzQwOTQxMjYDAAAAAzE2MAIAAAAEMTAwMQQAAAABMAcAAAAJMy8yNy8yMDE4CAAAAAoxMi8zMC8yMDE3CQAAAAEwqXBy8vGT1QjJCtLh8pPVCBlDSVEuUEVQLklRX0FFLjIwMDAuRlkyMDE2AQAAAFaAAAACAAAABDQyMTQBCAAAAAUAAAABMQEAAAAKMTg3NDA5NDEyMgMAAAADMTYwAgAAAAQxMDE2BAAAAAEwBwAAAAkzLzI3LzIwMTgIAAAACjEyLzMxLzIwMTYJAAAAATCpcHLy8ZPVCMkK</t>
  </si>
  <si>
    <t>0uHyk9UIIkNJUS5QRVAuSVFfUFJFUEFJRF9FWFAuMjAwMC5GWTIwMTYBAAAAVoAAAAIAAAADODc2AQgAAAAFAAAAATEBAAAACjE4NzQwOTQxMjIDAAAAAzE2MAIAAAAEMTIxMgQAAAABMAcAAAAJMy8yNy8yMDE4CAAAAAoxMi8zMS8yMDE2CQAAAAEwqXBy8vGT1QjJCtLh8pPVCCBDSVEuUEVQLklRX0VCSVREQV9FU1RfQ0lRLkZZMjAyMgEAAABWgAAAAgAAAAUxNzE4OAEOAAAABQAAAAEzAQAAAAEwAgAAAAoxMDAwMTIxMTE4AwAAAAYxMDAxODcEAAAAATIGAAAAATAHAAAAAzE2MAgAAAABMAkAAAABMQoAAAABMAsAAAALMTA3NDM0NTAyMzUMAAAAATENAAAACTMvMjgvMjAxOBAAAAAJMy8yNy8yMDE4Gfih6PKT1QiJhGaL85PVCBdDSVEuUEVQLklRX0RBX0NGLkZZMjAxNwEAAABWgAAAAgAAAAQyMTQ1AQgAAAAFAAAAATEBAAAACjE4NzQwOTI4OTUDAAAAAzE2MAIAAAAEMjE2MAQAAAABMAcAAAAJMy8yNy8yMDE4CAAAAAoxMi8zMC8yMDE3CQAAAAEwGfih6PKT1QhpNmaL85PVCBlDSVEuUEVQLklRX0xBU1RTQUxFUFJJQ0UuAQAAAFaAAAACAAAABjEwNy40OAAJO7ro8pPVCInykzvzk9UIGENJUS5QRVAuSVFfRUJJVERBLkZZMjAxNgEAAABWgAAAAgAAAAUxMjYzNwEIAAAABQAAAAExAQAAAAoxODc0MDkyODk0AwAAAAMxNjACAAAABDQwNTEEAAAAATAHAAAACTMvMjcvMjAxOAgAAAAKMTIvMzEvMjAxNgkA</t>
  </si>
  <si>
    <t>AAABMBn4oejyk9UIeV1mi/OT1QghQ0lRLlBFUC5JUV9SRVZFTlVFX0VTVF9DSVEuRlkyMDIzAQAAAFaAAAACAAAABTc3NjIxAQ4AAAAFAAAAATMBAAAAATACAAAACjEwMDAxMjExMTkDAAAABjEwMDE4MAQAAAABMgYAAAABMAcAAAADMTYwCAAAAAEwCQAAAAExCgAAAAEwCwAAAAsxMDc0MTcyNjYzNAwAAAABMQ0AAAAJMy8yOC8yMDE4EAAAAAkzLzI3LzIwMTgZ+KHo8pPVCGk2Zovzk9UIHUNJUS5QRVAuSVFfU0hBUkVTT1VUU1RBTkRJTkcuAQAAAFaAAAACAAAACzE0MTkuNDQ1Mjc1AAk7uujyk9UIifKTO/OT1QgjQ0lRLlBFUC5JUV9UT1RBTF9SRUNFSVYuMjAwMC5GWTIwMTUBAAAAVoAAAAIAAAAENjQzNwEIAAAABQAAAAExAQAAAAoxODc0MDk0MTE4AwAAAAMxNjACAAAABDEwMDEEAAAAATAHAAAACTMvMjcvMjAxOAgAAAAKMTIvMjYvMjAxNQkAAAABMKlwcvLxk9UIyQrS4fKT1QgUQ0lRLlBFUC5JUV9HUC5GWTIwMTcBAAAAVoAAAAIAAAAFMzQ3NDABCAAAAAUAAAABMQEAAAAKMTg3NDA5Mjg5NQMAAAADMTYwAgAAAAIxMAQAAAABMAcAAAAJMy8yNy8yMDE4CAAAAAoxMi8zMC8yMDE3CQAAAAEwGfih6PKT1QiJhGaL85PVCCFDSVEuUEVQLklRX1JFVkVOVUVfRVNUX0NJUS5GWTIwMTgBAAAAVoAAAAIAAAALNjUzNzIuOTk3NzUBDgAAAAUAAAABMwEAAAABMAIAAAAKMTAwMDEyMTExNAMAAAAGMTAwMTgw</t>
  </si>
  <si>
    <t>BAAAAAEyBgAAAAEwBwAAAAMxNjAIAAAAATAJAAAAATEKAAAAATALAAAACzEwNzk2NjA4ODI0DAAAAAExDQAAAAkzLzI4LzIwMTgQAAAACTMvMjcvMjAxOBn4oejyk9UIiYRmi/OT1QgbQ0lRLlBFUC5JUV9DQVNIX0VRVUlWLjIwMDAuAQAAAFaAAAACAAAABTEwNjEwAQgAAAAFAAAAATEBAAAACjE4NzQwOTQxMjYDAAAAAzE2MAIAAAAEMTA5NgQAAAABMAcAAAAJMy8yNy8yMDE4CAAAAAoxMi8zMC8yMDE3CQAAAAEw0WKP8vGT1QiJ8pM785PVCA==</t>
  </si>
  <si>
    <t>TERMINAL GROWTH RATE</t>
  </si>
  <si>
    <t>MARKET RISK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</si>
</sst>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0.0%"/>
    <numFmt numFmtId="165" formatCode="[$-409]mmm\-yy;@"/>
    <numFmt numFmtId="166" formatCode="#,##0_);\(#,##0\);"/>
    <numFmt numFmtId="167" formatCode="&quot;$&quot;#,##0.00"/>
    <numFmt numFmtId="168" formatCode="###&quot; bps&quot;"/>
    <numFmt numFmtId="169" formatCode="0.000%"/>
    <numFmt numFmtId="170" formatCode="##&quot; days&quot;"/>
    <numFmt numFmtId="171" formatCode="##&quot; Year&quot;"/>
    <numFmt numFmtId="172" formatCode="0.0"/>
    <numFmt numFmtId="173" formatCode="#,##0.00_);\(#,##0.00\);"/>
    <numFmt numFmtId="174" formatCode="0.0#%;\(0.0#%\);&quot;-&quot;"/>
    <numFmt numFmtId="175" formatCode="0.0000%"/>
  </numFmts>
  <fonts count="44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color theme="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b/>
      <sz val="20"/>
      <color indexed="9"/>
      <name val="Arial"/>
      <family val="2"/>
    </font>
    <font>
      <sz val="20"/>
      <name val="Arial"/>
      <family val="2"/>
    </font>
    <font>
      <sz val="8"/>
      <color rgb="FF3A3AE2"/>
      <name val="Arial"/>
      <family val="2"/>
    </font>
    <font>
      <sz val="8"/>
      <color indexed="16"/>
      <name val="Arial"/>
      <family val="2"/>
    </font>
    <font>
      <i/>
      <sz val="8"/>
      <name val="Arial"/>
      <family val="2"/>
    </font>
    <font>
      <b/>
      <u/>
      <sz val="10"/>
      <name val="Arial"/>
      <family val="2"/>
    </font>
    <font>
      <b/>
      <u/>
      <sz val="8"/>
      <name val="Arial"/>
      <family val="2"/>
    </font>
    <font>
      <vertAlign val="superscript"/>
      <sz val="10"/>
      <name val="Arial"/>
      <family val="2"/>
    </font>
    <font>
      <sz val="8"/>
      <color indexed="8"/>
      <name val="Arial"/>
      <family val="2"/>
    </font>
    <font>
      <sz val="8"/>
      <color indexed="12"/>
      <name val="Arial"/>
      <family val="2"/>
    </font>
    <font>
      <sz val="8"/>
      <color indexed="9"/>
      <name val="Arial"/>
      <family val="2"/>
    </font>
    <font>
      <b/>
      <i/>
      <sz val="8"/>
      <name val="Arial"/>
      <family val="2"/>
    </font>
    <font>
      <b/>
      <sz val="8"/>
      <color indexed="12"/>
      <name val="Arial"/>
      <family val="2"/>
    </font>
    <font>
      <sz val="8"/>
      <color rgb="FFFF66FF"/>
      <name val="Arial"/>
      <family val="2"/>
    </font>
    <font>
      <sz val="8"/>
      <color rgb="FF00CC99"/>
      <name val="Arial"/>
      <family val="2"/>
    </font>
    <font>
      <sz val="8"/>
      <color indexed="17"/>
      <name val="Arial"/>
      <family val="2"/>
    </font>
    <font>
      <b/>
      <sz val="24"/>
      <color indexed="9"/>
      <name val="Arial"/>
      <family val="2"/>
    </font>
    <font>
      <b/>
      <sz val="8"/>
      <color indexed="9"/>
      <name val="Arial"/>
      <family val="2"/>
    </font>
    <font>
      <b/>
      <sz val="8"/>
      <color indexed="17"/>
      <name val="Arial"/>
      <family val="2"/>
    </font>
    <font>
      <sz val="8"/>
      <color rgb="FF00B050"/>
      <name val="Arial"/>
      <family val="2"/>
    </font>
    <font>
      <u/>
      <sz val="8"/>
      <name val="Arial"/>
      <family val="2"/>
    </font>
    <font>
      <sz val="8"/>
      <color indexed="50"/>
      <name val="Arial"/>
      <family val="2"/>
    </font>
    <font>
      <sz val="8"/>
      <color rgb="FFFF0000"/>
      <name val="Arial"/>
      <family val="2"/>
    </font>
    <font>
      <sz val="8"/>
      <color theme="1"/>
      <name val="Arial"/>
      <family val="2"/>
    </font>
    <font>
      <sz val="8"/>
      <color rgb="FF00B0F0"/>
      <name val="Arial"/>
      <family val="2"/>
    </font>
    <font>
      <sz val="8"/>
      <color theme="9" tint="-0.499984740745262"/>
      <name val="Arial"/>
      <family val="2"/>
    </font>
    <font>
      <sz val="8"/>
      <color theme="9"/>
      <name val="Arial"/>
      <family val="2"/>
    </font>
    <font>
      <u/>
      <sz val="8"/>
      <color indexed="9"/>
      <name val="Arial"/>
      <family val="2"/>
    </font>
    <font>
      <i/>
      <sz val="8"/>
      <color indexed="17"/>
      <name val="Arial"/>
      <family val="2"/>
    </font>
    <font>
      <b/>
      <sz val="8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rgb="FF0000FF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4" tint="0.39997558519241921"/>
        <bgColor theme="0"/>
      </patternFill>
    </fill>
    <fill>
      <patternFill patternType="solid">
        <fgColor theme="4" tint="0.79998168889431442"/>
        <bgColor theme="0"/>
      </patternFill>
    </fill>
    <fill>
      <patternFill patternType="solid">
        <fgColor rgb="FFFFCC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666699"/>
        <bgColor indexed="64"/>
      </patternFill>
    </fill>
  </fills>
  <borders count="4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ck">
        <color theme="9" tint="-0.499984740745262"/>
      </left>
      <right style="thick">
        <color theme="9" tint="-0.499984740745262"/>
      </right>
      <top style="thick">
        <color theme="9" tint="-0.499984740745262"/>
      </top>
      <bottom style="thick">
        <color theme="9" tint="-0.499984740745262"/>
      </bottom>
      <diagonal/>
    </border>
    <border>
      <left style="thick">
        <color theme="9"/>
      </left>
      <right style="thick">
        <color theme="9"/>
      </right>
      <top style="thick">
        <color theme="9"/>
      </top>
      <bottom style="thick">
        <color theme="9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 style="thick">
        <color theme="8" tint="0.39994506668294322"/>
      </left>
      <right style="thick">
        <color theme="8" tint="0.39994506668294322"/>
      </right>
      <top style="thick">
        <color theme="8" tint="0.39994506668294322"/>
      </top>
      <bottom style="thick">
        <color theme="8" tint="0.39994506668294322"/>
      </bottom>
      <diagonal/>
    </border>
    <border>
      <left style="thick">
        <color theme="9" tint="0.39994506668294322"/>
      </left>
      <right style="thick">
        <color theme="9" tint="0.39994506668294322"/>
      </right>
      <top style="thick">
        <color theme="9" tint="0.39994506668294322"/>
      </top>
      <bottom/>
      <diagonal/>
    </border>
    <border>
      <left style="thick">
        <color theme="6"/>
      </left>
      <right style="thick">
        <color theme="6"/>
      </right>
      <top style="thick">
        <color theme="6"/>
      </top>
      <bottom style="thick">
        <color theme="6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ck">
        <color theme="6"/>
      </bottom>
      <diagonal/>
    </border>
    <border>
      <left/>
      <right/>
      <top/>
      <bottom style="medium">
        <color rgb="FF008000"/>
      </bottom>
      <diagonal/>
    </border>
    <border>
      <left/>
      <right style="medium">
        <color rgb="FF008000"/>
      </right>
      <top/>
      <bottom/>
      <diagonal/>
    </border>
    <border>
      <left style="medium">
        <color rgb="FF008000"/>
      </left>
      <right/>
      <top/>
      <bottom/>
      <diagonal/>
    </border>
    <border>
      <left/>
      <right/>
      <top style="medium">
        <color rgb="FF008000"/>
      </top>
      <bottom/>
      <diagonal/>
    </border>
    <border>
      <left/>
      <right/>
      <top style="thin">
        <color auto="1"/>
      </top>
      <bottom style="medium">
        <color rgb="FF7030A0"/>
      </bottom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/>
      <diagonal/>
    </border>
    <border>
      <left/>
      <right/>
      <top style="medium">
        <color rgb="FF7030A0"/>
      </top>
      <bottom/>
      <diagonal/>
    </border>
    <border>
      <left style="thick">
        <color rgb="FFFF66FF"/>
      </left>
      <right style="thin">
        <color indexed="64"/>
      </right>
      <top style="thick">
        <color rgb="FFFF66FF"/>
      </top>
      <bottom style="thick">
        <color rgb="FFFF66FF"/>
      </bottom>
      <diagonal/>
    </border>
    <border>
      <left style="thick">
        <color theme="8"/>
      </left>
      <right style="thin">
        <color indexed="64"/>
      </right>
      <top style="thick">
        <color theme="8"/>
      </top>
      <bottom style="thick">
        <color theme="8"/>
      </bottom>
      <diagonal/>
    </border>
    <border>
      <left style="thick">
        <color rgb="FF00CC99"/>
      </left>
      <right style="thin">
        <color indexed="64"/>
      </right>
      <top style="thick">
        <color rgb="FF00CC99"/>
      </top>
      <bottom style="thick">
        <color rgb="FF00CC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Continuous"/>
    </xf>
    <xf numFmtId="0" fontId="1" fillId="3" borderId="0" xfId="0" applyFont="1" applyFill="1" applyBorder="1"/>
    <xf numFmtId="0" fontId="1" fillId="17" borderId="0" xfId="0" applyFont="1" applyFill="1"/>
    <xf numFmtId="0" fontId="1" fillId="2" borderId="17" xfId="0" applyFont="1" applyFill="1" applyBorder="1"/>
    <xf numFmtId="0" fontId="1" fillId="2" borderId="0" xfId="0" applyFont="1" applyFill="1" applyBorder="1"/>
    <xf numFmtId="0" fontId="1" fillId="2" borderId="3" xfId="0" applyFont="1" applyFill="1" applyBorder="1"/>
    <xf numFmtId="0" fontId="7" fillId="0" borderId="0" xfId="0" applyFont="1"/>
    <xf numFmtId="0" fontId="8" fillId="0" borderId="0" xfId="0" applyFont="1" applyFill="1"/>
    <xf numFmtId="0" fontId="6" fillId="0" borderId="0" xfId="0" applyFont="1" applyFill="1"/>
    <xf numFmtId="0" fontId="7" fillId="0" borderId="0" xfId="0" applyFont="1" applyFill="1"/>
    <xf numFmtId="0" fontId="9" fillId="17" borderId="0" xfId="0" applyFont="1" applyFill="1"/>
    <xf numFmtId="165" fontId="10" fillId="17" borderId="0" xfId="0" applyNumberFormat="1" applyFont="1" applyFill="1" applyAlignment="1">
      <alignment horizontal="right"/>
    </xf>
    <xf numFmtId="0" fontId="8" fillId="0" borderId="0" xfId="0" applyFont="1"/>
    <xf numFmtId="1" fontId="8" fillId="0" borderId="0" xfId="0" applyNumberFormat="1" applyFont="1"/>
    <xf numFmtId="0" fontId="7" fillId="0" borderId="11" xfId="0" applyFont="1" applyBorder="1"/>
    <xf numFmtId="170" fontId="7" fillId="0" borderId="17" xfId="0" applyNumberFormat="1" applyFont="1" applyBorder="1"/>
    <xf numFmtId="0" fontId="7" fillId="0" borderId="17" xfId="0" applyFont="1" applyBorder="1"/>
    <xf numFmtId="0" fontId="7" fillId="0" borderId="4" xfId="0" applyFont="1" applyBorder="1"/>
    <xf numFmtId="170" fontId="7" fillId="0" borderId="0" xfId="0" applyNumberFormat="1" applyFont="1" applyBorder="1"/>
    <xf numFmtId="0" fontId="7" fillId="0" borderId="0" xfId="0" applyFont="1" applyBorder="1"/>
    <xf numFmtId="170" fontId="7" fillId="0" borderId="6" xfId="0" applyNumberFormat="1" applyFont="1" applyBorder="1"/>
    <xf numFmtId="0" fontId="7" fillId="0" borderId="5" xfId="0" applyFont="1" applyBorder="1"/>
    <xf numFmtId="170" fontId="7" fillId="0" borderId="3" xfId="0" applyNumberFormat="1" applyFont="1" applyBorder="1"/>
    <xf numFmtId="0" fontId="7" fillId="0" borderId="3" xfId="0" applyFont="1" applyBorder="1"/>
    <xf numFmtId="170" fontId="7" fillId="0" borderId="7" xfId="0" applyNumberFormat="1" applyFont="1" applyBorder="1"/>
    <xf numFmtId="0" fontId="2" fillId="2" borderId="0" xfId="0" applyFont="1" applyFill="1"/>
    <xf numFmtId="0" fontId="13" fillId="2" borderId="0" xfId="0" applyFont="1" applyFill="1" applyAlignment="1">
      <alignment horizontal="center"/>
    </xf>
    <xf numFmtId="0" fontId="1" fillId="2" borderId="0" xfId="0" applyFont="1" applyFill="1" applyAlignment="1">
      <alignment horizontal="left" indent="1"/>
    </xf>
    <xf numFmtId="0" fontId="1" fillId="2" borderId="0" xfId="0" applyFont="1" applyFill="1" applyAlignment="1">
      <alignment horizontal="center"/>
    </xf>
    <xf numFmtId="10" fontId="13" fillId="2" borderId="0" xfId="0" applyNumberFormat="1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0" fontId="2" fillId="2" borderId="8" xfId="0" applyFont="1" applyFill="1" applyBorder="1" applyAlignment="1">
      <alignment horizontal="centerContinuous" vertical="center"/>
    </xf>
    <xf numFmtId="0" fontId="2" fillId="2" borderId="8" xfId="0" applyFont="1" applyFill="1" applyBorder="1" applyAlignment="1">
      <alignment vertical="center"/>
    </xf>
    <xf numFmtId="0" fontId="2" fillId="2" borderId="17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165" fontId="2" fillId="2" borderId="0" xfId="0" applyNumberFormat="1" applyFont="1" applyFill="1" applyBorder="1" applyAlignment="1">
      <alignment horizontal="center"/>
    </xf>
    <xf numFmtId="1" fontId="2" fillId="2" borderId="0" xfId="0" applyNumberFormat="1" applyFont="1" applyFill="1" applyBorder="1" applyAlignment="1">
      <alignment horizontal="center"/>
    </xf>
    <xf numFmtId="166" fontId="1" fillId="2" borderId="0" xfId="0" applyNumberFormat="1" applyFont="1" applyFill="1"/>
    <xf numFmtId="166" fontId="1" fillId="11" borderId="0" xfId="0" applyNumberFormat="1" applyFont="1" applyFill="1" applyBorder="1"/>
    <xf numFmtId="166" fontId="1" fillId="12" borderId="0" xfId="0" applyNumberFormat="1" applyFont="1" applyFill="1" applyBorder="1"/>
    <xf numFmtId="166" fontId="1" fillId="2" borderId="0" xfId="0" applyNumberFormat="1" applyFont="1" applyFill="1" applyBorder="1"/>
    <xf numFmtId="166" fontId="1" fillId="3" borderId="0" xfId="0" applyNumberFormat="1" applyFont="1" applyFill="1"/>
    <xf numFmtId="166" fontId="1" fillId="15" borderId="0" xfId="0" applyNumberFormat="1" applyFont="1" applyFill="1" applyBorder="1"/>
    <xf numFmtId="10" fontId="14" fillId="2" borderId="0" xfId="0" applyNumberFormat="1" applyFont="1" applyFill="1" applyAlignment="1"/>
    <xf numFmtId="0" fontId="16" fillId="2" borderId="0" xfId="0" applyFont="1" applyFill="1"/>
    <xf numFmtId="0" fontId="17" fillId="2" borderId="0" xfId="0" applyFont="1" applyFill="1"/>
    <xf numFmtId="0" fontId="2" fillId="2" borderId="0" xfId="0" applyFont="1" applyFill="1" applyAlignment="1">
      <alignment horizontal="centerContinuous"/>
    </xf>
    <xf numFmtId="0" fontId="1" fillId="2" borderId="11" xfId="0" applyFont="1" applyFill="1" applyBorder="1"/>
    <xf numFmtId="10" fontId="19" fillId="2" borderId="12" xfId="0" applyNumberFormat="1" applyFont="1" applyFill="1" applyBorder="1"/>
    <xf numFmtId="0" fontId="1" fillId="2" borderId="4" xfId="0" applyFont="1" applyFill="1" applyBorder="1"/>
    <xf numFmtId="2" fontId="21" fillId="2" borderId="0" xfId="0" applyNumberFormat="1" applyFont="1" applyFill="1" applyBorder="1"/>
    <xf numFmtId="0" fontId="2" fillId="2" borderId="16" xfId="0" applyFont="1" applyFill="1" applyBorder="1" applyAlignment="1">
      <alignment horizontal="centerContinuous"/>
    </xf>
    <xf numFmtId="0" fontId="1" fillId="2" borderId="13" xfId="0" applyFont="1" applyFill="1" applyBorder="1" applyAlignment="1">
      <alignment horizontal="centerContinuous"/>
    </xf>
    <xf numFmtId="0" fontId="1" fillId="2" borderId="6" xfId="0" applyFont="1" applyFill="1" applyBorder="1"/>
    <xf numFmtId="164" fontId="2" fillId="2" borderId="0" xfId="0" applyNumberFormat="1" applyFont="1" applyFill="1" applyBorder="1" applyAlignment="1">
      <alignment horizontal="center"/>
    </xf>
    <xf numFmtId="0" fontId="22" fillId="2" borderId="14" xfId="0" applyFont="1" applyFill="1" applyBorder="1" applyAlignment="1">
      <alignment horizontal="center"/>
    </xf>
    <xf numFmtId="0" fontId="22" fillId="2" borderId="15" xfId="0" applyFont="1" applyFill="1" applyBorder="1" applyAlignment="1">
      <alignment horizontal="center"/>
    </xf>
    <xf numFmtId="166" fontId="1" fillId="2" borderId="6" xfId="0" applyNumberFormat="1" applyFont="1" applyFill="1" applyBorder="1"/>
    <xf numFmtId="10" fontId="23" fillId="3" borderId="7" xfId="0" applyNumberFormat="1" applyFont="1" applyFill="1" applyBorder="1" applyAlignment="1">
      <alignment horizontal="center"/>
    </xf>
    <xf numFmtId="166" fontId="24" fillId="2" borderId="35" xfId="0" applyNumberFormat="1" applyFont="1" applyFill="1" applyBorder="1"/>
    <xf numFmtId="173" fontId="1" fillId="0" borderId="6" xfId="0" applyNumberFormat="1" applyFont="1" applyFill="1" applyBorder="1"/>
    <xf numFmtId="164" fontId="23" fillId="0" borderId="0" xfId="0" applyNumberFormat="1" applyFont="1" applyFill="1" applyBorder="1" applyAlignment="1">
      <alignment horizontal="center"/>
    </xf>
    <xf numFmtId="172" fontId="1" fillId="2" borderId="36" xfId="0" applyNumberFormat="1" applyFont="1" applyFill="1" applyBorder="1"/>
    <xf numFmtId="166" fontId="25" fillId="2" borderId="37" xfId="0" applyNumberFormat="1" applyFont="1" applyFill="1" applyBorder="1"/>
    <xf numFmtId="166" fontId="26" fillId="2" borderId="6" xfId="0" applyNumberFormat="1" applyFont="1" applyFill="1" applyBorder="1"/>
    <xf numFmtId="167" fontId="1" fillId="2" borderId="6" xfId="0" applyNumberFormat="1" applyFont="1" applyFill="1" applyBorder="1"/>
    <xf numFmtId="0" fontId="1" fillId="2" borderId="5" xfId="0" applyFont="1" applyFill="1" applyBorder="1"/>
    <xf numFmtId="167" fontId="26" fillId="2" borderId="7" xfId="0" applyNumberFormat="1" applyFont="1" applyFill="1" applyBorder="1"/>
    <xf numFmtId="14" fontId="1" fillId="2" borderId="0" xfId="0" applyNumberFormat="1" applyFont="1" applyFill="1"/>
    <xf numFmtId="14" fontId="1" fillId="2" borderId="0" xfId="0" applyNumberFormat="1" applyFont="1" applyFill="1" applyBorder="1"/>
    <xf numFmtId="0" fontId="2" fillId="2" borderId="4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Continuous"/>
    </xf>
    <xf numFmtId="0" fontId="1" fillId="2" borderId="0" xfId="0" applyFont="1" applyFill="1" applyBorder="1" applyAlignment="1">
      <alignment horizontal="centerContinuous"/>
    </xf>
    <xf numFmtId="0" fontId="1" fillId="2" borderId="3" xfId="0" applyFont="1" applyFill="1" applyBorder="1" applyAlignment="1">
      <alignment horizontal="centerContinuous"/>
    </xf>
    <xf numFmtId="0" fontId="2" fillId="2" borderId="5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Continuous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7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31" xfId="0" applyFont="1" applyFill="1" applyBorder="1" applyAlignment="1">
      <alignment horizontal="center"/>
    </xf>
    <xf numFmtId="0" fontId="20" fillId="2" borderId="0" xfId="0" applyFont="1" applyFill="1" applyBorder="1"/>
    <xf numFmtId="2" fontId="1" fillId="2" borderId="0" xfId="0" applyNumberFormat="1" applyFont="1" applyFill="1" applyBorder="1" applyAlignment="1">
      <alignment horizontal="center"/>
    </xf>
    <xf numFmtId="0" fontId="29" fillId="2" borderId="28" xfId="0" applyFont="1" applyFill="1" applyBorder="1" applyAlignment="1">
      <alignment horizontal="center"/>
    </xf>
    <xf numFmtId="166" fontId="30" fillId="2" borderId="0" xfId="0" applyNumberFormat="1" applyFont="1" applyFill="1" applyBorder="1"/>
    <xf numFmtId="0" fontId="1" fillId="2" borderId="29" xfId="0" applyFont="1" applyFill="1" applyBorder="1"/>
    <xf numFmtId="10" fontId="1" fillId="2" borderId="0" xfId="0" applyNumberFormat="1" applyFont="1" applyFill="1" applyBorder="1"/>
    <xf numFmtId="0" fontId="1" fillId="2" borderId="32" xfId="0" applyFont="1" applyFill="1" applyBorder="1"/>
    <xf numFmtId="173" fontId="30" fillId="2" borderId="0" xfId="0" applyNumberFormat="1" applyFont="1" applyFill="1" applyBorder="1"/>
    <xf numFmtId="0" fontId="1" fillId="2" borderId="33" xfId="0" applyFont="1" applyFill="1" applyBorder="1"/>
    <xf numFmtId="0" fontId="26" fillId="2" borderId="28" xfId="0" applyFont="1" applyFill="1" applyBorder="1"/>
    <xf numFmtId="0" fontId="1" fillId="2" borderId="28" xfId="0" applyFont="1" applyFill="1" applyBorder="1"/>
    <xf numFmtId="0" fontId="1" fillId="2" borderId="30" xfId="0" applyFont="1" applyFill="1" applyBorder="1"/>
    <xf numFmtId="0" fontId="1" fillId="2" borderId="34" xfId="0" applyFont="1" applyFill="1" applyBorder="1"/>
    <xf numFmtId="0" fontId="17" fillId="2" borderId="4" xfId="0" applyFont="1" applyFill="1" applyBorder="1"/>
    <xf numFmtId="0" fontId="17" fillId="2" borderId="0" xfId="0" applyFont="1" applyFill="1" applyBorder="1"/>
    <xf numFmtId="0" fontId="17" fillId="2" borderId="4" xfId="0" applyFont="1" applyFill="1" applyBorder="1" applyAlignment="1">
      <alignment horizontal="centerContinuous"/>
    </xf>
    <xf numFmtId="0" fontId="17" fillId="2" borderId="0" xfId="0" applyFont="1" applyFill="1" applyBorder="1" applyAlignment="1">
      <alignment horizontal="centerContinuous"/>
    </xf>
    <xf numFmtId="0" fontId="31" fillId="2" borderId="0" xfId="0" applyFont="1" applyFill="1" applyBorder="1" applyAlignment="1">
      <alignment horizontal="centerContinuous"/>
    </xf>
    <xf numFmtId="0" fontId="2" fillId="2" borderId="5" xfId="0" applyFont="1" applyFill="1" applyBorder="1"/>
    <xf numFmtId="0" fontId="2" fillId="2" borderId="3" xfId="0" applyFont="1" applyFill="1" applyBorder="1"/>
    <xf numFmtId="2" fontId="1" fillId="2" borderId="3" xfId="0" applyNumberFormat="1" applyFont="1" applyFill="1" applyBorder="1" applyAlignment="1">
      <alignment horizontal="center"/>
    </xf>
    <xf numFmtId="2" fontId="32" fillId="2" borderId="3" xfId="0" applyNumberFormat="1" applyFont="1" applyFill="1" applyBorder="1"/>
    <xf numFmtId="166" fontId="1" fillId="2" borderId="3" xfId="0" applyNumberFormat="1" applyFont="1" applyFill="1" applyBorder="1"/>
    <xf numFmtId="10" fontId="1" fillId="2" borderId="3" xfId="0" applyNumberFormat="1" applyFont="1" applyFill="1" applyBorder="1"/>
    <xf numFmtId="0" fontId="1" fillId="2" borderId="7" xfId="0" applyFont="1" applyFill="1" applyBorder="1"/>
    <xf numFmtId="2" fontId="32" fillId="2" borderId="0" xfId="0" applyNumberFormat="1" applyFont="1" applyFill="1"/>
    <xf numFmtId="171" fontId="1" fillId="2" borderId="4" xfId="0" applyNumberFormat="1" applyFont="1" applyFill="1" applyBorder="1" applyAlignment="1"/>
    <xf numFmtId="171" fontId="20" fillId="2" borderId="0" xfId="0" applyNumberFormat="1" applyFont="1" applyFill="1" applyBorder="1"/>
    <xf numFmtId="10" fontId="14" fillId="2" borderId="0" xfId="0" applyNumberFormat="1" applyFont="1" applyFill="1" applyBorder="1"/>
    <xf numFmtId="0" fontId="1" fillId="2" borderId="6" xfId="0" applyFont="1" applyFill="1" applyBorder="1" applyAlignment="1">
      <alignment horizontal="centerContinuous"/>
    </xf>
    <xf numFmtId="2" fontId="33" fillId="2" borderId="20" xfId="0" applyNumberFormat="1" applyFont="1" applyFill="1" applyBorder="1"/>
    <xf numFmtId="0" fontId="1" fillId="2" borderId="0" xfId="0" applyFont="1" applyFill="1" applyBorder="1" applyAlignment="1">
      <alignment horizontal="left"/>
    </xf>
    <xf numFmtId="10" fontId="34" fillId="2" borderId="0" xfId="0" applyNumberFormat="1" applyFont="1" applyFill="1" applyBorder="1"/>
    <xf numFmtId="10" fontId="1" fillId="0" borderId="23" xfId="0" applyNumberFormat="1" applyFont="1" applyFill="1" applyBorder="1"/>
    <xf numFmtId="2" fontId="35" fillId="2" borderId="21" xfId="0" applyNumberFormat="1" applyFont="1" applyFill="1" applyBorder="1"/>
    <xf numFmtId="168" fontId="20" fillId="2" borderId="0" xfId="0" applyNumberFormat="1" applyFont="1" applyFill="1" applyBorder="1"/>
    <xf numFmtId="10" fontId="1" fillId="2" borderId="22" xfId="0" applyNumberFormat="1" applyFont="1" applyFill="1" applyBorder="1"/>
    <xf numFmtId="2" fontId="36" fillId="2" borderId="18" xfId="0" applyNumberFormat="1" applyFont="1" applyFill="1" applyBorder="1"/>
    <xf numFmtId="171" fontId="1" fillId="2" borderId="5" xfId="0" applyNumberFormat="1" applyFont="1" applyFill="1" applyBorder="1" applyAlignment="1">
      <alignment horizontal="left" indent="1"/>
    </xf>
    <xf numFmtId="168" fontId="20" fillId="2" borderId="3" xfId="0" applyNumberFormat="1" applyFont="1" applyFill="1" applyBorder="1"/>
    <xf numFmtId="2" fontId="1" fillId="0" borderId="0" xfId="0" applyNumberFormat="1" applyFont="1" applyFill="1" applyBorder="1"/>
    <xf numFmtId="10" fontId="37" fillId="2" borderId="19" xfId="0" applyNumberFormat="1" applyFont="1" applyFill="1" applyBorder="1"/>
    <xf numFmtId="2" fontId="1" fillId="2" borderId="3" xfId="0" applyNumberFormat="1" applyFont="1" applyFill="1" applyBorder="1"/>
    <xf numFmtId="2" fontId="1" fillId="2" borderId="0" xfId="0" applyNumberFormat="1" applyFont="1" applyFill="1" applyBorder="1"/>
    <xf numFmtId="0" fontId="1" fillId="2" borderId="0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171" fontId="1" fillId="2" borderId="4" xfId="0" applyNumberFormat="1" applyFont="1" applyFill="1" applyBorder="1" applyAlignment="1">
      <alignment horizontal="left" indent="1"/>
    </xf>
    <xf numFmtId="0" fontId="5" fillId="2" borderId="0" xfId="0" applyFont="1" applyFill="1" applyBorder="1"/>
    <xf numFmtId="169" fontId="39" fillId="0" borderId="6" xfId="0" applyNumberFormat="1" applyFont="1" applyFill="1" applyBorder="1" applyAlignment="1">
      <alignment horizontal="left" indent="1"/>
    </xf>
    <xf numFmtId="10" fontId="19" fillId="2" borderId="0" xfId="0" applyNumberFormat="1" applyFont="1" applyFill="1"/>
    <xf numFmtId="10" fontId="1" fillId="2" borderId="24" xfId="0" applyNumberFormat="1" applyFont="1" applyFill="1" applyBorder="1"/>
    <xf numFmtId="0" fontId="5" fillId="0" borderId="0" xfId="0" applyFont="1" applyFill="1" applyBorder="1"/>
    <xf numFmtId="169" fontId="39" fillId="3" borderId="6" xfId="0" applyNumberFormat="1" applyFont="1" applyFill="1" applyBorder="1" applyAlignment="1">
      <alignment horizontal="left" indent="1"/>
    </xf>
    <xf numFmtId="10" fontId="19" fillId="2" borderId="3" xfId="0" applyNumberFormat="1" applyFont="1" applyFill="1" applyBorder="1"/>
    <xf numFmtId="0" fontId="5" fillId="2" borderId="3" xfId="0" applyFont="1" applyFill="1" applyBorder="1"/>
    <xf numFmtId="169" fontId="39" fillId="0" borderId="7" xfId="0" applyNumberFormat="1" applyFont="1" applyFill="1" applyBorder="1" applyAlignment="1">
      <alignment horizontal="left" indent="1"/>
    </xf>
    <xf numFmtId="10" fontId="1" fillId="2" borderId="0" xfId="0" applyNumberFormat="1" applyFont="1" applyFill="1"/>
    <xf numFmtId="10" fontId="1" fillId="2" borderId="25" xfId="0" applyNumberFormat="1" applyFont="1" applyFill="1" applyBorder="1"/>
    <xf numFmtId="0" fontId="2" fillId="2" borderId="11" xfId="0" applyFont="1" applyFill="1" applyBorder="1"/>
    <xf numFmtId="2" fontId="1" fillId="2" borderId="17" xfId="0" applyNumberFormat="1" applyFont="1" applyFill="1" applyBorder="1" applyAlignment="1">
      <alignment horizontal="center"/>
    </xf>
    <xf numFmtId="166" fontId="1" fillId="2" borderId="17" xfId="0" applyNumberFormat="1" applyFont="1" applyFill="1" applyBorder="1"/>
    <xf numFmtId="10" fontId="1" fillId="2" borderId="17" xfId="0" applyNumberFormat="1" applyFont="1" applyFill="1" applyBorder="1"/>
    <xf numFmtId="2" fontId="1" fillId="2" borderId="12" xfId="0" applyNumberFormat="1" applyFont="1" applyFill="1" applyBorder="1" applyAlignment="1">
      <alignment horizontal="center"/>
    </xf>
    <xf numFmtId="2" fontId="1" fillId="2" borderId="6" xfId="0" applyNumberFormat="1" applyFont="1" applyFill="1" applyBorder="1" applyAlignment="1">
      <alignment horizontal="center"/>
    </xf>
    <xf numFmtId="2" fontId="1" fillId="2" borderId="7" xfId="0" applyNumberFormat="1" applyFont="1" applyFill="1" applyBorder="1" applyAlignment="1">
      <alignment horizontal="center"/>
    </xf>
    <xf numFmtId="14" fontId="1" fillId="2" borderId="0" xfId="0" applyNumberFormat="1" applyFont="1" applyFill="1" applyAlignment="1">
      <alignment horizontal="left"/>
    </xf>
    <xf numFmtId="0" fontId="11" fillId="17" borderId="0" xfId="0" applyFont="1" applyFill="1" applyAlignment="1">
      <alignment vertical="center"/>
    </xf>
    <xf numFmtId="0" fontId="12" fillId="17" borderId="0" xfId="0" applyFont="1" applyFill="1" applyAlignment="1">
      <alignment vertical="center"/>
    </xf>
    <xf numFmtId="0" fontId="1" fillId="17" borderId="0" xfId="0" applyFont="1" applyFill="1" applyAlignment="1">
      <alignment vertical="center"/>
    </xf>
    <xf numFmtId="0" fontId="27" fillId="17" borderId="0" xfId="0" applyFont="1" applyFill="1"/>
    <xf numFmtId="0" fontId="21" fillId="17" borderId="0" xfId="0" applyFont="1" applyFill="1"/>
    <xf numFmtId="0" fontId="28" fillId="17" borderId="10" xfId="0" applyFont="1" applyFill="1" applyBorder="1" applyAlignment="1">
      <alignment horizontal="centerContinuous"/>
    </xf>
    <xf numFmtId="0" fontId="28" fillId="17" borderId="2" xfId="0" applyFont="1" applyFill="1" applyBorder="1" applyAlignment="1">
      <alignment horizontal="centerContinuous"/>
    </xf>
    <xf numFmtId="0" fontId="21" fillId="17" borderId="2" xfId="0" applyFont="1" applyFill="1" applyBorder="1" applyAlignment="1">
      <alignment horizontal="centerContinuous"/>
    </xf>
    <xf numFmtId="0" fontId="21" fillId="17" borderId="9" xfId="0" applyFont="1" applyFill="1" applyBorder="1"/>
    <xf numFmtId="2" fontId="21" fillId="17" borderId="2" xfId="0" applyNumberFormat="1" applyFont="1" applyFill="1" applyBorder="1" applyAlignment="1">
      <alignment horizontal="centerContinuous"/>
    </xf>
    <xf numFmtId="0" fontId="21" fillId="17" borderId="9" xfId="0" applyFont="1" applyFill="1" applyBorder="1" applyAlignment="1">
      <alignment horizontal="centerContinuous"/>
    </xf>
    <xf numFmtId="0" fontId="21" fillId="17" borderId="17" xfId="0" applyFont="1" applyFill="1" applyBorder="1" applyAlignment="1">
      <alignment horizontal="centerContinuous"/>
    </xf>
    <xf numFmtId="0" fontId="28" fillId="17" borderId="9" xfId="0" applyFont="1" applyFill="1" applyBorder="1" applyAlignment="1">
      <alignment horizontal="centerContinuous"/>
    </xf>
    <xf numFmtId="0" fontId="1" fillId="17" borderId="2" xfId="0" applyFont="1" applyFill="1" applyBorder="1" applyAlignment="1">
      <alignment horizontal="centerContinuous"/>
    </xf>
    <xf numFmtId="0" fontId="38" fillId="17" borderId="2" xfId="0" applyFont="1" applyFill="1" applyBorder="1" applyAlignment="1">
      <alignment horizontal="centerContinuous"/>
    </xf>
    <xf numFmtId="171" fontId="2" fillId="2" borderId="11" xfId="0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1" fillId="2" borderId="12" xfId="0" applyFont="1" applyFill="1" applyBorder="1"/>
    <xf numFmtId="0" fontId="16" fillId="2" borderId="0" xfId="0" applyFont="1" applyFill="1" applyBorder="1"/>
    <xf numFmtId="167" fontId="1" fillId="18" borderId="11" xfId="0" applyNumberFormat="1" applyFont="1" applyFill="1" applyBorder="1" applyAlignment="1">
      <alignment horizontal="center"/>
    </xf>
    <xf numFmtId="167" fontId="1" fillId="18" borderId="17" xfId="0" applyNumberFormat="1" applyFont="1" applyFill="1" applyBorder="1" applyAlignment="1">
      <alignment horizontal="center"/>
    </xf>
    <xf numFmtId="167" fontId="1" fillId="18" borderId="12" xfId="0" applyNumberFormat="1" applyFont="1" applyFill="1" applyBorder="1" applyAlignment="1">
      <alignment horizontal="center"/>
    </xf>
    <xf numFmtId="167" fontId="1" fillId="18" borderId="4" xfId="0" applyNumberFormat="1" applyFont="1" applyFill="1" applyBorder="1" applyAlignment="1">
      <alignment horizontal="center"/>
    </xf>
    <xf numFmtId="167" fontId="1" fillId="18" borderId="0" xfId="0" applyNumberFormat="1" applyFont="1" applyFill="1" applyBorder="1" applyAlignment="1">
      <alignment horizontal="center"/>
    </xf>
    <xf numFmtId="167" fontId="1" fillId="18" borderId="6" xfId="0" applyNumberFormat="1" applyFont="1" applyFill="1" applyBorder="1" applyAlignment="1">
      <alignment horizontal="center"/>
    </xf>
    <xf numFmtId="167" fontId="1" fillId="18" borderId="5" xfId="0" applyNumberFormat="1" applyFont="1" applyFill="1" applyBorder="1" applyAlignment="1">
      <alignment horizontal="center"/>
    </xf>
    <xf numFmtId="167" fontId="1" fillId="18" borderId="3" xfId="0" applyNumberFormat="1" applyFont="1" applyFill="1" applyBorder="1" applyAlignment="1">
      <alignment horizontal="center"/>
    </xf>
    <xf numFmtId="167" fontId="1" fillId="18" borderId="7" xfId="0" applyNumberFormat="1" applyFont="1" applyFill="1" applyBorder="1" applyAlignment="1">
      <alignment horizontal="center"/>
    </xf>
    <xf numFmtId="167" fontId="1" fillId="19" borderId="0" xfId="0" applyNumberFormat="1" applyFont="1" applyFill="1" applyBorder="1" applyAlignment="1">
      <alignment horizontal="center"/>
    </xf>
    <xf numFmtId="0" fontId="1" fillId="4" borderId="0" xfId="0" applyFont="1" applyFill="1" applyBorder="1"/>
    <xf numFmtId="0" fontId="1" fillId="6" borderId="0" xfId="0" applyFont="1" applyFill="1" applyBorder="1"/>
    <xf numFmtId="0" fontId="1" fillId="5" borderId="0" xfId="0" applyFont="1" applyFill="1" applyBorder="1"/>
    <xf numFmtId="0" fontId="1" fillId="7" borderId="0" xfId="0" applyFont="1" applyFill="1" applyBorder="1"/>
    <xf numFmtId="0" fontId="1" fillId="8" borderId="0" xfId="0" applyFont="1" applyFill="1" applyBorder="1"/>
    <xf numFmtId="0" fontId="1" fillId="9" borderId="0" xfId="0" applyFont="1" applyFill="1" applyBorder="1"/>
    <xf numFmtId="0" fontId="1" fillId="10" borderId="0" xfId="0" applyFont="1" applyFill="1" applyBorder="1"/>
    <xf numFmtId="0" fontId="1" fillId="3" borderId="6" xfId="0" applyFont="1" applyFill="1" applyBorder="1"/>
    <xf numFmtId="167" fontId="1" fillId="20" borderId="11" xfId="0" applyNumberFormat="1" applyFont="1" applyFill="1" applyBorder="1" applyAlignment="1">
      <alignment horizontal="center"/>
    </xf>
    <xf numFmtId="167" fontId="1" fillId="20" borderId="17" xfId="0" applyNumberFormat="1" applyFont="1" applyFill="1" applyBorder="1" applyAlignment="1">
      <alignment horizontal="center"/>
    </xf>
    <xf numFmtId="167" fontId="1" fillId="20" borderId="12" xfId="0" applyNumberFormat="1" applyFont="1" applyFill="1" applyBorder="1" applyAlignment="1">
      <alignment horizontal="center"/>
    </xf>
    <xf numFmtId="167" fontId="1" fillId="20" borderId="4" xfId="0" applyNumberFormat="1" applyFont="1" applyFill="1" applyBorder="1" applyAlignment="1">
      <alignment horizontal="center"/>
    </xf>
    <xf numFmtId="167" fontId="1" fillId="20" borderId="6" xfId="0" applyNumberFormat="1" applyFont="1" applyFill="1" applyBorder="1" applyAlignment="1">
      <alignment horizontal="center"/>
    </xf>
    <xf numFmtId="167" fontId="1" fillId="20" borderId="5" xfId="0" applyNumberFormat="1" applyFont="1" applyFill="1" applyBorder="1" applyAlignment="1">
      <alignment horizontal="center"/>
    </xf>
    <xf numFmtId="167" fontId="1" fillId="20" borderId="3" xfId="0" applyNumberFormat="1" applyFont="1" applyFill="1" applyBorder="1" applyAlignment="1">
      <alignment horizontal="center"/>
    </xf>
    <xf numFmtId="167" fontId="1" fillId="20" borderId="7" xfId="0" applyNumberFormat="1" applyFont="1" applyFill="1" applyBorder="1" applyAlignment="1">
      <alignment horizontal="center"/>
    </xf>
    <xf numFmtId="0" fontId="1" fillId="2" borderId="10" xfId="0" applyFont="1" applyFill="1" applyBorder="1"/>
    <xf numFmtId="10" fontId="14" fillId="2" borderId="9" xfId="0" applyNumberFormat="1" applyFont="1" applyFill="1" applyBorder="1" applyAlignment="1"/>
    <xf numFmtId="10" fontId="1" fillId="2" borderId="6" xfId="0" applyNumberFormat="1" applyFont="1" applyFill="1" applyBorder="1"/>
    <xf numFmtId="0" fontId="19" fillId="0" borderId="4" xfId="0" applyFont="1" applyBorder="1" applyAlignment="1">
      <alignment horizontal="left" vertical="top"/>
    </xf>
    <xf numFmtId="0" fontId="40" fillId="0" borderId="4" xfId="0" applyFont="1" applyBorder="1" applyAlignment="1">
      <alignment horizontal="left" vertical="top"/>
    </xf>
    <xf numFmtId="0" fontId="40" fillId="0" borderId="5" xfId="0" applyFont="1" applyBorder="1" applyAlignment="1">
      <alignment horizontal="left" vertical="top"/>
    </xf>
    <xf numFmtId="10" fontId="23" fillId="3" borderId="5" xfId="0" applyNumberFormat="1" applyFont="1" applyFill="1" applyBorder="1" applyAlignment="1">
      <alignment horizontal="center"/>
    </xf>
    <xf numFmtId="10" fontId="40" fillId="2" borderId="0" xfId="0" applyNumberFormat="1" applyFont="1" applyFill="1" applyAlignment="1">
      <alignment horizontal="center"/>
    </xf>
    <xf numFmtId="10" fontId="23" fillId="0" borderId="0" xfId="0" applyNumberFormat="1" applyFont="1" applyFill="1" applyAlignment="1">
      <alignment horizontal="center"/>
    </xf>
    <xf numFmtId="10" fontId="2" fillId="2" borderId="38" xfId="0" applyNumberFormat="1" applyFont="1" applyFill="1" applyBorder="1"/>
    <xf numFmtId="10" fontId="1" fillId="2" borderId="38" xfId="0" applyNumberFormat="1" applyFont="1" applyFill="1" applyBorder="1"/>
    <xf numFmtId="166" fontId="1" fillId="0" borderId="0" xfId="0" applyNumberFormat="1" applyFont="1" applyFill="1" applyBorder="1"/>
    <xf numFmtId="173" fontId="1" fillId="0" borderId="0" xfId="0" applyNumberFormat="1" applyFont="1" applyFill="1" applyBorder="1"/>
    <xf numFmtId="166" fontId="1" fillId="2" borderId="38" xfId="0" applyNumberFormat="1" applyFont="1" applyFill="1" applyBorder="1"/>
    <xf numFmtId="3" fontId="7" fillId="0" borderId="0" xfId="0" applyNumberFormat="1" applyFont="1"/>
    <xf numFmtId="170" fontId="7" fillId="0" borderId="12" xfId="0" applyNumberFormat="1" applyFont="1" applyBorder="1"/>
    <xf numFmtId="10" fontId="1" fillId="13" borderId="39" xfId="0" applyNumberFormat="1" applyFont="1" applyFill="1" applyBorder="1"/>
    <xf numFmtId="3" fontId="1" fillId="2" borderId="6" xfId="0" applyNumberFormat="1" applyFont="1" applyFill="1" applyBorder="1"/>
    <xf numFmtId="10" fontId="1" fillId="0" borderId="6" xfId="0" applyNumberFormat="1" applyFont="1" applyFill="1" applyBorder="1"/>
    <xf numFmtId="172" fontId="1" fillId="2" borderId="6" xfId="0" applyNumberFormat="1" applyFont="1" applyFill="1" applyBorder="1"/>
    <xf numFmtId="10" fontId="43" fillId="2" borderId="6" xfId="0" applyNumberFormat="1" applyFont="1" applyFill="1" applyBorder="1"/>
    <xf numFmtId="10" fontId="43" fillId="0" borderId="6" xfId="0" applyNumberFormat="1" applyFont="1" applyFill="1" applyBorder="1"/>
    <xf numFmtId="0" fontId="43" fillId="2" borderId="6" xfId="0" applyFont="1" applyFill="1" applyBorder="1" applyAlignment="1">
      <alignment horizontal="right"/>
    </xf>
    <xf numFmtId="0" fontId="43" fillId="0" borderId="6" xfId="0" applyFont="1" applyFill="1" applyBorder="1"/>
    <xf numFmtId="174" fontId="15" fillId="16" borderId="0" xfId="0" applyNumberFormat="1" applyFont="1" applyFill="1" applyBorder="1"/>
    <xf numFmtId="174" fontId="15" fillId="2" borderId="0" xfId="0" applyNumberFormat="1" applyFont="1" applyFill="1" applyBorder="1"/>
    <xf numFmtId="174" fontId="15" fillId="13" borderId="0" xfId="0" applyNumberFormat="1" applyFont="1" applyFill="1" applyBorder="1"/>
    <xf numFmtId="174" fontId="15" fillId="2" borderId="0" xfId="0" applyNumberFormat="1" applyFont="1" applyFill="1"/>
    <xf numFmtId="166" fontId="1" fillId="14" borderId="0" xfId="0" applyNumberFormat="1" applyFont="1" applyFill="1" applyBorder="1" applyAlignment="1">
      <alignment horizontal="right"/>
    </xf>
    <xf numFmtId="0" fontId="15" fillId="2" borderId="0" xfId="0" applyFont="1" applyFill="1" applyAlignment="1">
      <alignment horizontal="centerContinuous"/>
    </xf>
    <xf numFmtId="0" fontId="1" fillId="14" borderId="0" xfId="0" applyFont="1" applyFill="1" applyBorder="1"/>
    <xf numFmtId="0" fontId="1" fillId="16" borderId="0" xfId="0" applyFont="1" applyFill="1" applyBorder="1"/>
    <xf numFmtId="0" fontId="1" fillId="11" borderId="0" xfId="0" applyFont="1" applyFill="1" applyBorder="1"/>
    <xf numFmtId="0" fontId="1" fillId="13" borderId="0" xfId="0" applyFont="1" applyFill="1" applyBorder="1"/>
    <xf numFmtId="0" fontId="1" fillId="12" borderId="0" xfId="0" applyFont="1" applyFill="1" applyBorder="1"/>
    <xf numFmtId="0" fontId="1" fillId="21" borderId="0" xfId="0" applyFont="1" applyFill="1" applyBorder="1"/>
    <xf numFmtId="0" fontId="1" fillId="15" borderId="0" xfId="0" applyFont="1" applyFill="1" applyBorder="1"/>
    <xf numFmtId="0" fontId="1" fillId="22" borderId="0" xfId="0" applyFont="1" applyFill="1" applyBorder="1"/>
    <xf numFmtId="0" fontId="1" fillId="23" borderId="0" xfId="0" applyFont="1" applyFill="1" applyBorder="1"/>
    <xf numFmtId="0" fontId="1" fillId="24" borderId="0" xfId="0" applyFont="1" applyFill="1" applyBorder="1"/>
    <xf numFmtId="175" fontId="1" fillId="2" borderId="38" xfId="0" applyNumberFormat="1" applyFont="1" applyFill="1" applyBorder="1"/>
    <xf numFmtId="0" fontId="2" fillId="2" borderId="0" xfId="0" applyFont="1" applyFill="1" applyAlignment="1">
      <alignment horizontal="center" vertical="center" textRotation="90"/>
    </xf>
    <xf numFmtId="10" fontId="1" fillId="0" borderId="0" xfId="0" applyNumberFormat="1" applyFont="1" applyFill="1" applyBorder="1"/>
    <xf numFmtId="9" fontId="1" fillId="2" borderId="0" xfId="0" applyNumberFormat="1" applyFont="1" applyFill="1" applyBorder="1"/>
    <xf numFmtId="10" fontId="0" fillId="0" borderId="0" xfId="0" applyNumberFormat="1"/>
    <xf numFmtId="9" fontId="0" fillId="0" borderId="0" xfId="0" applyNumberFormat="1"/>
    <xf numFmtId="9" fontId="1" fillId="2" borderId="0" xfId="0" applyNumberFormat="1" applyFont="1" applyFill="1"/>
    <xf numFmtId="0" fontId="7" fillId="2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  <color rgb="FF008000"/>
      <color rgb="FF3A3AE2"/>
      <color rgb="FFFFCC00"/>
      <color rgb="FFFF9933"/>
      <color rgb="FF99FF99"/>
      <color rgb="FF666699"/>
      <color rgb="FF00CC99"/>
      <color rgb="FF000000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41413</xdr:colOff>
      <xdr:row>0</xdr:row>
      <xdr:rowOff>57150</xdr:rowOff>
    </xdr:from>
    <xdr:to>
      <xdr:col>13</xdr:col>
      <xdr:colOff>28575</xdr:colOff>
      <xdr:row>0</xdr:row>
      <xdr:rowOff>331823</xdr:rowOff>
    </xdr:to>
    <xdr:pic>
      <xdr:nvPicPr>
        <xdr:cNvPr id="1129" name="Picture 2" descr="CIQlogo_white_transparent_w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55196" y="57150"/>
          <a:ext cx="1212988" cy="2746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41413</xdr:colOff>
      <xdr:row>0</xdr:row>
      <xdr:rowOff>57150</xdr:rowOff>
    </xdr:from>
    <xdr:to>
      <xdr:col>13</xdr:col>
      <xdr:colOff>28575</xdr:colOff>
      <xdr:row>2</xdr:row>
      <xdr:rowOff>27023</xdr:rowOff>
    </xdr:to>
    <xdr:pic>
      <xdr:nvPicPr>
        <xdr:cNvPr id="2" name="Picture 2" descr="CIQlogo_white_transparent_w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27863" y="57150"/>
          <a:ext cx="1206362" cy="2746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295275</xdr:colOff>
      <xdr:row>0</xdr:row>
      <xdr:rowOff>47625</xdr:rowOff>
    </xdr:from>
    <xdr:to>
      <xdr:col>18</xdr:col>
      <xdr:colOff>247651</xdr:colOff>
      <xdr:row>0</xdr:row>
      <xdr:rowOff>352425</xdr:rowOff>
    </xdr:to>
    <xdr:pic>
      <xdr:nvPicPr>
        <xdr:cNvPr id="2077" name="Picture 1" descr="CIQlogo_white_transparent_w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48375" y="47625"/>
          <a:ext cx="1352551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9"/>
  <sheetViews>
    <sheetView showGridLines="0" zoomScaleNormal="100" workbookViewId="0">
      <selection activeCell="J30" sqref="A1:XFD1048576"/>
    </sheetView>
  </sheetViews>
  <sheetFormatPr defaultRowHeight="12.75" x14ac:dyDescent="0.2"/>
  <cols>
    <col min="1" max="1" width="3.42578125" style="8" customWidth="1"/>
    <col min="2" max="2" width="25.7109375" style="8" customWidth="1"/>
    <col min="3" max="5" width="9.140625" style="8"/>
    <col min="6" max="6" width="3.85546875" style="8" customWidth="1"/>
    <col min="7" max="12" width="9.140625" style="8"/>
    <col min="13" max="13" width="11.140625" style="8" customWidth="1"/>
    <col min="14" max="16384" width="9.140625" style="8"/>
  </cols>
  <sheetData>
    <row r="2" spans="2:13" x14ac:dyDescent="0.2">
      <c r="B2" s="9" t="s">
        <v>1</v>
      </c>
      <c r="C2" s="10" t="str">
        <f>DCF!E3</f>
        <v>PEP</v>
      </c>
      <c r="D2" s="11"/>
    </row>
    <row r="3" spans="2:13" x14ac:dyDescent="0.2">
      <c r="B3" s="9" t="s">
        <v>2</v>
      </c>
      <c r="C3" s="11" t="str">
        <f>_xll.ciqfunctions.udf.CIQ(C2, "IQ_COMPANY_NAME")</f>
        <v>PepsiCo, Inc.</v>
      </c>
      <c r="D3" s="11"/>
    </row>
    <row r="5" spans="2:13" x14ac:dyDescent="0.2">
      <c r="B5" s="12"/>
      <c r="C5" s="13" t="str">
        <f>DCF!D12</f>
        <v>FY2015</v>
      </c>
      <c r="D5" s="13" t="str">
        <f>DCF!E12</f>
        <v>FY2016</v>
      </c>
      <c r="E5" s="13" t="str">
        <f>DCF!F12</f>
        <v>FY2017</v>
      </c>
      <c r="F5" s="13"/>
      <c r="G5" s="13" t="str">
        <f>DCF!H12</f>
        <v>FY2018</v>
      </c>
      <c r="H5" s="13" t="str">
        <f>DCF!I12</f>
        <v>FY2019</v>
      </c>
      <c r="I5" s="13" t="str">
        <f>DCF!J12</f>
        <v>FY2020</v>
      </c>
      <c r="J5" s="13" t="str">
        <f>DCF!K12</f>
        <v>FY2021</v>
      </c>
      <c r="K5" s="13" t="str">
        <f>DCF!L12</f>
        <v>FY2022</v>
      </c>
      <c r="L5" s="13" t="str">
        <f>DCF!M12</f>
        <v>FY2023</v>
      </c>
      <c r="M5" s="13" t="str">
        <f>DCF!N12</f>
        <v>FY2024</v>
      </c>
    </row>
    <row r="6" spans="2:13" x14ac:dyDescent="0.2">
      <c r="B6" s="8" t="s">
        <v>67</v>
      </c>
      <c r="C6" s="209">
        <f>_xll.ciqfunctions.udf.CIQ($C$2, "IQ_TOTAL_RECEIV", IQ_LTM, C5)</f>
        <v>6437</v>
      </c>
      <c r="D6" s="209">
        <f>_xll.ciqfunctions.udf.CIQ($C$2, "IQ_TOTAL_RECEIV", IQ_LTM, D5)</f>
        <v>6694</v>
      </c>
      <c r="E6" s="209">
        <f>_xll.ciqfunctions.udf.CIQ($C$2, "IQ_TOTAL_RECEIV", IQ_LTM, E5)</f>
        <v>7024</v>
      </c>
      <c r="F6" s="209"/>
      <c r="G6" s="209">
        <f>DCF!H13/365*G15</f>
        <v>6956.745076809595</v>
      </c>
      <c r="H6" s="209">
        <f>DCF!I13/365*H15</f>
        <v>7180.1353675293576</v>
      </c>
      <c r="I6" s="209">
        <f>DCF!J13/365*I15</f>
        <v>7408.5602654654649</v>
      </c>
      <c r="J6" s="209">
        <f>DCF!K13/365*J15</f>
        <v>7579.9185004648289</v>
      </c>
      <c r="K6" s="209">
        <f>DCF!L13/365*K15</f>
        <v>7811.2140803657167</v>
      </c>
      <c r="L6" s="209">
        <f>DCF!M13/365*L15</f>
        <v>8260.1307602883717</v>
      </c>
      <c r="M6" s="209">
        <f>DCF!N13/365*M15</f>
        <v>8552.9881036917504</v>
      </c>
    </row>
    <row r="7" spans="2:13" x14ac:dyDescent="0.2">
      <c r="B7" s="8" t="s">
        <v>68</v>
      </c>
      <c r="C7" s="209">
        <f>_xll.ciqfunctions.udf.CIQ($C$2, "IQ_INVENTORY", IQ_LTM, C5)</f>
        <v>2720</v>
      </c>
      <c r="D7" s="209">
        <f>_xll.ciqfunctions.udf.CIQ($C$2, "IQ_INVENTORY", IQ_LTM, D5)</f>
        <v>2723</v>
      </c>
      <c r="E7" s="209">
        <f>_xll.ciqfunctions.udf.CIQ($C$2, "IQ_INVENTORY", IQ_LTM, E5)</f>
        <v>2947</v>
      </c>
      <c r="F7" s="209"/>
      <c r="G7" s="209">
        <f>(DCF!H13-DCF!H14)/365*G16</f>
        <v>2895.8230981534953</v>
      </c>
      <c r="H7" s="209">
        <f>(DCF!I13-DCF!I14)/365*H16</f>
        <v>2988.8118100621659</v>
      </c>
      <c r="I7" s="209">
        <f>(DCF!J13-DCF!J14)/365*I16</f>
        <v>3083.8962336443647</v>
      </c>
      <c r="J7" s="209">
        <f>(DCF!K13-DCF!K14)/365*J16</f>
        <v>3155.2260192684116</v>
      </c>
      <c r="K7" s="209">
        <f>(DCF!L13-DCF!L14)/365*K16</f>
        <v>3251.5053963884029</v>
      </c>
      <c r="L7" s="209">
        <f>(DCF!M13-DCF!M14)/365*L16</f>
        <v>3438.3719951372805</v>
      </c>
      <c r="M7" s="209">
        <f>(DCF!N13-DCF!N14)/365*M16</f>
        <v>3560.2771461997218</v>
      </c>
    </row>
    <row r="8" spans="2:13" x14ac:dyDescent="0.2">
      <c r="B8" s="8" t="s">
        <v>70</v>
      </c>
      <c r="C8" s="209">
        <f>_xll.ciqfunctions.udf.CIQ($C$2, "IQ_PREPAID_EXP", IQ_LTM, C5)</f>
        <v>1134</v>
      </c>
      <c r="D8" s="209">
        <f>_xll.ciqfunctions.udf.CIQ($C$2, "IQ_PREPAID_EXP", IQ_LTM, D5)</f>
        <v>876</v>
      </c>
      <c r="E8" s="209">
        <f>_xll.ciqfunctions.udf.CIQ($C$2, "IQ_PREPAID_EXP", IQ_LTM, E5)</f>
        <v>1500</v>
      </c>
      <c r="F8" s="209"/>
      <c r="G8" s="209">
        <f>(DCF!H13-DCF!H14)/365*G17</f>
        <v>1542.0241573005401</v>
      </c>
      <c r="H8" s="209">
        <f>(DCF!I13-DCF!I14)/365*H17</f>
        <v>1591.540593650144</v>
      </c>
      <c r="I8" s="209">
        <f>(DCF!J13-DCF!J14)/365*I17</f>
        <v>1642.1729952772462</v>
      </c>
      <c r="J8" s="209">
        <f>(DCF!K13-DCF!K14)/365*J17</f>
        <v>1680.1560656648971</v>
      </c>
      <c r="K8" s="209">
        <f>(DCF!L13-DCF!L14)/365*K17</f>
        <v>1731.4247793731149</v>
      </c>
      <c r="L8" s="209">
        <f>(DCF!M13-DCF!M14)/365*L17</f>
        <v>1830.9311372190396</v>
      </c>
      <c r="M8" s="209">
        <f>(DCF!N13-DCF!N14)/365*M17</f>
        <v>1895.8455610170681</v>
      </c>
    </row>
    <row r="9" spans="2:13" x14ac:dyDescent="0.2">
      <c r="B9" s="8" t="s">
        <v>69</v>
      </c>
      <c r="C9" s="209">
        <f>_xll.ciqfunctions.udf.CIQ($C$2, "IQ_AP", IQ_LTM, C5)</f>
        <v>5546</v>
      </c>
      <c r="D9" s="209">
        <f>_xll.ciqfunctions.udf.CIQ($C$2, "IQ_AP", IQ_LTM, D5)</f>
        <v>6158</v>
      </c>
      <c r="E9" s="209">
        <f>_xll.ciqfunctions.udf.CIQ($C$2, "IQ_AP", IQ_LTM, E5)</f>
        <v>6727</v>
      </c>
      <c r="F9" s="209"/>
      <c r="G9" s="209">
        <f>(DCF!H13-DCF!H14)/365*G18</f>
        <v>6915.4643374404886</v>
      </c>
      <c r="H9" s="209">
        <f>(DCF!I13-DCF!I14)/365*H18</f>
        <v>7137.5290489896797</v>
      </c>
      <c r="I9" s="209">
        <f>(DCF!J13-DCF!J14)/365*I18</f>
        <v>7364.5984928200241</v>
      </c>
      <c r="J9" s="209">
        <f>(DCF!K13-DCF!K14)/365*J18</f>
        <v>7534.9399024851764</v>
      </c>
      <c r="K9" s="209">
        <f>(DCF!L13-DCF!L14)/365*K18</f>
        <v>7764.8629938952963</v>
      </c>
      <c r="L9" s="209">
        <f>(DCF!M13-DCF!M14)/365*L18</f>
        <v>8211.11584004832</v>
      </c>
      <c r="M9" s="209">
        <f>(DCF!N13-DCF!N14)/365*M18</f>
        <v>8502.2353926412125</v>
      </c>
    </row>
    <row r="10" spans="2:13" x14ac:dyDescent="0.2">
      <c r="B10" s="8" t="s">
        <v>71</v>
      </c>
      <c r="C10" s="209">
        <f>_xll.ciqfunctions.udf.CIQ($C$2, "IQ_AE", IQ_LTM, C5)</f>
        <v>4078</v>
      </c>
      <c r="D10" s="209">
        <f>_xll.ciqfunctions.udf.CIQ($C$2, "IQ_AE", IQ_LTM, D5)</f>
        <v>4214</v>
      </c>
      <c r="E10" s="209">
        <f>_xll.ciqfunctions.udf.CIQ($C$2, "IQ_AE", IQ_LTM, E5)</f>
        <v>4175</v>
      </c>
      <c r="F10" s="209"/>
      <c r="G10" s="209">
        <f>(DCF!H13-DCF!H14)/365*G19</f>
        <v>4291.9672378198366</v>
      </c>
      <c r="H10" s="209">
        <f>(DCF!I13-DCF!I14)/365*H19</f>
        <v>4429.7879856595673</v>
      </c>
      <c r="I10" s="209">
        <f>(DCF!J13-DCF!J14)/365*I19</f>
        <v>4570.7148368550024</v>
      </c>
      <c r="J10" s="209">
        <f>(DCF!K13-DCF!K14)/365*J19</f>
        <v>4676.4343827672974</v>
      </c>
      <c r="K10" s="209">
        <f>(DCF!L13-DCF!L14)/365*K19</f>
        <v>4819.1323025885031</v>
      </c>
      <c r="L10" s="209">
        <f>(DCF!M13-DCF!M14)/365*L19</f>
        <v>5096.0916652596607</v>
      </c>
      <c r="M10" s="209">
        <f>(DCF!N13-DCF!N14)/365*M19</f>
        <v>5276.7701448308399</v>
      </c>
    </row>
    <row r="11" spans="2:13" x14ac:dyDescent="0.2">
      <c r="C11" s="209"/>
      <c r="D11" s="209"/>
      <c r="E11" s="209"/>
      <c r="F11" s="209"/>
      <c r="G11" s="209"/>
      <c r="H11" s="209"/>
      <c r="I11" s="209"/>
      <c r="J11" s="209"/>
      <c r="K11" s="209"/>
      <c r="L11" s="209"/>
      <c r="M11" s="209"/>
    </row>
    <row r="12" spans="2:13" x14ac:dyDescent="0.2">
      <c r="B12" s="8" t="s">
        <v>77</v>
      </c>
      <c r="C12" s="209">
        <f>SUM(C6:C8)-SUM(C9:C10)</f>
        <v>667</v>
      </c>
      <c r="D12" s="209">
        <f t="shared" ref="D12:K12" si="0">SUM(D6:D8)-SUM(D9:D10)</f>
        <v>-79</v>
      </c>
      <c r="E12" s="209">
        <f t="shared" si="0"/>
        <v>569</v>
      </c>
      <c r="F12" s="209"/>
      <c r="G12" s="209">
        <f t="shared" si="0"/>
        <v>187.16075700330475</v>
      </c>
      <c r="H12" s="209">
        <f t="shared" si="0"/>
        <v>193.17073659241942</v>
      </c>
      <c r="I12" s="209">
        <f t="shared" si="0"/>
        <v>199.3161647120487</v>
      </c>
      <c r="J12" s="209">
        <f t="shared" si="0"/>
        <v>203.92630014566384</v>
      </c>
      <c r="K12" s="209">
        <f t="shared" si="0"/>
        <v>210.14895964343486</v>
      </c>
      <c r="L12" s="209">
        <f t="shared" ref="L12:M12" si="1">SUM(L6:L8)-SUM(L9:L10)</f>
        <v>222.2263873367101</v>
      </c>
      <c r="M12" s="209">
        <f t="shared" si="1"/>
        <v>230.10527343648755</v>
      </c>
    </row>
    <row r="13" spans="2:13" x14ac:dyDescent="0.2">
      <c r="B13" s="14" t="s">
        <v>78</v>
      </c>
      <c r="C13" s="14"/>
      <c r="D13" s="14"/>
      <c r="E13" s="14"/>
      <c r="F13" s="14"/>
      <c r="G13" s="15">
        <f>G12-E12</f>
        <v>-381.83924299669525</v>
      </c>
      <c r="H13" s="15">
        <f>H12-G12</f>
        <v>6.0099795891146641</v>
      </c>
      <c r="I13" s="15">
        <f t="shared" ref="I13:K13" si="2">I12-H12</f>
        <v>6.1454281196292868</v>
      </c>
      <c r="J13" s="15">
        <f t="shared" si="2"/>
        <v>4.6101354336151417</v>
      </c>
      <c r="K13" s="15">
        <f t="shared" si="2"/>
        <v>6.2226594977710192</v>
      </c>
      <c r="L13" s="15">
        <f t="shared" ref="L13" si="3">L12-K12</f>
        <v>12.07742769327524</v>
      </c>
      <c r="M13" s="15">
        <f t="shared" ref="M13" si="4">M12-L12</f>
        <v>7.8788860997774464</v>
      </c>
    </row>
    <row r="15" spans="2:13" x14ac:dyDescent="0.2">
      <c r="B15" s="16" t="s">
        <v>72</v>
      </c>
      <c r="C15" s="17">
        <f>(C6/DCF!D13)*365</f>
        <v>37.260609616848519</v>
      </c>
      <c r="D15" s="17">
        <f>(D6/DCF!E13)*365</f>
        <v>38.906829726588001</v>
      </c>
      <c r="E15" s="17">
        <f>(E6/DCF!F13)*365</f>
        <v>40.35828414010232</v>
      </c>
      <c r="F15" s="18"/>
      <c r="G15" s="17">
        <f>AVERAGE($C$15:$E$15)</f>
        <v>38.841907827846278</v>
      </c>
      <c r="H15" s="17">
        <f t="shared" ref="H15:M15" si="5">AVERAGE($C$15:$E$15)</f>
        <v>38.841907827846278</v>
      </c>
      <c r="I15" s="17">
        <f t="shared" si="5"/>
        <v>38.841907827846278</v>
      </c>
      <c r="J15" s="17">
        <f t="shared" si="5"/>
        <v>38.841907827846278</v>
      </c>
      <c r="K15" s="17">
        <f t="shared" si="5"/>
        <v>38.841907827846278</v>
      </c>
      <c r="L15" s="17">
        <f t="shared" si="5"/>
        <v>38.841907827846278</v>
      </c>
      <c r="M15" s="210">
        <f t="shared" si="5"/>
        <v>38.841907827846278</v>
      </c>
    </row>
    <row r="16" spans="2:13" x14ac:dyDescent="0.2">
      <c r="B16" s="19" t="s">
        <v>73</v>
      </c>
      <c r="C16" s="20">
        <f>(C7/(DCF!D13-DCF!D14))*365</f>
        <v>34.555010267655142</v>
      </c>
      <c r="D16" s="20">
        <f>(D7/(DCF!E13-DCF!E14))*365</f>
        <v>35.233258889007054</v>
      </c>
      <c r="E16" s="20">
        <f>(E7/(DCF!F13-DCF!F14))*365</f>
        <v>37.368594754212261</v>
      </c>
      <c r="F16" s="21"/>
      <c r="G16" s="20">
        <f>AVERAGE($C$16:$E$16)</f>
        <v>35.718954636958152</v>
      </c>
      <c r="H16" s="20">
        <f>AVERAGE($C$16:$E$16)</f>
        <v>35.718954636958152</v>
      </c>
      <c r="I16" s="20">
        <f>AVERAGE($C$16:$E$16)</f>
        <v>35.718954636958152</v>
      </c>
      <c r="J16" s="20">
        <f>AVERAGE($C$16:$E$16)</f>
        <v>35.718954636958152</v>
      </c>
      <c r="K16" s="20">
        <f>AVERAGE($C$16:$E$16)</f>
        <v>35.718954636958152</v>
      </c>
      <c r="L16" s="20">
        <f t="shared" ref="L16:M16" si="6">AVERAGE($C$16:$E$16)</f>
        <v>35.718954636958152</v>
      </c>
      <c r="M16" s="22">
        <f t="shared" si="6"/>
        <v>35.718954636958152</v>
      </c>
    </row>
    <row r="17" spans="2:13" x14ac:dyDescent="0.2">
      <c r="B17" s="19" t="s">
        <v>74</v>
      </c>
      <c r="C17" s="20">
        <f>(C8/(DCF!D13-DCF!D14))*365</f>
        <v>14.406390310117992</v>
      </c>
      <c r="D17" s="20">
        <f>(D8/(DCF!E13-DCF!E14))*365</f>
        <v>11.334680421142188</v>
      </c>
      <c r="E17" s="20">
        <f>(E8/(DCF!F13-DCF!F14))*365</f>
        <v>19.020323084940074</v>
      </c>
      <c r="F17" s="21"/>
      <c r="G17" s="20">
        <f>$E$17</f>
        <v>19.020323084940074</v>
      </c>
      <c r="H17" s="20">
        <f>$E$17</f>
        <v>19.020323084940074</v>
      </c>
      <c r="I17" s="20">
        <f>$E$17</f>
        <v>19.020323084940074</v>
      </c>
      <c r="J17" s="20">
        <f>$E$17</f>
        <v>19.020323084940074</v>
      </c>
      <c r="K17" s="20">
        <f>$E$17</f>
        <v>19.020323084940074</v>
      </c>
      <c r="L17" s="20">
        <f t="shared" ref="L17:M17" si="7">$E$17</f>
        <v>19.020323084940074</v>
      </c>
      <c r="M17" s="22">
        <f t="shared" si="7"/>
        <v>19.020323084940074</v>
      </c>
    </row>
    <row r="18" spans="2:13" x14ac:dyDescent="0.2">
      <c r="B18" s="19" t="s">
        <v>75</v>
      </c>
      <c r="C18" s="20">
        <f>(C9/(DCF!D13-DCF!D14))*365</f>
        <v>70.456649611917442</v>
      </c>
      <c r="D18" s="20">
        <f>(D9/(DCF!E13-DCF!E14))*365</f>
        <v>79.679180403417348</v>
      </c>
      <c r="E18" s="20">
        <f>(E9/(DCF!F13-DCF!F14))*365</f>
        <v>85.299808928261257</v>
      </c>
      <c r="F18" s="21"/>
      <c r="G18" s="20">
        <f>$E$18</f>
        <v>85.299808928261257</v>
      </c>
      <c r="H18" s="20">
        <f>$E$18</f>
        <v>85.299808928261257</v>
      </c>
      <c r="I18" s="20">
        <f>$E$18</f>
        <v>85.299808928261257</v>
      </c>
      <c r="J18" s="20">
        <f>$E$18</f>
        <v>85.299808928261257</v>
      </c>
      <c r="K18" s="20">
        <f>$E$18</f>
        <v>85.299808928261257</v>
      </c>
      <c r="L18" s="20">
        <f t="shared" ref="L18:M18" si="8">$E$18</f>
        <v>85.299808928261257</v>
      </c>
      <c r="M18" s="22">
        <f t="shared" si="8"/>
        <v>85.299808928261257</v>
      </c>
    </row>
    <row r="19" spans="2:13" x14ac:dyDescent="0.2">
      <c r="B19" s="23" t="s">
        <v>76</v>
      </c>
      <c r="C19" s="24">
        <f>(C10/(DCF!D13-DCF!D14))*365</f>
        <v>51.807107305697684</v>
      </c>
      <c r="D19" s="24">
        <f>(D10/(DCF!E13-DCF!E14))*365</f>
        <v>54.525506044170299</v>
      </c>
      <c r="E19" s="24">
        <f>(E10/(DCF!F13-DCF!F14))*365</f>
        <v>52.939899253083205</v>
      </c>
      <c r="F19" s="25"/>
      <c r="G19" s="24">
        <f>$E$19</f>
        <v>52.939899253083205</v>
      </c>
      <c r="H19" s="24">
        <f>$E$19</f>
        <v>52.939899253083205</v>
      </c>
      <c r="I19" s="24">
        <f>$E$19</f>
        <v>52.939899253083205</v>
      </c>
      <c r="J19" s="24">
        <f>$E$19</f>
        <v>52.939899253083205</v>
      </c>
      <c r="K19" s="24">
        <f>$E$19</f>
        <v>52.939899253083205</v>
      </c>
      <c r="L19" s="24">
        <f t="shared" ref="L19:M19" si="9">$E$19</f>
        <v>52.939899253083205</v>
      </c>
      <c r="M19" s="26">
        <f t="shared" si="9"/>
        <v>52.939899253083205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H60"/>
  <sheetViews>
    <sheetView showGridLines="0" topLeftCell="E10" zoomScale="120" zoomScaleNormal="120" workbookViewId="0">
      <selection activeCell="S14" sqref="S14"/>
    </sheetView>
  </sheetViews>
  <sheetFormatPr defaultRowHeight="11.25" x14ac:dyDescent="0.2"/>
  <cols>
    <col min="1" max="1" width="2.140625" style="1" customWidth="1"/>
    <col min="2" max="2" width="10.140625" style="1" customWidth="1"/>
    <col min="3" max="6" width="9.140625" style="1"/>
    <col min="7" max="7" width="2.85546875" style="1" customWidth="1"/>
    <col min="8" max="13" width="9.140625" style="1"/>
    <col min="14" max="14" width="9.140625" style="1" customWidth="1"/>
    <col min="15" max="18" width="9.140625" style="1"/>
    <col min="19" max="19" width="10.7109375" style="1" customWidth="1"/>
    <col min="20" max="16384" width="9.140625" style="1"/>
  </cols>
  <sheetData>
    <row r="1" spans="2:34" ht="27.75" customHeight="1" x14ac:dyDescent="0.2">
      <c r="B1" s="150" t="s">
        <v>0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2"/>
    </row>
    <row r="3" spans="2:34" x14ac:dyDescent="0.2">
      <c r="B3" s="27" t="s">
        <v>1</v>
      </c>
      <c r="E3" s="28" t="s">
        <v>144</v>
      </c>
      <c r="G3" s="29"/>
      <c r="H3" s="29"/>
    </row>
    <row r="4" spans="2:34" x14ac:dyDescent="0.2">
      <c r="B4" s="27" t="s">
        <v>2</v>
      </c>
      <c r="E4" s="30" t="str">
        <f>_xll.ciqfunctions.udf.CIQ(E3, "IQ_COMPANY_NAME")</f>
        <v>PepsiCo, Inc.</v>
      </c>
      <c r="G4" s="29"/>
      <c r="H4" s="29"/>
    </row>
    <row r="5" spans="2:34" x14ac:dyDescent="0.2">
      <c r="B5" s="27" t="s">
        <v>7</v>
      </c>
      <c r="E5" s="31">
        <v>0.21</v>
      </c>
      <c r="G5" s="29"/>
      <c r="H5" s="29"/>
    </row>
    <row r="6" spans="2:34" x14ac:dyDescent="0.2">
      <c r="B6" s="27" t="s">
        <v>27</v>
      </c>
      <c r="E6" s="32">
        <f ca="1">TODAY()</f>
        <v>43186</v>
      </c>
      <c r="G6" s="29"/>
      <c r="H6" s="29"/>
    </row>
    <row r="7" spans="2:34" x14ac:dyDescent="0.2">
      <c r="B7" s="27" t="s">
        <v>94</v>
      </c>
      <c r="E7" s="32">
        <f>_xll.ciqfunctions.udf.CIQ($E$3, "IQ_PERIODDATE_IS", IQ_FY)</f>
        <v>43099</v>
      </c>
      <c r="G7" s="3"/>
      <c r="H7" s="29"/>
    </row>
    <row r="8" spans="2:34" x14ac:dyDescent="0.2">
      <c r="B8" s="27"/>
      <c r="E8" s="32"/>
      <c r="G8" s="3"/>
      <c r="H8" s="29"/>
    </row>
    <row r="9" spans="2:34" ht="12" thickBot="1" x14ac:dyDescent="0.25">
      <c r="B9" s="27"/>
      <c r="D9" s="224" t="s">
        <v>131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 spans="2:34" ht="15" customHeight="1" x14ac:dyDescent="0.2">
      <c r="B10" s="27"/>
      <c r="D10" s="33" t="s">
        <v>5</v>
      </c>
      <c r="E10" s="33"/>
      <c r="F10" s="33"/>
      <c r="G10" s="34"/>
      <c r="H10" s="33" t="s">
        <v>6</v>
      </c>
      <c r="I10" s="33"/>
      <c r="J10" s="33"/>
      <c r="K10" s="33"/>
      <c r="L10" s="33"/>
      <c r="M10" s="33"/>
      <c r="N10" s="33"/>
      <c r="P10" s="46" t="s">
        <v>118</v>
      </c>
      <c r="V10" s="49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167"/>
    </row>
    <row r="11" spans="2:34" ht="12.75" x14ac:dyDescent="0.2">
      <c r="D11" s="35">
        <f>+F11-2</f>
        <v>-2</v>
      </c>
      <c r="E11" s="35">
        <f>+F11-1</f>
        <v>-1</v>
      </c>
      <c r="F11" s="35">
        <v>0</v>
      </c>
      <c r="G11" s="36"/>
      <c r="H11" s="35">
        <f>F11+1</f>
        <v>1</v>
      </c>
      <c r="I11" s="35">
        <f>H11+1</f>
        <v>2</v>
      </c>
      <c r="J11" s="35">
        <f>I11+1</f>
        <v>3</v>
      </c>
      <c r="K11" s="35">
        <f>J11+1</f>
        <v>4</v>
      </c>
      <c r="L11" s="35">
        <f>K11+1</f>
        <v>5</v>
      </c>
      <c r="M11" s="35">
        <f t="shared" ref="M11:N11" si="0">L11+1</f>
        <v>6</v>
      </c>
      <c r="N11" s="35">
        <f t="shared" si="0"/>
        <v>7</v>
      </c>
      <c r="V11" s="51"/>
      <c r="W11" s="168" t="s">
        <v>132</v>
      </c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55"/>
    </row>
    <row r="12" spans="2:34" x14ac:dyDescent="0.2">
      <c r="D12" s="38" t="s">
        <v>108</v>
      </c>
      <c r="E12" s="38" t="s">
        <v>109</v>
      </c>
      <c r="F12" s="38" t="s">
        <v>110</v>
      </c>
      <c r="G12" s="37"/>
      <c r="H12" s="38" t="s">
        <v>111</v>
      </c>
      <c r="I12" s="38" t="s">
        <v>112</v>
      </c>
      <c r="J12" s="38" t="s">
        <v>115</v>
      </c>
      <c r="K12" s="38" t="s">
        <v>116</v>
      </c>
      <c r="L12" s="38" t="s">
        <v>117</v>
      </c>
      <c r="M12" s="38" t="s">
        <v>130</v>
      </c>
      <c r="N12" s="38" t="s">
        <v>145</v>
      </c>
      <c r="P12" s="142" t="s">
        <v>52</v>
      </c>
      <c r="Q12" s="5"/>
      <c r="R12" s="5"/>
      <c r="S12" s="204">
        <f>S13 + S14 * S15</f>
        <v>5.5268499999999998E-2</v>
      </c>
      <c r="V12" s="51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55"/>
    </row>
    <row r="13" spans="2:34" x14ac:dyDescent="0.2">
      <c r="B13" s="1" t="s">
        <v>93</v>
      </c>
      <c r="D13" s="223">
        <f>_xll.ciqfunctions.udf.CIQ($E$3, "IQ_REV", D12)</f>
        <v>63056</v>
      </c>
      <c r="E13" s="223">
        <f>_xll.ciqfunctions.udf.CIQ($E$3, "IQ_REV", E12)</f>
        <v>62799</v>
      </c>
      <c r="F13" s="223">
        <f>_xll.ciqfunctions.udf.CIQ($E$3, "IQ_REV", F12)</f>
        <v>63525</v>
      </c>
      <c r="G13" s="39"/>
      <c r="H13" s="40">
        <f>_xll.ciqfunctions.udf.CIQ($E$3, "IQ_REVENUE_EST_CIQ", H12)</f>
        <v>65372.997750000002</v>
      </c>
      <c r="I13" s="40">
        <f>_xll.ciqfunctions.udf.CIQ($E$3, "IQ_REVENUE_EST_CIQ", I12)</f>
        <v>67472.211219999997</v>
      </c>
      <c r="J13" s="40">
        <f>_xll.ciqfunctions.udf.CIQ($E$3, "IQ_REVENUE_EST_CIQ", J12)</f>
        <v>69618.735230000006</v>
      </c>
      <c r="K13" s="40">
        <f>_xll.ciqfunctions.udf.CIQ($E$3, "IQ_REVENUE_EST_CIQ", K12)</f>
        <v>71229</v>
      </c>
      <c r="L13" s="40">
        <f>_xll.ciqfunctions.udf.CIQ($E$3, "IQ_REVENUE_EST_CIQ", L12)</f>
        <v>73402.5</v>
      </c>
      <c r="M13" s="40">
        <f>_xll.ciqfunctions.udf.CIQ($E$3, "IQ_REVENUE_EST_CIQ", M12)</f>
        <v>77621</v>
      </c>
      <c r="N13" s="40">
        <f>_xll.ciqfunctions.udf.CIQ($E$3, "IQ_REVENUE_EST_CIQ", N12)</f>
        <v>80373</v>
      </c>
      <c r="P13" s="51" t="s">
        <v>107</v>
      </c>
      <c r="Q13" s="6"/>
      <c r="R13" s="6"/>
      <c r="S13" s="216">
        <v>0.02</v>
      </c>
      <c r="V13" s="51"/>
      <c r="W13" s="225"/>
      <c r="X13" s="6">
        <v>1</v>
      </c>
      <c r="Y13" s="6" t="s">
        <v>133</v>
      </c>
      <c r="Z13" s="6"/>
      <c r="AA13" s="6"/>
      <c r="AB13" s="6"/>
      <c r="AC13" s="6"/>
      <c r="AD13" s="6"/>
      <c r="AE13" s="6"/>
      <c r="AF13" s="6"/>
      <c r="AG13" s="6"/>
      <c r="AH13" s="55"/>
    </row>
    <row r="14" spans="2:34" x14ac:dyDescent="0.2">
      <c r="B14" s="1" t="s">
        <v>4</v>
      </c>
      <c r="D14" s="223">
        <f>_xll.ciqfunctions.udf.CIQ($E$3, "IQ_GP", D12)</f>
        <v>34325</v>
      </c>
      <c r="E14" s="223">
        <f>_xll.ciqfunctions.udf.CIQ($E$3, "IQ_GP", E12)</f>
        <v>34590</v>
      </c>
      <c r="F14" s="223">
        <f>_xll.ciqfunctions.udf.CIQ($E$3, "IQ_GP", F12)</f>
        <v>34740</v>
      </c>
      <c r="G14" s="39"/>
      <c r="H14" s="41">
        <f>H13 *H34</f>
        <v>35781.55417140264</v>
      </c>
      <c r="I14" s="41">
        <f t="shared" ref="I14:N14" si="1">I13 *I34</f>
        <v>36930.547227853735</v>
      </c>
      <c r="J14" s="41">
        <f t="shared" si="1"/>
        <v>38105.435450629651</v>
      </c>
      <c r="K14" s="41">
        <f t="shared" si="1"/>
        <v>38986.805099890626</v>
      </c>
      <c r="L14" s="41">
        <f t="shared" si="1"/>
        <v>40176.458483829927</v>
      </c>
      <c r="M14" s="41">
        <f t="shared" si="1"/>
        <v>42485.431476766629</v>
      </c>
      <c r="N14" s="41">
        <f t="shared" si="1"/>
        <v>43991.723684082463</v>
      </c>
      <c r="P14" s="198" t="s">
        <v>119</v>
      </c>
      <c r="Q14" s="6"/>
      <c r="R14" s="6"/>
      <c r="S14" s="214">
        <f>_xll.ciqfunctions.udf.CIQ(E3, "IQ_BETA_5YR")</f>
        <v>0.70537000000000005</v>
      </c>
      <c r="V14" s="51"/>
      <c r="W14" s="226"/>
      <c r="X14" s="6">
        <v>2</v>
      </c>
      <c r="Y14" s="6" t="s">
        <v>134</v>
      </c>
      <c r="Z14" s="6"/>
      <c r="AA14" s="6"/>
      <c r="AB14" s="6"/>
      <c r="AC14" s="6"/>
      <c r="AD14" s="6"/>
      <c r="AE14" s="6"/>
      <c r="AF14" s="6"/>
      <c r="AG14" s="6"/>
      <c r="AH14" s="55"/>
    </row>
    <row r="15" spans="2:34" x14ac:dyDescent="0.2">
      <c r="B15" s="1" t="s">
        <v>3</v>
      </c>
      <c r="D15" s="223">
        <f>_xll.ciqfunctions.udf.CIQ($E$3, "IQ_EBITDA", D12)</f>
        <v>12223</v>
      </c>
      <c r="E15" s="223">
        <f>_xll.ciqfunctions.udf.CIQ($E$3, "IQ_EBITDA", E12)</f>
        <v>12637</v>
      </c>
      <c r="F15" s="223">
        <f>_xll.ciqfunctions.udf.CIQ($E$3, "IQ_EBITDA", F12)</f>
        <v>12723</v>
      </c>
      <c r="G15" s="39"/>
      <c r="H15" s="40">
        <f>_xll.ciqfunctions.udf.CIQ($E$3, "IQ_EBITDA_EST_CIQ", H12)</f>
        <v>13626.73114</v>
      </c>
      <c r="I15" s="40">
        <f>_xll.ciqfunctions.udf.CIQ($E$3, "IQ_EBITDA_EST_CIQ", I12)</f>
        <v>14401.846020000001</v>
      </c>
      <c r="J15" s="40">
        <f>_xll.ciqfunctions.udf.CIQ($E$3, "IQ_EBITDA_EST_CIQ", J12)</f>
        <v>15129.088879999999</v>
      </c>
      <c r="K15" s="40">
        <f>_xll.ciqfunctions.udf.CIQ($E$3, "IQ_EBITDA_EST_CIQ", K12)</f>
        <v>16286</v>
      </c>
      <c r="L15" s="40">
        <f>_xll.ciqfunctions.udf.CIQ($E$3, "IQ_EBITDA_EST_CIQ", L12)</f>
        <v>17188</v>
      </c>
      <c r="M15" s="40">
        <f>L15 * 1.06</f>
        <v>18219.280000000002</v>
      </c>
      <c r="N15" s="40">
        <f>M15 * 1.06</f>
        <v>19312.436800000003</v>
      </c>
      <c r="P15" s="198" t="s">
        <v>120</v>
      </c>
      <c r="Q15" s="6"/>
      <c r="R15" s="6"/>
      <c r="S15" s="215">
        <v>0.05</v>
      </c>
      <c r="V15" s="51"/>
      <c r="W15" s="227"/>
      <c r="X15" s="6">
        <v>3</v>
      </c>
      <c r="Y15" s="6" t="s">
        <v>135</v>
      </c>
      <c r="Z15" s="6"/>
      <c r="AA15" s="6"/>
      <c r="AB15" s="6"/>
      <c r="AC15" s="6"/>
      <c r="AD15" s="6"/>
      <c r="AE15" s="6"/>
      <c r="AF15" s="6"/>
      <c r="AG15" s="6"/>
      <c r="AH15" s="55"/>
    </row>
    <row r="16" spans="2:34" x14ac:dyDescent="0.2">
      <c r="B16" s="1" t="s">
        <v>59</v>
      </c>
      <c r="D16" s="223">
        <f>_xll.ciqfunctions.udf.CIQ($E$3, "IQ_DA_CF", D12)</f>
        <v>2214</v>
      </c>
      <c r="E16" s="223">
        <f>_xll.ciqfunctions.udf.CIQ($E$3, "IQ_DA_CF", E12)</f>
        <v>2154</v>
      </c>
      <c r="F16" s="223">
        <f>_xll.ciqfunctions.udf.CIQ($E$3, "IQ_DA_CF", F12)</f>
        <v>2145</v>
      </c>
      <c r="G16" s="39"/>
      <c r="H16" s="41">
        <f>H13 * H36</f>
        <v>2248.3471399438845</v>
      </c>
      <c r="I16" s="41">
        <f t="shared" ref="I16:N16" si="2">I13 * I36</f>
        <v>2320.5445419883113</v>
      </c>
      <c r="J16" s="41">
        <f t="shared" si="2"/>
        <v>2394.3690763497389</v>
      </c>
      <c r="K16" s="41">
        <f t="shared" si="2"/>
        <v>2449.7502629985015</v>
      </c>
      <c r="L16" s="41">
        <f t="shared" si="2"/>
        <v>2524.5025717017998</v>
      </c>
      <c r="M16" s="41">
        <f t="shared" si="2"/>
        <v>2669.5877404456987</v>
      </c>
      <c r="N16" s="41">
        <f t="shared" si="2"/>
        <v>2764.2361662802869</v>
      </c>
      <c r="P16" s="198" t="s">
        <v>124</v>
      </c>
      <c r="Q16" s="6"/>
      <c r="R16" s="6"/>
      <c r="S16" s="212">
        <f>_xll.ciqfunctions.udf.CIQ(E3, "IQ_MARKETCAP")</f>
        <v>159796.47636999999</v>
      </c>
      <c r="V16" s="51"/>
      <c r="W16" s="228"/>
      <c r="X16" s="6">
        <v>4</v>
      </c>
      <c r="Y16" s="6" t="s">
        <v>136</v>
      </c>
      <c r="Z16" s="6"/>
      <c r="AA16" s="6"/>
      <c r="AB16" s="6"/>
      <c r="AC16" s="6"/>
      <c r="AD16" s="6"/>
      <c r="AE16" s="6"/>
      <c r="AF16" s="6"/>
      <c r="AG16" s="6"/>
      <c r="AH16" s="55"/>
    </row>
    <row r="17" spans="2:34" x14ac:dyDescent="0.2">
      <c r="B17" s="1" t="s">
        <v>8</v>
      </c>
      <c r="D17" s="223">
        <f>_xll.ciqfunctions.udf.CIQ($E$3, "IQ_OPER_INC", D12)</f>
        <v>10009</v>
      </c>
      <c r="E17" s="223">
        <f>_xll.ciqfunctions.udf.CIQ($E$3, "IQ_OPER_INC", E12)</f>
        <v>10483</v>
      </c>
      <c r="F17" s="223">
        <f>_xll.ciqfunctions.udf.CIQ($E$3, "IQ_OPER_INC", F12)</f>
        <v>10578</v>
      </c>
      <c r="G17" s="39"/>
      <c r="H17" s="44">
        <f>H15 - H16</f>
        <v>11378.384000056116</v>
      </c>
      <c r="I17" s="44">
        <f t="shared" ref="I17:N17" si="3">I15 - I16</f>
        <v>12081.30147801169</v>
      </c>
      <c r="J17" s="44">
        <f t="shared" si="3"/>
        <v>12734.71980365026</v>
      </c>
      <c r="K17" s="44">
        <f t="shared" si="3"/>
        <v>13836.249737001499</v>
      </c>
      <c r="L17" s="44">
        <f t="shared" si="3"/>
        <v>14663.4974282982</v>
      </c>
      <c r="M17" s="44">
        <f t="shared" si="3"/>
        <v>15549.692259554304</v>
      </c>
      <c r="N17" s="44">
        <f t="shared" si="3"/>
        <v>16548.200633719716</v>
      </c>
      <c r="P17" s="51"/>
      <c r="S17" s="55"/>
      <c r="V17" s="51"/>
      <c r="W17" s="229"/>
      <c r="X17" s="6">
        <v>5</v>
      </c>
      <c r="Y17" s="6" t="s">
        <v>137</v>
      </c>
      <c r="Z17" s="6"/>
      <c r="AA17" s="6"/>
      <c r="AB17" s="6"/>
      <c r="AC17" s="6"/>
      <c r="AD17" s="6"/>
      <c r="AE17" s="6"/>
      <c r="AF17" s="6"/>
      <c r="AG17" s="6"/>
      <c r="AH17" s="55"/>
    </row>
    <row r="18" spans="2:34" x14ac:dyDescent="0.2">
      <c r="B18" s="1" t="s">
        <v>9</v>
      </c>
      <c r="D18" s="43"/>
      <c r="E18" s="43"/>
      <c r="F18" s="43"/>
      <c r="G18" s="39"/>
      <c r="H18" s="44">
        <f>H17 * $E$5</f>
        <v>2389.4606400117841</v>
      </c>
      <c r="I18" s="44">
        <f t="shared" ref="I18:N18" si="4">I17 * $E$5</f>
        <v>2537.073310382455</v>
      </c>
      <c r="J18" s="44">
        <f t="shared" si="4"/>
        <v>2674.2911587665544</v>
      </c>
      <c r="K18" s="44">
        <f t="shared" si="4"/>
        <v>2905.6124447703146</v>
      </c>
      <c r="L18" s="44">
        <f t="shared" si="4"/>
        <v>3079.3344599426218</v>
      </c>
      <c r="M18" s="44">
        <f t="shared" si="4"/>
        <v>3265.4353745064036</v>
      </c>
      <c r="N18" s="44">
        <f t="shared" si="4"/>
        <v>3475.1221330811404</v>
      </c>
      <c r="P18" s="198" t="s">
        <v>121</v>
      </c>
      <c r="Q18" s="6"/>
      <c r="R18" s="6"/>
      <c r="S18" s="205">
        <f>S16 / (S16 + S26)</f>
        <v>0.80268486060676503</v>
      </c>
      <c r="V18" s="51"/>
      <c r="W18" s="230"/>
      <c r="X18" s="6">
        <v>6</v>
      </c>
      <c r="Y18" s="6" t="s">
        <v>138</v>
      </c>
      <c r="Z18" s="6"/>
      <c r="AA18" s="6"/>
      <c r="AB18" s="6"/>
      <c r="AC18" s="6"/>
      <c r="AD18" s="6"/>
      <c r="AE18" s="6"/>
      <c r="AF18" s="6"/>
      <c r="AG18" s="6"/>
      <c r="AH18" s="55"/>
    </row>
    <row r="19" spans="2:34" x14ac:dyDescent="0.2">
      <c r="B19" s="1" t="s">
        <v>79</v>
      </c>
      <c r="D19" s="43"/>
      <c r="E19" s="43"/>
      <c r="F19" s="43"/>
      <c r="G19" s="39"/>
      <c r="H19" s="42">
        <f>H17 - H18</f>
        <v>8988.9233600443313</v>
      </c>
      <c r="I19" s="42">
        <f t="shared" ref="I19:N19" si="5">I17 - I18</f>
        <v>9544.228167629235</v>
      </c>
      <c r="J19" s="42">
        <f t="shared" si="5"/>
        <v>10060.428644883705</v>
      </c>
      <c r="K19" s="42">
        <f t="shared" si="5"/>
        <v>10930.637292231184</v>
      </c>
      <c r="L19" s="42">
        <f t="shared" si="5"/>
        <v>11584.162968355578</v>
      </c>
      <c r="M19" s="42">
        <f t="shared" si="5"/>
        <v>12284.2568850479</v>
      </c>
      <c r="N19" s="42">
        <f t="shared" si="5"/>
        <v>13073.078500638576</v>
      </c>
      <c r="P19" s="199"/>
      <c r="Q19" s="6"/>
      <c r="R19" s="6"/>
      <c r="S19" s="55"/>
      <c r="V19" s="51"/>
      <c r="W19" s="231"/>
      <c r="X19" s="6">
        <v>7</v>
      </c>
      <c r="Y19" s="6" t="s">
        <v>139</v>
      </c>
      <c r="Z19" s="6"/>
      <c r="AA19" s="6"/>
      <c r="AB19" s="6"/>
      <c r="AC19" s="6"/>
      <c r="AD19" s="6"/>
      <c r="AE19" s="6"/>
      <c r="AF19" s="6"/>
      <c r="AG19" s="6"/>
      <c r="AH19" s="55"/>
    </row>
    <row r="20" spans="2:34" x14ac:dyDescent="0.2">
      <c r="D20" s="43"/>
      <c r="E20" s="43"/>
      <c r="F20" s="43"/>
      <c r="G20" s="39"/>
      <c r="H20" s="42"/>
      <c r="I20" s="42"/>
      <c r="J20" s="42"/>
      <c r="K20" s="42"/>
      <c r="L20" s="42"/>
      <c r="M20" s="42"/>
      <c r="N20" s="42"/>
      <c r="P20" s="72" t="s">
        <v>128</v>
      </c>
      <c r="S20" s="204">
        <f>S21 * (1 - E5)</f>
        <v>1.7774999999999999E-2</v>
      </c>
      <c r="V20" s="51"/>
      <c r="W20" s="6"/>
      <c r="X20" s="6">
        <v>8</v>
      </c>
      <c r="Y20" s="6" t="s">
        <v>140</v>
      </c>
      <c r="Z20" s="6"/>
      <c r="AA20" s="6"/>
      <c r="AB20" s="6"/>
      <c r="AC20" s="6"/>
      <c r="AD20" s="6"/>
      <c r="AE20" s="6"/>
      <c r="AF20" s="6"/>
      <c r="AG20" s="6"/>
      <c r="AH20" s="55"/>
    </row>
    <row r="21" spans="2:34" x14ac:dyDescent="0.2">
      <c r="B21" s="1" t="str">
        <f>B19</f>
        <v>Tax Affected EBIT</v>
      </c>
      <c r="D21" s="43"/>
      <c r="E21" s="43"/>
      <c r="F21" s="43"/>
      <c r="G21" s="39"/>
      <c r="H21" s="42">
        <f>H19</f>
        <v>8988.9233600443313</v>
      </c>
      <c r="I21" s="42">
        <f>I19</f>
        <v>9544.228167629235</v>
      </c>
      <c r="J21" s="42">
        <f>J19</f>
        <v>10060.428644883705</v>
      </c>
      <c r="K21" s="42">
        <f>K19</f>
        <v>10930.637292231184</v>
      </c>
      <c r="L21" s="42">
        <f>L19</f>
        <v>11584.162968355578</v>
      </c>
      <c r="M21" s="42">
        <f t="shared" ref="M21:N21" si="6">M19</f>
        <v>12284.2568850479</v>
      </c>
      <c r="N21" s="42">
        <f t="shared" si="6"/>
        <v>13073.078500638576</v>
      </c>
      <c r="P21" s="198" t="s">
        <v>127</v>
      </c>
      <c r="Q21" s="6"/>
      <c r="R21" s="6"/>
      <c r="S21" s="235">
        <f>S23 + S24 * S25</f>
        <v>2.2499999999999999E-2</v>
      </c>
      <c r="V21" s="51"/>
      <c r="W21" s="232"/>
      <c r="X21" s="6">
        <v>9</v>
      </c>
      <c r="Y21" s="6" t="s">
        <v>141</v>
      </c>
      <c r="Z21" s="6"/>
      <c r="AA21" s="6"/>
      <c r="AB21" s="6"/>
      <c r="AC21" s="6"/>
      <c r="AD21" s="6"/>
      <c r="AE21" s="6"/>
      <c r="AF21" s="6"/>
      <c r="AG21" s="6"/>
      <c r="AH21" s="55"/>
    </row>
    <row r="22" spans="2:34" x14ac:dyDescent="0.2">
      <c r="B22" s="1" t="str">
        <f>B16</f>
        <v>Depreciation/Amortization</v>
      </c>
      <c r="D22" s="43"/>
      <c r="E22" s="43"/>
      <c r="F22" s="43"/>
      <c r="G22" s="39"/>
      <c r="H22" s="42">
        <f>H16</f>
        <v>2248.3471399438845</v>
      </c>
      <c r="I22" s="42">
        <f>I16</f>
        <v>2320.5445419883113</v>
      </c>
      <c r="J22" s="42">
        <f>J16</f>
        <v>2394.3690763497389</v>
      </c>
      <c r="K22" s="42">
        <f>K16</f>
        <v>2449.7502629985015</v>
      </c>
      <c r="L22" s="42">
        <f>L16</f>
        <v>2524.5025717017998</v>
      </c>
      <c r="M22" s="42">
        <f t="shared" ref="M22:N22" si="7">M16</f>
        <v>2669.5877404456987</v>
      </c>
      <c r="N22" s="42">
        <f t="shared" si="7"/>
        <v>2764.2361662802869</v>
      </c>
      <c r="P22" s="51" t="s">
        <v>125</v>
      </c>
      <c r="S22" s="217" t="s">
        <v>146</v>
      </c>
      <c r="V22" s="51"/>
      <c r="W22" s="233"/>
      <c r="X22" s="6">
        <v>10</v>
      </c>
      <c r="Y22" s="6" t="s">
        <v>142</v>
      </c>
      <c r="Z22" s="6"/>
      <c r="AA22" s="6"/>
      <c r="AB22" s="6"/>
      <c r="AC22" s="6"/>
      <c r="AD22" s="6"/>
      <c r="AE22" s="6"/>
      <c r="AF22" s="6"/>
      <c r="AG22" s="6"/>
      <c r="AH22" s="55"/>
    </row>
    <row r="23" spans="2:34" x14ac:dyDescent="0.2">
      <c r="B23" s="1" t="s">
        <v>113</v>
      </c>
      <c r="D23" s="43"/>
      <c r="E23" s="43"/>
      <c r="F23" s="43"/>
      <c r="G23" s="39"/>
      <c r="H23" s="42">
        <f>-+WC!G13</f>
        <v>381.83924299669525</v>
      </c>
      <c r="I23" s="42">
        <f>-+WC!H13</f>
        <v>-6.0099795891146641</v>
      </c>
      <c r="J23" s="42">
        <f>-+WC!I13</f>
        <v>-6.1454281196292868</v>
      </c>
      <c r="K23" s="42">
        <f>-+WC!J13</f>
        <v>-4.6101354336151417</v>
      </c>
      <c r="L23" s="42">
        <f>-+WC!K13</f>
        <v>-6.2226594977710192</v>
      </c>
      <c r="M23" s="42">
        <f>-+WC!L13</f>
        <v>-12.07742769327524</v>
      </c>
      <c r="N23" s="42">
        <f>-+WC!M13</f>
        <v>-7.8788860997774464</v>
      </c>
      <c r="P23" s="198" t="s">
        <v>107</v>
      </c>
      <c r="Q23" s="6"/>
      <c r="R23" s="6"/>
      <c r="S23" s="213">
        <f>+S13</f>
        <v>0.02</v>
      </c>
      <c r="V23" s="51"/>
      <c r="W23" s="234"/>
      <c r="X23" s="6">
        <v>11</v>
      </c>
      <c r="Y23" s="6" t="s">
        <v>143</v>
      </c>
      <c r="Z23" s="6"/>
      <c r="AA23" s="6"/>
      <c r="AB23" s="6"/>
      <c r="AC23" s="6"/>
      <c r="AD23" s="6"/>
      <c r="AE23" s="6"/>
      <c r="AF23" s="6"/>
      <c r="AG23" s="6"/>
      <c r="AH23" s="55"/>
    </row>
    <row r="24" spans="2:34" x14ac:dyDescent="0.2">
      <c r="B24" s="1" t="s">
        <v>10</v>
      </c>
      <c r="D24" s="43">
        <f>_xll.ciqfunctions.udf.CIQ($E$3, "IQ_CAPEX", IQ_FY, D12)</f>
        <v>-2758</v>
      </c>
      <c r="E24" s="43">
        <f>_xll.ciqfunctions.udf.CIQ($E$3, "IQ_CAPEX", IQ_FY, E12)</f>
        <v>-3040</v>
      </c>
      <c r="F24" s="43">
        <f>_xll.ciqfunctions.udf.CIQ($E$3, "IQ_CAPEX", IQ_FY, F12)</f>
        <v>-2969</v>
      </c>
      <c r="G24" s="39"/>
      <c r="H24" s="41">
        <f>-H13 * H37</f>
        <v>-3026.4389610109715</v>
      </c>
      <c r="I24" s="41">
        <f t="shared" ref="I24:N24" si="8">-I13 * I37</f>
        <v>-3123.6219211282782</v>
      </c>
      <c r="J24" s="41">
        <f t="shared" si="8"/>
        <v>-3222.9951198219164</v>
      </c>
      <c r="K24" s="41">
        <f t="shared" si="8"/>
        <v>-3297.5422295645067</v>
      </c>
      <c r="L24" s="41">
        <f t="shared" si="8"/>
        <v>-3398.1642800770574</v>
      </c>
      <c r="M24" s="41">
        <f t="shared" si="8"/>
        <v>-3593.459481405419</v>
      </c>
      <c r="N24" s="41">
        <f t="shared" si="8"/>
        <v>-3720.8631542881144</v>
      </c>
      <c r="P24" s="198" t="s">
        <v>122</v>
      </c>
      <c r="Q24" s="6"/>
      <c r="R24" s="6"/>
      <c r="S24" s="218">
        <v>0.05</v>
      </c>
      <c r="V24" s="68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108"/>
    </row>
    <row r="25" spans="2:34" x14ac:dyDescent="0.2">
      <c r="B25" s="1" t="s">
        <v>11</v>
      </c>
      <c r="D25" s="43"/>
      <c r="E25" s="43"/>
      <c r="F25" s="43"/>
      <c r="G25" s="39"/>
      <c r="H25" s="44">
        <f>SUM(H21:H24)</f>
        <v>8592.6707819739386</v>
      </c>
      <c r="I25" s="44">
        <f t="shared" ref="I25:N25" si="9">SUM(I21:I24)</f>
        <v>8735.1408089001525</v>
      </c>
      <c r="J25" s="44">
        <f t="shared" si="9"/>
        <v>9225.6571732918983</v>
      </c>
      <c r="K25" s="44">
        <f t="shared" si="9"/>
        <v>10078.235190231564</v>
      </c>
      <c r="L25" s="44">
        <f t="shared" si="9"/>
        <v>10704.27860048255</v>
      </c>
      <c r="M25" s="44">
        <f t="shared" si="9"/>
        <v>11348.307716394906</v>
      </c>
      <c r="N25" s="44">
        <f t="shared" si="9"/>
        <v>12108.572626530971</v>
      </c>
      <c r="P25" s="198" t="s">
        <v>120</v>
      </c>
      <c r="Q25" s="6"/>
      <c r="R25" s="6"/>
      <c r="S25" s="197">
        <f>+S15</f>
        <v>0.05</v>
      </c>
    </row>
    <row r="26" spans="2:34" x14ac:dyDescent="0.2">
      <c r="D26" s="43"/>
      <c r="E26" s="43"/>
      <c r="F26" s="43"/>
      <c r="G26" s="39"/>
      <c r="H26" s="206"/>
      <c r="I26" s="237"/>
      <c r="J26" s="237"/>
      <c r="K26" s="237"/>
      <c r="L26" s="237"/>
      <c r="M26" s="237"/>
      <c r="N26" s="237"/>
      <c r="P26" s="198" t="s">
        <v>35</v>
      </c>
      <c r="Q26" s="6"/>
      <c r="R26" s="6"/>
      <c r="S26" s="212">
        <f>_xll.ciqfunctions.udf.CIQ(E3, "IQ_TOTAL_DEBT", IQ_FY)</f>
        <v>39281</v>
      </c>
    </row>
    <row r="27" spans="2:34" x14ac:dyDescent="0.2">
      <c r="B27" s="195" t="s">
        <v>80</v>
      </c>
      <c r="C27" s="196">
        <f>+E44</f>
        <v>4.7870464821159739E-2</v>
      </c>
      <c r="D27" s="43"/>
      <c r="E27" s="43"/>
      <c r="F27" s="43"/>
      <c r="G27" s="39"/>
      <c r="H27" s="42"/>
      <c r="I27" s="238"/>
      <c r="J27" s="42"/>
      <c r="K27" s="42"/>
      <c r="L27" s="42"/>
      <c r="M27" s="42"/>
      <c r="N27" s="42"/>
      <c r="P27" s="51"/>
      <c r="S27" s="55"/>
    </row>
    <row r="28" spans="2:34" x14ac:dyDescent="0.2">
      <c r="C28" s="45"/>
      <c r="D28" s="43"/>
      <c r="E28" s="43"/>
      <c r="F28" s="43"/>
      <c r="G28" s="39"/>
      <c r="H28" s="42"/>
      <c r="I28" s="42"/>
      <c r="J28" s="42"/>
      <c r="K28" s="42"/>
      <c r="L28" s="42"/>
      <c r="M28" s="42"/>
      <c r="N28" s="42"/>
      <c r="P28" s="198" t="s">
        <v>123</v>
      </c>
      <c r="Q28" s="6"/>
      <c r="R28" s="6"/>
      <c r="S28" s="205">
        <f>1 - S18</f>
        <v>0.19731513939323497</v>
      </c>
    </row>
    <row r="29" spans="2:34" x14ac:dyDescent="0.2">
      <c r="B29" s="1" t="s">
        <v>104</v>
      </c>
      <c r="C29" s="45"/>
      <c r="D29" s="43"/>
      <c r="E29" s="43"/>
      <c r="F29" s="43"/>
      <c r="G29" s="39"/>
      <c r="H29" s="207">
        <f t="shared" ref="H29:N29" si="10">1/(1+$C$27)^H11</f>
        <v>0.95431642895925151</v>
      </c>
      <c r="I29" s="207">
        <f t="shared" si="10"/>
        <v>0.91071984658153793</v>
      </c>
      <c r="J29" s="207">
        <f t="shared" si="10"/>
        <v>0.86911491177201072</v>
      </c>
      <c r="K29" s="207">
        <f t="shared" si="10"/>
        <v>0.82941063895750011</v>
      </c>
      <c r="L29" s="207">
        <f t="shared" si="10"/>
        <v>0.79152019911073257</v>
      </c>
      <c r="M29" s="207">
        <f t="shared" si="10"/>
        <v>0.75536072986446989</v>
      </c>
      <c r="N29" s="207">
        <f t="shared" si="10"/>
        <v>0.7208531543003146</v>
      </c>
      <c r="P29" s="199"/>
      <c r="Q29" s="6"/>
      <c r="R29" s="6"/>
      <c r="S29" s="55"/>
    </row>
    <row r="30" spans="2:34" x14ac:dyDescent="0.2">
      <c r="B30" s="1" t="s">
        <v>13</v>
      </c>
      <c r="D30" s="208">
        <f>SUM(H30:N30)</f>
        <v>58305.76620260653</v>
      </c>
      <c r="E30" s="39"/>
      <c r="F30" s="39"/>
      <c r="G30" s="39"/>
      <c r="H30" s="44">
        <f>H25 * H29</f>
        <v>8200.1268958758683</v>
      </c>
      <c r="I30" s="44">
        <f t="shared" ref="I30:N30" si="11">I25 * I29</f>
        <v>7955.2660973496777</v>
      </c>
      <c r="J30" s="44">
        <f t="shared" si="11"/>
        <v>8018.1562202044061</v>
      </c>
      <c r="K30" s="44">
        <f t="shared" si="11"/>
        <v>8358.9954886939249</v>
      </c>
      <c r="L30" s="44">
        <f t="shared" si="11"/>
        <v>8472.6527291907023</v>
      </c>
      <c r="M30" s="44">
        <f t="shared" si="11"/>
        <v>8572.0659993826521</v>
      </c>
      <c r="N30" s="44">
        <f t="shared" si="11"/>
        <v>8728.5027719092959</v>
      </c>
      <c r="P30" s="200" t="s">
        <v>12</v>
      </c>
      <c r="Q30" s="7"/>
      <c r="R30" s="7"/>
      <c r="S30" s="205">
        <f>(S12 * S18) + (S20 * S28)</f>
        <v>4.7870464821159739E-2</v>
      </c>
    </row>
    <row r="31" spans="2:34" x14ac:dyDescent="0.2">
      <c r="E31" s="39"/>
      <c r="F31" s="39"/>
      <c r="G31" s="39"/>
      <c r="H31" s="39"/>
      <c r="I31" s="39"/>
      <c r="J31" s="39"/>
      <c r="K31" s="39"/>
      <c r="L31" s="39"/>
      <c r="M31" s="39"/>
      <c r="N31" s="39"/>
    </row>
    <row r="33" spans="2:17" x14ac:dyDescent="0.2">
      <c r="B33" s="6" t="s">
        <v>14</v>
      </c>
      <c r="C33" s="6"/>
      <c r="D33" s="219"/>
      <c r="E33" s="219">
        <f>(E13-D13)/D13</f>
        <v>-4.0757421974118241E-3</v>
      </c>
      <c r="F33" s="219">
        <f>(F13-E13)/E13</f>
        <v>1.1560693641618497E-2</v>
      </c>
      <c r="G33" s="220"/>
      <c r="H33" s="220">
        <f>(H13/F13)-1</f>
        <v>2.9090873671782758E-2</v>
      </c>
      <c r="I33" s="220">
        <f t="shared" ref="I33:N33" si="12">(I13/H13)-1</f>
        <v>3.2111323363628319E-2</v>
      </c>
      <c r="J33" s="220">
        <f t="shared" si="12"/>
        <v>3.181345284506909E-2</v>
      </c>
      <c r="K33" s="220">
        <f t="shared" si="12"/>
        <v>2.3129761905041013E-2</v>
      </c>
      <c r="L33" s="220">
        <f t="shared" si="12"/>
        <v>3.051425683359299E-2</v>
      </c>
      <c r="M33" s="220">
        <f t="shared" si="12"/>
        <v>5.7470794591464758E-2</v>
      </c>
      <c r="N33" s="220">
        <f t="shared" si="12"/>
        <v>3.545432292807349E-2</v>
      </c>
    </row>
    <row r="34" spans="2:17" x14ac:dyDescent="0.2">
      <c r="B34" s="6" t="s">
        <v>15</v>
      </c>
      <c r="C34" s="6"/>
      <c r="D34" s="219">
        <f>D14/D13</f>
        <v>0.54435739659984772</v>
      </c>
      <c r="E34" s="219">
        <f>E14/E13</f>
        <v>0.55080494912339373</v>
      </c>
      <c r="F34" s="219">
        <f>F14/F13</f>
        <v>0.54687131050767412</v>
      </c>
      <c r="G34" s="220"/>
      <c r="H34" s="221">
        <f>AVERAGE(D34:F34)</f>
        <v>0.54734455207697186</v>
      </c>
      <c r="I34" s="221">
        <f>H34</f>
        <v>0.54734455207697186</v>
      </c>
      <c r="J34" s="221">
        <f t="shared" ref="J34:N34" si="13">I34</f>
        <v>0.54734455207697186</v>
      </c>
      <c r="K34" s="221">
        <f t="shared" si="13"/>
        <v>0.54734455207697186</v>
      </c>
      <c r="L34" s="221">
        <f t="shared" si="13"/>
        <v>0.54734455207697186</v>
      </c>
      <c r="M34" s="221">
        <f t="shared" si="13"/>
        <v>0.54734455207697186</v>
      </c>
      <c r="N34" s="221">
        <f t="shared" si="13"/>
        <v>0.54734455207697186</v>
      </c>
    </row>
    <row r="35" spans="2:17" x14ac:dyDescent="0.2">
      <c r="B35" s="6" t="s">
        <v>16</v>
      </c>
      <c r="C35" s="6"/>
      <c r="D35" s="219">
        <f>D15/D13</f>
        <v>0.19384356762243085</v>
      </c>
      <c r="E35" s="219">
        <f>E15/E13</f>
        <v>0.20122931893819965</v>
      </c>
      <c r="F35" s="219">
        <f>F15/F13</f>
        <v>0.20028335301062575</v>
      </c>
      <c r="G35" s="220"/>
      <c r="H35" s="220">
        <f t="shared" ref="H35:N35" si="14">H15/H13</f>
        <v>0.20844586616803876</v>
      </c>
      <c r="I35" s="220">
        <f t="shared" si="14"/>
        <v>0.21344855548073441</v>
      </c>
      <c r="J35" s="220">
        <f t="shared" si="14"/>
        <v>0.21731346928406411</v>
      </c>
      <c r="K35" s="220">
        <f t="shared" si="14"/>
        <v>0.22864282806160413</v>
      </c>
      <c r="L35" s="220">
        <f t="shared" si="14"/>
        <v>0.23416096182010149</v>
      </c>
      <c r="M35" s="220">
        <f t="shared" si="14"/>
        <v>0.23472101621983746</v>
      </c>
      <c r="N35" s="220">
        <f t="shared" si="14"/>
        <v>0.24028513057867695</v>
      </c>
    </row>
    <row r="36" spans="2:17" x14ac:dyDescent="0.2">
      <c r="B36" s="6" t="s">
        <v>17</v>
      </c>
      <c r="C36" s="6"/>
      <c r="D36" s="219">
        <f>D16/D13</f>
        <v>3.5111646790154785E-2</v>
      </c>
      <c r="E36" s="219">
        <f>E16/E13</f>
        <v>3.4299909234223477E-2</v>
      </c>
      <c r="F36" s="219">
        <f>F16/F13</f>
        <v>3.3766233766233764E-2</v>
      </c>
      <c r="G36" s="220"/>
      <c r="H36" s="221">
        <f>AVERAGE(D36:F36)</f>
        <v>3.4392596596870675E-2</v>
      </c>
      <c r="I36" s="221">
        <f>H36</f>
        <v>3.4392596596870675E-2</v>
      </c>
      <c r="J36" s="221">
        <f t="shared" ref="J36:N36" si="15">I36</f>
        <v>3.4392596596870675E-2</v>
      </c>
      <c r="K36" s="221">
        <f t="shared" si="15"/>
        <v>3.4392596596870675E-2</v>
      </c>
      <c r="L36" s="221">
        <f t="shared" si="15"/>
        <v>3.4392596596870675E-2</v>
      </c>
      <c r="M36" s="221">
        <f t="shared" si="15"/>
        <v>3.4392596596870675E-2</v>
      </c>
      <c r="N36" s="221">
        <f t="shared" si="15"/>
        <v>3.4392596596870675E-2</v>
      </c>
    </row>
    <row r="37" spans="2:17" x14ac:dyDescent="0.2">
      <c r="B37" s="1" t="s">
        <v>65</v>
      </c>
      <c r="D37" s="219">
        <f>ABS(D24)/D13</f>
        <v>4.3738898756660746E-2</v>
      </c>
      <c r="E37" s="219">
        <f>ABS(E24)/E13</f>
        <v>4.8408414146722083E-2</v>
      </c>
      <c r="F37" s="219">
        <f>ABS(F24)/F13</f>
        <v>4.6737504919323103E-2</v>
      </c>
      <c r="G37" s="222"/>
      <c r="H37" s="221">
        <f>AVERAGE(D37:F37)</f>
        <v>4.6294939274235308E-2</v>
      </c>
      <c r="I37" s="221">
        <f>H37</f>
        <v>4.6294939274235308E-2</v>
      </c>
      <c r="J37" s="221">
        <f t="shared" ref="J37:N37" si="16">I37</f>
        <v>4.6294939274235308E-2</v>
      </c>
      <c r="K37" s="221">
        <f t="shared" si="16"/>
        <v>4.6294939274235308E-2</v>
      </c>
      <c r="L37" s="221">
        <f t="shared" si="16"/>
        <v>4.6294939274235308E-2</v>
      </c>
      <c r="M37" s="221">
        <f t="shared" si="16"/>
        <v>4.6294939274235308E-2</v>
      </c>
      <c r="N37" s="221">
        <f t="shared" si="16"/>
        <v>4.6294939274235308E-2</v>
      </c>
    </row>
    <row r="40" spans="2:17" ht="12.75" x14ac:dyDescent="0.2">
      <c r="B40" s="46" t="s">
        <v>58</v>
      </c>
      <c r="H40" s="46" t="s">
        <v>26</v>
      </c>
    </row>
    <row r="41" spans="2:17" hidden="1" x14ac:dyDescent="0.2">
      <c r="B41" s="47"/>
      <c r="H41" s="47"/>
    </row>
    <row r="42" spans="2:17" ht="14.25" hidden="1" x14ac:dyDescent="0.2">
      <c r="B42" s="1" t="s">
        <v>114</v>
      </c>
      <c r="H42" s="47"/>
      <c r="K42" s="48" t="s">
        <v>18</v>
      </c>
    </row>
    <row r="43" spans="2:17" x14ac:dyDescent="0.2">
      <c r="B43" s="47"/>
    </row>
    <row r="44" spans="2:17" x14ac:dyDescent="0.2">
      <c r="B44" s="49" t="s">
        <v>12</v>
      </c>
      <c r="C44" s="5"/>
      <c r="D44" s="5"/>
      <c r="E44" s="50">
        <f>+S30</f>
        <v>4.7870464821159739E-2</v>
      </c>
      <c r="I44" s="48" t="s">
        <v>126</v>
      </c>
      <c r="J44" s="2"/>
      <c r="K44" s="2"/>
      <c r="L44" s="2"/>
      <c r="M44" s="2"/>
    </row>
    <row r="45" spans="2:17" ht="12" customHeight="1" thickBot="1" x14ac:dyDescent="0.25">
      <c r="B45" s="51" t="s">
        <v>92</v>
      </c>
      <c r="C45" s="6"/>
      <c r="D45" s="6"/>
      <c r="E45" s="186">
        <v>7</v>
      </c>
      <c r="G45" s="236" t="s">
        <v>12</v>
      </c>
      <c r="J45" s="2"/>
      <c r="L45" s="2"/>
      <c r="M45" s="2"/>
    </row>
    <row r="46" spans="2:17" ht="12" thickBot="1" x14ac:dyDescent="0.25">
      <c r="B46" s="51" t="s">
        <v>126</v>
      </c>
      <c r="C46" s="6"/>
      <c r="D46" s="6"/>
      <c r="E46" s="211">
        <v>0.02</v>
      </c>
      <c r="G46" s="236"/>
      <c r="H46" s="52">
        <f>E59</f>
        <v>245.84650533038521</v>
      </c>
      <c r="I46" s="202">
        <f>J46-$P$48</f>
        <v>9.9999999999999985E-3</v>
      </c>
      <c r="J46" s="202">
        <f>K46-$P$48</f>
        <v>1.4999999999999999E-2</v>
      </c>
      <c r="K46" s="203">
        <v>0.02</v>
      </c>
      <c r="L46" s="202">
        <f>K46+$P$48</f>
        <v>2.5000000000000001E-2</v>
      </c>
      <c r="M46" s="202">
        <f>L46+$P$48</f>
        <v>3.0000000000000002E-2</v>
      </c>
      <c r="P46" s="53" t="s">
        <v>88</v>
      </c>
      <c r="Q46" s="54"/>
    </row>
    <row r="47" spans="2:17" ht="12" thickBot="1" x14ac:dyDescent="0.25">
      <c r="B47" s="51"/>
      <c r="C47" s="6"/>
      <c r="D47" s="6"/>
      <c r="E47" s="55"/>
      <c r="G47" s="236"/>
      <c r="H47" s="56">
        <f>H48-$Q$48</f>
        <v>3.2870464821159746E-2</v>
      </c>
      <c r="I47" s="169">
        <f t="dataTable" ref="I47:M53" dt2D="1" dtr="1" r1="E46" r2="E44"/>
        <v>323.66405277074176</v>
      </c>
      <c r="J47" s="170">
        <v>409.58848544575636</v>
      </c>
      <c r="K47" s="170">
        <v>562.27385789176515</v>
      </c>
      <c r="L47" s="170">
        <v>908.95714013785857</v>
      </c>
      <c r="M47" s="171">
        <v>2463.4005025302208</v>
      </c>
      <c r="P47" s="57" t="s">
        <v>89</v>
      </c>
      <c r="Q47" s="58" t="s">
        <v>12</v>
      </c>
    </row>
    <row r="48" spans="2:17" ht="12.75" thickTop="1" thickBot="1" x14ac:dyDescent="0.25">
      <c r="B48" s="51" t="s">
        <v>129</v>
      </c>
      <c r="C48" s="6"/>
      <c r="D48" s="6"/>
      <c r="E48" s="59">
        <f>+N25</f>
        <v>12108.572626530971</v>
      </c>
      <c r="G48" s="236"/>
      <c r="H48" s="56">
        <f>H49-$Q$48</f>
        <v>3.7870464821159744E-2</v>
      </c>
      <c r="I48" s="172">
        <v>260.74358649096018</v>
      </c>
      <c r="J48" s="173">
        <v>314.26462653356879</v>
      </c>
      <c r="K48" s="173">
        <v>397.73510582032975</v>
      </c>
      <c r="L48" s="173">
        <v>546.05987005065458</v>
      </c>
      <c r="M48" s="174">
        <v>882.84207307360828</v>
      </c>
      <c r="P48" s="201">
        <v>5.0000000000000001E-3</v>
      </c>
      <c r="Q48" s="60">
        <v>5.0000000000000001E-3</v>
      </c>
    </row>
    <row r="49" spans="2:13" ht="12.75" thickTop="1" thickBot="1" x14ac:dyDescent="0.25">
      <c r="B49" s="51" t="s">
        <v>19</v>
      </c>
      <c r="C49" s="6"/>
      <c r="D49" s="6"/>
      <c r="E49" s="61">
        <f>+E48*(1+E46)/(E44-E46)</f>
        <v>443148.11964257923</v>
      </c>
      <c r="G49" s="236"/>
      <c r="H49" s="56">
        <f>H50-$Q$48</f>
        <v>4.2870464821159741E-2</v>
      </c>
      <c r="I49" s="172">
        <v>216.99226017231467</v>
      </c>
      <c r="J49" s="187">
        <v>253.17241337519383</v>
      </c>
      <c r="K49" s="188">
        <v>305.17216337498883</v>
      </c>
      <c r="L49" s="189">
        <v>386.27006528084047</v>
      </c>
      <c r="M49" s="174">
        <v>530.37882424021711</v>
      </c>
    </row>
    <row r="50" spans="2:13" ht="12.75" thickTop="1" thickBot="1" x14ac:dyDescent="0.25">
      <c r="B50" s="51" t="s">
        <v>104</v>
      </c>
      <c r="C50" s="6"/>
      <c r="D50" s="6"/>
      <c r="E50" s="62">
        <f>N29</f>
        <v>0.7208531543003146</v>
      </c>
      <c r="G50" s="236"/>
      <c r="H50" s="63">
        <v>4.7870464821159739E-2</v>
      </c>
      <c r="I50" s="172">
        <v>184.81666728442059</v>
      </c>
      <c r="J50" s="190">
        <v>210.68989365276491</v>
      </c>
      <c r="K50" s="178">
        <v>245.84650533038521</v>
      </c>
      <c r="L50" s="191">
        <v>296.3751752291804</v>
      </c>
      <c r="M50" s="174">
        <v>375.17880630244161</v>
      </c>
    </row>
    <row r="51" spans="2:13" ht="12.75" thickTop="1" thickBot="1" x14ac:dyDescent="0.25">
      <c r="B51" s="51" t="s">
        <v>105</v>
      </c>
      <c r="C51" s="6"/>
      <c r="D51" s="6"/>
      <c r="E51" s="64">
        <f>E49*E50</f>
        <v>319444.71986660647</v>
      </c>
      <c r="G51" s="236"/>
      <c r="H51" s="56">
        <f>H50+$Q$48</f>
        <v>5.2870464821159736E-2</v>
      </c>
      <c r="I51" s="172">
        <v>160.16591512870838</v>
      </c>
      <c r="J51" s="192">
        <v>179.44534472227818</v>
      </c>
      <c r="K51" s="193">
        <v>204.59004871901334</v>
      </c>
      <c r="L51" s="194">
        <v>238.75674217953568</v>
      </c>
      <c r="M51" s="174">
        <v>287.86265691417543</v>
      </c>
    </row>
    <row r="52" spans="2:13" ht="12.75" thickTop="1" thickBot="1" x14ac:dyDescent="0.25">
      <c r="B52" s="51"/>
      <c r="C52" s="6"/>
      <c r="D52" s="6"/>
      <c r="E52" s="59"/>
      <c r="G52" s="236"/>
      <c r="H52" s="56">
        <f t="shared" ref="H52:H53" si="17">H51+$Q$48</f>
        <v>5.7870464821159734E-2</v>
      </c>
      <c r="I52" s="172">
        <v>140.68157193656191</v>
      </c>
      <c r="J52" s="173">
        <v>155.50613417142208</v>
      </c>
      <c r="K52" s="173">
        <v>174.24524097415801</v>
      </c>
      <c r="L52" s="173">
        <v>198.68524276109656</v>
      </c>
      <c r="M52" s="174">
        <v>231.89438490639168</v>
      </c>
    </row>
    <row r="53" spans="2:13" ht="12.75" thickTop="1" thickBot="1" x14ac:dyDescent="0.25">
      <c r="B53" s="51" t="s">
        <v>20</v>
      </c>
      <c r="C53" s="6"/>
      <c r="D53" s="6"/>
      <c r="E53" s="65">
        <f>D30+E51</f>
        <v>377750.48606921302</v>
      </c>
      <c r="G53" s="236"/>
      <c r="H53" s="56">
        <f t="shared" si="17"/>
        <v>6.2870464821159738E-2</v>
      </c>
      <c r="I53" s="175">
        <v>124.89737945515746</v>
      </c>
      <c r="J53" s="176">
        <v>136.58267926635415</v>
      </c>
      <c r="K53" s="176">
        <v>150.99370175397706</v>
      </c>
      <c r="L53" s="176">
        <v>169.21007032216107</v>
      </c>
      <c r="M53" s="177">
        <v>192.96830410803972</v>
      </c>
    </row>
    <row r="54" spans="2:13" ht="12" thickTop="1" x14ac:dyDescent="0.2">
      <c r="B54" s="51" t="s">
        <v>21</v>
      </c>
      <c r="C54" s="6"/>
      <c r="D54" s="6"/>
      <c r="E54" s="66">
        <f>_xll.ciqfunctions.udf.CIQ(E3, "IQ_TOTAL_DEBT", IQ_LTM)</f>
        <v>39281</v>
      </c>
    </row>
    <row r="55" spans="2:13" x14ac:dyDescent="0.2">
      <c r="B55" s="51" t="s">
        <v>22</v>
      </c>
      <c r="C55" s="6"/>
      <c r="D55" s="6"/>
      <c r="E55" s="66">
        <f>_xll.ciqfunctions.udf.CIQ(E3, "IQ_CASH_EQUIV", IQ_LTM, E6)</f>
        <v>10610</v>
      </c>
    </row>
    <row r="56" spans="2:13" x14ac:dyDescent="0.2">
      <c r="B56" s="51" t="s">
        <v>23</v>
      </c>
      <c r="C56" s="6"/>
      <c r="D56" s="6"/>
      <c r="E56" s="59">
        <f>E53-E54+E55</f>
        <v>349079.48606921302</v>
      </c>
    </row>
    <row r="57" spans="2:13" x14ac:dyDescent="0.2">
      <c r="B57" s="51"/>
      <c r="C57" s="6"/>
      <c r="D57" s="6"/>
      <c r="E57" s="55"/>
    </row>
    <row r="58" spans="2:13" x14ac:dyDescent="0.2">
      <c r="B58" s="51" t="s">
        <v>24</v>
      </c>
      <c r="C58" s="6"/>
      <c r="D58" s="6"/>
      <c r="E58" s="66">
        <f>_xll.ciqfunctions.udf.CIQ(E3, "IQ_SHARESOUTSTANDING", E6)</f>
        <v>1419.9082699999999</v>
      </c>
    </row>
    <row r="59" spans="2:13" x14ac:dyDescent="0.2">
      <c r="B59" s="51" t="s">
        <v>25</v>
      </c>
      <c r="C59" s="6"/>
      <c r="D59" s="6"/>
      <c r="E59" s="67">
        <f>E56/E58</f>
        <v>245.84650533038521</v>
      </c>
    </row>
    <row r="60" spans="2:13" x14ac:dyDescent="0.2">
      <c r="B60" s="68" t="s">
        <v>66</v>
      </c>
      <c r="C60" s="7"/>
      <c r="D60" s="7"/>
      <c r="E60" s="69">
        <f>_xll.ciqfunctions.udf.CIQ(E3, "IQ_LASTSALEPRICE", E6)</f>
        <v>112.81</v>
      </c>
    </row>
  </sheetData>
  <mergeCells count="1">
    <mergeCell ref="G45:G53"/>
  </mergeCells>
  <phoneticPr fontId="1" type="noConversion"/>
  <printOptions horizontalCentered="1"/>
  <pageMargins left="0" right="0" top="0.5" bottom="1" header="0.5" footer="0.5"/>
  <pageSetup scale="97" orientation="portrait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H60"/>
  <sheetViews>
    <sheetView topLeftCell="D23" zoomScale="120" zoomScaleNormal="120" workbookViewId="0">
      <selection activeCell="E59" sqref="E59"/>
    </sheetView>
  </sheetViews>
  <sheetFormatPr defaultRowHeight="11.25" x14ac:dyDescent="0.2"/>
  <cols>
    <col min="1" max="1" width="2.140625" style="1" customWidth="1"/>
    <col min="2" max="2" width="10.140625" style="1" customWidth="1"/>
    <col min="3" max="6" width="9.140625" style="1"/>
    <col min="7" max="7" width="2.85546875" style="1" customWidth="1"/>
    <col min="8" max="13" width="9.140625" style="1"/>
    <col min="14" max="14" width="9.140625" style="1" customWidth="1"/>
    <col min="15" max="18" width="9.140625" style="1"/>
    <col min="19" max="19" width="10.7109375" style="1" customWidth="1"/>
    <col min="20" max="16384" width="9.140625" style="1"/>
  </cols>
  <sheetData>
    <row r="1" spans="2:34" ht="27.75" customHeight="1" x14ac:dyDescent="0.2">
      <c r="B1" s="150" t="s">
        <v>0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2"/>
    </row>
    <row r="3" spans="2:34" x14ac:dyDescent="0.2">
      <c r="B3" s="27" t="s">
        <v>1</v>
      </c>
      <c r="E3" s="28" t="s">
        <v>144</v>
      </c>
      <c r="G3" s="29"/>
      <c r="H3" s="29"/>
    </row>
    <row r="4" spans="2:34" x14ac:dyDescent="0.2">
      <c r="B4" s="27" t="s">
        <v>2</v>
      </c>
      <c r="E4" s="30" t="str">
        <f>_xll.ciqfunctions.udf.CIQ(E3, "IQ_COMPANY_NAME")</f>
        <v>PepsiCo, Inc.</v>
      </c>
      <c r="G4" s="29"/>
      <c r="H4" s="29"/>
    </row>
    <row r="5" spans="2:34" x14ac:dyDescent="0.2">
      <c r="B5" s="27" t="s">
        <v>7</v>
      </c>
      <c r="E5" s="31">
        <v>0.21</v>
      </c>
      <c r="G5" s="29"/>
      <c r="H5" s="29"/>
    </row>
    <row r="6" spans="2:34" x14ac:dyDescent="0.2">
      <c r="B6" s="27" t="s">
        <v>27</v>
      </c>
      <c r="E6" s="32">
        <f ca="1">TODAY()</f>
        <v>43186</v>
      </c>
      <c r="G6" s="29"/>
      <c r="H6" s="29"/>
    </row>
    <row r="7" spans="2:34" x14ac:dyDescent="0.2">
      <c r="B7" s="27" t="s">
        <v>94</v>
      </c>
      <c r="E7" s="32">
        <f>_xll.ciqfunctions.udf.CIQ($E$3, "IQ_PERIODDATE_IS", IQ_FY)</f>
        <v>43099</v>
      </c>
      <c r="G7" s="3"/>
      <c r="H7" s="29"/>
    </row>
    <row r="8" spans="2:34" x14ac:dyDescent="0.2">
      <c r="B8" s="27"/>
      <c r="E8" s="32"/>
      <c r="G8" s="3"/>
      <c r="H8" s="29"/>
    </row>
    <row r="9" spans="2:34" ht="12" thickBot="1" x14ac:dyDescent="0.25">
      <c r="B9" s="27"/>
      <c r="D9" s="224" t="s">
        <v>131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 spans="2:34" ht="15" customHeight="1" x14ac:dyDescent="0.2">
      <c r="B10" s="27"/>
      <c r="D10" s="33" t="s">
        <v>5</v>
      </c>
      <c r="E10" s="33"/>
      <c r="F10" s="33"/>
      <c r="G10" s="34"/>
      <c r="H10" s="33" t="s">
        <v>6</v>
      </c>
      <c r="I10" s="33"/>
      <c r="J10" s="33"/>
      <c r="K10" s="33"/>
      <c r="L10" s="33"/>
      <c r="M10" s="33"/>
      <c r="N10" s="33"/>
      <c r="P10" s="46" t="s">
        <v>118</v>
      </c>
      <c r="V10" s="49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167"/>
    </row>
    <row r="11" spans="2:34" ht="12.75" x14ac:dyDescent="0.2">
      <c r="D11" s="35">
        <f>+F11-2</f>
        <v>-2</v>
      </c>
      <c r="E11" s="35">
        <f>+F11-1</f>
        <v>-1</v>
      </c>
      <c r="F11" s="35">
        <v>0</v>
      </c>
      <c r="G11" s="36"/>
      <c r="H11" s="35">
        <f>F11+1</f>
        <v>1</v>
      </c>
      <c r="I11" s="35">
        <f>H11+1</f>
        <v>2</v>
      </c>
      <c r="J11" s="35">
        <f>I11+1</f>
        <v>3</v>
      </c>
      <c r="K11" s="35">
        <f>J11+1</f>
        <v>4</v>
      </c>
      <c r="L11" s="35">
        <f>K11+1</f>
        <v>5</v>
      </c>
      <c r="M11" s="35">
        <f t="shared" ref="M11:N11" si="0">L11+1</f>
        <v>6</v>
      </c>
      <c r="N11" s="35">
        <f t="shared" si="0"/>
        <v>7</v>
      </c>
      <c r="V11" s="51"/>
      <c r="W11" s="168" t="s">
        <v>132</v>
      </c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55"/>
    </row>
    <row r="12" spans="2:34" x14ac:dyDescent="0.2">
      <c r="D12" s="38" t="s">
        <v>108</v>
      </c>
      <c r="E12" s="38" t="s">
        <v>109</v>
      </c>
      <c r="F12" s="38" t="s">
        <v>110</v>
      </c>
      <c r="G12" s="37"/>
      <c r="H12" s="38" t="s">
        <v>111</v>
      </c>
      <c r="I12" s="38" t="s">
        <v>112</v>
      </c>
      <c r="J12" s="38" t="s">
        <v>115</v>
      </c>
      <c r="K12" s="38" t="s">
        <v>116</v>
      </c>
      <c r="L12" s="38" t="s">
        <v>117</v>
      </c>
      <c r="M12" s="38" t="s">
        <v>130</v>
      </c>
      <c r="N12" s="38" t="s">
        <v>145</v>
      </c>
      <c r="P12" s="142" t="s">
        <v>52</v>
      </c>
      <c r="Q12" s="5"/>
      <c r="R12" s="5"/>
      <c r="S12" s="204">
        <f>S13 + S14 * S15</f>
        <v>7.2499999999999995E-2</v>
      </c>
      <c r="V12" s="51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55"/>
    </row>
    <row r="13" spans="2:34" x14ac:dyDescent="0.2">
      <c r="B13" s="1" t="s">
        <v>93</v>
      </c>
      <c r="D13" s="223">
        <f>_xll.ciqfunctions.udf.CIQ($E$3, "IQ_REV", D12)</f>
        <v>63056</v>
      </c>
      <c r="E13" s="223">
        <f>_xll.ciqfunctions.udf.CIQ($E$3, "IQ_REV", E12)</f>
        <v>62799</v>
      </c>
      <c r="F13" s="223">
        <f>_xll.ciqfunctions.udf.CIQ($E$3, "IQ_REV", F12)</f>
        <v>63525</v>
      </c>
      <c r="G13" s="39"/>
      <c r="H13" s="40">
        <f>_xll.ciqfunctions.udf.CIQ($E$3, "IQ_REVENUE_EST_CIQ", H12)</f>
        <v>65372.997750000002</v>
      </c>
      <c r="I13" s="40">
        <f>_xll.ciqfunctions.udf.CIQ($E$3, "IQ_REVENUE_EST_CIQ", I12)</f>
        <v>67472.211219999997</v>
      </c>
      <c r="J13" s="40">
        <f>_xll.ciqfunctions.udf.CIQ($E$3, "IQ_REVENUE_EST_CIQ", J12)</f>
        <v>69618.735230000006</v>
      </c>
      <c r="K13" s="40">
        <f>_xll.ciqfunctions.udf.CIQ($E$3, "IQ_REVENUE_EST_CIQ", K12)</f>
        <v>71229</v>
      </c>
      <c r="L13" s="40">
        <f>_xll.ciqfunctions.udf.CIQ($E$3, "IQ_REVENUE_EST_CIQ", L12)</f>
        <v>73402.5</v>
      </c>
      <c r="M13" s="40">
        <f>_xll.ciqfunctions.udf.CIQ($E$3, "IQ_REVENUE_EST_CIQ", M12)</f>
        <v>77621</v>
      </c>
      <c r="N13" s="40">
        <f>_xll.ciqfunctions.udf.CIQ($E$3, "IQ_REVENUE_EST_CIQ", N12)</f>
        <v>80373</v>
      </c>
      <c r="P13" s="51" t="s">
        <v>107</v>
      </c>
      <c r="Q13" s="6"/>
      <c r="R13" s="6"/>
      <c r="S13" s="216">
        <v>0.02</v>
      </c>
      <c r="V13" s="51"/>
      <c r="W13" s="225"/>
      <c r="X13" s="6">
        <v>1</v>
      </c>
      <c r="Y13" s="6" t="s">
        <v>133</v>
      </c>
      <c r="Z13" s="6"/>
      <c r="AA13" s="6"/>
      <c r="AB13" s="6"/>
      <c r="AC13" s="6"/>
      <c r="AD13" s="6"/>
      <c r="AE13" s="6"/>
      <c r="AF13" s="6"/>
      <c r="AG13" s="6"/>
      <c r="AH13" s="55"/>
    </row>
    <row r="14" spans="2:34" x14ac:dyDescent="0.2">
      <c r="B14" s="1" t="s">
        <v>4</v>
      </c>
      <c r="D14" s="223">
        <f>_xll.ciqfunctions.udf.CIQ($E$3, "IQ_GP", D12)</f>
        <v>34325</v>
      </c>
      <c r="E14" s="223">
        <f>_xll.ciqfunctions.udf.CIQ($E$3, "IQ_GP", E12)</f>
        <v>34590</v>
      </c>
      <c r="F14" s="223">
        <f>_xll.ciqfunctions.udf.CIQ($E$3, "IQ_GP", F12)</f>
        <v>34740</v>
      </c>
      <c r="G14" s="39"/>
      <c r="H14" s="41">
        <f>H13 *H34</f>
        <v>35781.55417140264</v>
      </c>
      <c r="I14" s="41">
        <f t="shared" ref="I14:N14" si="1">I13 *I34</f>
        <v>36930.547227853735</v>
      </c>
      <c r="J14" s="41">
        <f t="shared" si="1"/>
        <v>38105.435450629651</v>
      </c>
      <c r="K14" s="41">
        <f t="shared" si="1"/>
        <v>38986.805099890626</v>
      </c>
      <c r="L14" s="41">
        <f t="shared" si="1"/>
        <v>40176.458483829927</v>
      </c>
      <c r="M14" s="41">
        <f t="shared" si="1"/>
        <v>42485.431476766629</v>
      </c>
      <c r="N14" s="41">
        <f t="shared" si="1"/>
        <v>43991.723684082463</v>
      </c>
      <c r="P14" s="198" t="s">
        <v>119</v>
      </c>
      <c r="Q14" s="6"/>
      <c r="R14" s="6"/>
      <c r="S14" s="214">
        <v>0.7</v>
      </c>
      <c r="V14" s="51"/>
      <c r="W14" s="226"/>
      <c r="X14" s="6">
        <v>2</v>
      </c>
      <c r="Y14" s="6" t="s">
        <v>134</v>
      </c>
      <c r="Z14" s="6"/>
      <c r="AA14" s="6"/>
      <c r="AB14" s="6"/>
      <c r="AC14" s="6"/>
      <c r="AD14" s="6"/>
      <c r="AE14" s="6"/>
      <c r="AF14" s="6"/>
      <c r="AG14" s="6"/>
      <c r="AH14" s="55"/>
    </row>
    <row r="15" spans="2:34" x14ac:dyDescent="0.2">
      <c r="B15" s="1" t="s">
        <v>3</v>
      </c>
      <c r="D15" s="223">
        <f>_xll.ciqfunctions.udf.CIQ($E$3, "IQ_EBITDA", D12)</f>
        <v>12223</v>
      </c>
      <c r="E15" s="223">
        <f>_xll.ciqfunctions.udf.CIQ($E$3, "IQ_EBITDA", E12)</f>
        <v>12637</v>
      </c>
      <c r="F15" s="223">
        <f>_xll.ciqfunctions.udf.CIQ($E$3, "IQ_EBITDA", F12)</f>
        <v>12723</v>
      </c>
      <c r="G15" s="39"/>
      <c r="H15" s="40">
        <f>H13 * H35</f>
        <v>13626.73114</v>
      </c>
      <c r="I15" s="40">
        <f>I13 * I35</f>
        <v>14401.846020000001</v>
      </c>
      <c r="J15" s="40">
        <f>J13 * J35</f>
        <v>15129.088879999999</v>
      </c>
      <c r="K15" s="40">
        <f>K13 * K35</f>
        <v>16286</v>
      </c>
      <c r="L15" s="40">
        <f>L13 * L35</f>
        <v>17188</v>
      </c>
      <c r="M15" s="40">
        <f>M13 * M35</f>
        <v>18219.280000000002</v>
      </c>
      <c r="N15" s="40">
        <f>N13 * N35</f>
        <v>19312.436800000003</v>
      </c>
      <c r="P15" s="198" t="s">
        <v>120</v>
      </c>
      <c r="Q15" s="6"/>
      <c r="R15" s="6"/>
      <c r="S15" s="215">
        <v>7.4999999999999997E-2</v>
      </c>
      <c r="V15" s="51"/>
      <c r="W15" s="227"/>
      <c r="X15" s="6">
        <v>3</v>
      </c>
      <c r="Y15" s="6" t="s">
        <v>135</v>
      </c>
      <c r="Z15" s="6"/>
      <c r="AA15" s="6"/>
      <c r="AB15" s="6"/>
      <c r="AC15" s="6"/>
      <c r="AD15" s="6"/>
      <c r="AE15" s="6"/>
      <c r="AF15" s="6"/>
      <c r="AG15" s="6"/>
      <c r="AH15" s="55"/>
    </row>
    <row r="16" spans="2:34" x14ac:dyDescent="0.2">
      <c r="B16" s="1" t="s">
        <v>59</v>
      </c>
      <c r="D16" s="223">
        <f>_xll.ciqfunctions.udf.CIQ($E$3, "IQ_DA_CF", D12)</f>
        <v>2214</v>
      </c>
      <c r="E16" s="223">
        <f>_xll.ciqfunctions.udf.CIQ($E$3, "IQ_DA_CF", E12)</f>
        <v>2154</v>
      </c>
      <c r="F16" s="223">
        <f>_xll.ciqfunctions.udf.CIQ($E$3, "IQ_DA_CF", F12)</f>
        <v>2145</v>
      </c>
      <c r="G16" s="39"/>
      <c r="H16" s="41">
        <f>H13 * H36</f>
        <v>2248.3471399438845</v>
      </c>
      <c r="I16" s="41">
        <f t="shared" ref="I16:N16" si="2">I13 * I36</f>
        <v>2320.5445419883113</v>
      </c>
      <c r="J16" s="41">
        <f t="shared" si="2"/>
        <v>2394.3690763497389</v>
      </c>
      <c r="K16" s="41">
        <f t="shared" si="2"/>
        <v>2449.7502629985015</v>
      </c>
      <c r="L16" s="41">
        <f t="shared" si="2"/>
        <v>2524.5025717017998</v>
      </c>
      <c r="M16" s="41">
        <f t="shared" si="2"/>
        <v>2669.5877404456987</v>
      </c>
      <c r="N16" s="41">
        <f t="shared" si="2"/>
        <v>2764.2361662802869</v>
      </c>
      <c r="P16" s="198" t="s">
        <v>124</v>
      </c>
      <c r="Q16" s="6"/>
      <c r="R16" s="6"/>
      <c r="S16" s="212">
        <f>_xll.ciqfunctions.udf.CIQ(E3, "IQ_MARKETCAP")</f>
        <v>151610.94982000001</v>
      </c>
      <c r="V16" s="51"/>
      <c r="W16" s="228"/>
      <c r="X16" s="6">
        <v>4</v>
      </c>
      <c r="Y16" s="6" t="s">
        <v>136</v>
      </c>
      <c r="Z16" s="6"/>
      <c r="AA16" s="6"/>
      <c r="AB16" s="6"/>
      <c r="AC16" s="6"/>
      <c r="AD16" s="6"/>
      <c r="AE16" s="6"/>
      <c r="AF16" s="6"/>
      <c r="AG16" s="6"/>
      <c r="AH16" s="55"/>
    </row>
    <row r="17" spans="2:34" x14ac:dyDescent="0.2">
      <c r="B17" s="1" t="s">
        <v>8</v>
      </c>
      <c r="D17" s="223">
        <f>_xll.ciqfunctions.udf.CIQ($E$3, "IQ_OPER_INC", D12)</f>
        <v>10009</v>
      </c>
      <c r="E17" s="223">
        <f>_xll.ciqfunctions.udf.CIQ($E$3, "IQ_OPER_INC", E12)</f>
        <v>10483</v>
      </c>
      <c r="F17" s="223">
        <f>_xll.ciqfunctions.udf.CIQ($E$3, "IQ_OPER_INC", F12)</f>
        <v>10578</v>
      </c>
      <c r="G17" s="39"/>
      <c r="H17" s="44">
        <f>H15 - H16</f>
        <v>11378.384000056116</v>
      </c>
      <c r="I17" s="44">
        <f t="shared" ref="I17:N17" si="3">I15 - I16</f>
        <v>12081.30147801169</v>
      </c>
      <c r="J17" s="44">
        <f t="shared" si="3"/>
        <v>12734.71980365026</v>
      </c>
      <c r="K17" s="44">
        <f t="shared" si="3"/>
        <v>13836.249737001499</v>
      </c>
      <c r="L17" s="44">
        <f t="shared" si="3"/>
        <v>14663.4974282982</v>
      </c>
      <c r="M17" s="44">
        <f t="shared" si="3"/>
        <v>15549.692259554304</v>
      </c>
      <c r="N17" s="44">
        <f t="shared" si="3"/>
        <v>16548.200633719716</v>
      </c>
      <c r="P17" s="51"/>
      <c r="S17" s="55"/>
      <c r="V17" s="51"/>
      <c r="W17" s="229"/>
      <c r="X17" s="6">
        <v>5</v>
      </c>
      <c r="Y17" s="6" t="s">
        <v>137</v>
      </c>
      <c r="Z17" s="6"/>
      <c r="AA17" s="6"/>
      <c r="AB17" s="6"/>
      <c r="AC17" s="6"/>
      <c r="AD17" s="6"/>
      <c r="AE17" s="6"/>
      <c r="AF17" s="6"/>
      <c r="AG17" s="6"/>
      <c r="AH17" s="55"/>
    </row>
    <row r="18" spans="2:34" x14ac:dyDescent="0.2">
      <c r="B18" s="1" t="s">
        <v>9</v>
      </c>
      <c r="D18" s="43"/>
      <c r="E18" s="43"/>
      <c r="F18" s="43"/>
      <c r="G18" s="39"/>
      <c r="H18" s="44">
        <f>H17 * $E$5</f>
        <v>2389.4606400117841</v>
      </c>
      <c r="I18" s="44">
        <f t="shared" ref="I18:N18" si="4">I17 * $E$5</f>
        <v>2537.073310382455</v>
      </c>
      <c r="J18" s="44">
        <f t="shared" si="4"/>
        <v>2674.2911587665544</v>
      </c>
      <c r="K18" s="44">
        <f t="shared" si="4"/>
        <v>2905.6124447703146</v>
      </c>
      <c r="L18" s="44">
        <f t="shared" si="4"/>
        <v>3079.3344599426218</v>
      </c>
      <c r="M18" s="44">
        <f t="shared" si="4"/>
        <v>3265.4353745064036</v>
      </c>
      <c r="N18" s="44">
        <f t="shared" si="4"/>
        <v>3475.1221330811404</v>
      </c>
      <c r="P18" s="198" t="s">
        <v>121</v>
      </c>
      <c r="Q18" s="6"/>
      <c r="R18" s="6"/>
      <c r="S18" s="205">
        <f>S16 / (S16 + S26)</f>
        <v>0.79422390500469142</v>
      </c>
      <c r="V18" s="51"/>
      <c r="W18" s="230"/>
      <c r="X18" s="6">
        <v>6</v>
      </c>
      <c r="Y18" s="6" t="s">
        <v>138</v>
      </c>
      <c r="Z18" s="6"/>
      <c r="AA18" s="6"/>
      <c r="AB18" s="6"/>
      <c r="AC18" s="6"/>
      <c r="AD18" s="6"/>
      <c r="AE18" s="6"/>
      <c r="AF18" s="6"/>
      <c r="AG18" s="6"/>
      <c r="AH18" s="55"/>
    </row>
    <row r="19" spans="2:34" x14ac:dyDescent="0.2">
      <c r="B19" s="1" t="s">
        <v>79</v>
      </c>
      <c r="D19" s="43"/>
      <c r="E19" s="43"/>
      <c r="F19" s="43"/>
      <c r="G19" s="39"/>
      <c r="H19" s="42">
        <f>H17 - H18</f>
        <v>8988.9233600443313</v>
      </c>
      <c r="I19" s="42">
        <f t="shared" ref="I19:N19" si="5">I17 - I18</f>
        <v>9544.228167629235</v>
      </c>
      <c r="J19" s="42">
        <f t="shared" si="5"/>
        <v>10060.428644883705</v>
      </c>
      <c r="K19" s="42">
        <f t="shared" si="5"/>
        <v>10930.637292231184</v>
      </c>
      <c r="L19" s="42">
        <f t="shared" si="5"/>
        <v>11584.162968355578</v>
      </c>
      <c r="M19" s="42">
        <f t="shared" si="5"/>
        <v>12284.2568850479</v>
      </c>
      <c r="N19" s="42">
        <f t="shared" si="5"/>
        <v>13073.078500638576</v>
      </c>
      <c r="P19" s="199"/>
      <c r="Q19" s="6"/>
      <c r="R19" s="6"/>
      <c r="S19" s="55"/>
      <c r="V19" s="51"/>
      <c r="W19" s="231"/>
      <c r="X19" s="6">
        <v>7</v>
      </c>
      <c r="Y19" s="6" t="s">
        <v>139</v>
      </c>
      <c r="Z19" s="6"/>
      <c r="AA19" s="6"/>
      <c r="AB19" s="6"/>
      <c r="AC19" s="6"/>
      <c r="AD19" s="6"/>
      <c r="AE19" s="6"/>
      <c r="AF19" s="6"/>
      <c r="AG19" s="6"/>
      <c r="AH19" s="55"/>
    </row>
    <row r="20" spans="2:34" x14ac:dyDescent="0.2">
      <c r="D20" s="43"/>
      <c r="E20" s="43"/>
      <c r="F20" s="43"/>
      <c r="G20" s="39"/>
      <c r="H20" s="42"/>
      <c r="I20" s="42"/>
      <c r="J20" s="42"/>
      <c r="K20" s="42"/>
      <c r="L20" s="42"/>
      <c r="M20" s="42"/>
      <c r="N20" s="42"/>
      <c r="P20" s="72" t="s">
        <v>128</v>
      </c>
      <c r="S20" s="204">
        <f>S21 * (1 - E5)</f>
        <v>1.8762500000000001E-2</v>
      </c>
      <c r="V20" s="51"/>
      <c r="W20" s="6"/>
      <c r="X20" s="6">
        <v>8</v>
      </c>
      <c r="Y20" s="6" t="s">
        <v>140</v>
      </c>
      <c r="Z20" s="6"/>
      <c r="AA20" s="6"/>
      <c r="AB20" s="6"/>
      <c r="AC20" s="6"/>
      <c r="AD20" s="6"/>
      <c r="AE20" s="6"/>
      <c r="AF20" s="6"/>
      <c r="AG20" s="6"/>
      <c r="AH20" s="55"/>
    </row>
    <row r="21" spans="2:34" x14ac:dyDescent="0.2">
      <c r="B21" s="1" t="str">
        <f>B19</f>
        <v>Tax Affected EBIT</v>
      </c>
      <c r="D21" s="43"/>
      <c r="E21" s="43"/>
      <c r="F21" s="43"/>
      <c r="G21" s="39"/>
      <c r="H21" s="42">
        <f>H19</f>
        <v>8988.9233600443313</v>
      </c>
      <c r="I21" s="42">
        <f>I19</f>
        <v>9544.228167629235</v>
      </c>
      <c r="J21" s="42">
        <f>J19</f>
        <v>10060.428644883705</v>
      </c>
      <c r="K21" s="42">
        <f>K19</f>
        <v>10930.637292231184</v>
      </c>
      <c r="L21" s="42">
        <f>L19</f>
        <v>11584.162968355578</v>
      </c>
      <c r="M21" s="42">
        <f t="shared" ref="M21:N21" si="6">M19</f>
        <v>12284.2568850479</v>
      </c>
      <c r="N21" s="42">
        <f t="shared" si="6"/>
        <v>13073.078500638576</v>
      </c>
      <c r="P21" s="198" t="s">
        <v>127</v>
      </c>
      <c r="Q21" s="6"/>
      <c r="R21" s="6"/>
      <c r="S21" s="235">
        <f>S23 + S24 * S25</f>
        <v>2.375E-2</v>
      </c>
      <c r="V21" s="51"/>
      <c r="W21" s="232"/>
      <c r="X21" s="6">
        <v>9</v>
      </c>
      <c r="Y21" s="6" t="s">
        <v>141</v>
      </c>
      <c r="Z21" s="6"/>
      <c r="AA21" s="6"/>
      <c r="AB21" s="6"/>
      <c r="AC21" s="6"/>
      <c r="AD21" s="6"/>
      <c r="AE21" s="6"/>
      <c r="AF21" s="6"/>
      <c r="AG21" s="6"/>
      <c r="AH21" s="55"/>
    </row>
    <row r="22" spans="2:34" x14ac:dyDescent="0.2">
      <c r="B22" s="1" t="str">
        <f>B16</f>
        <v>Depreciation/Amortization</v>
      </c>
      <c r="D22" s="43"/>
      <c r="E22" s="43"/>
      <c r="F22" s="43"/>
      <c r="G22" s="39"/>
      <c r="H22" s="42">
        <f>H16</f>
        <v>2248.3471399438845</v>
      </c>
      <c r="I22" s="42">
        <f>I16</f>
        <v>2320.5445419883113</v>
      </c>
      <c r="J22" s="42">
        <f>J16</f>
        <v>2394.3690763497389</v>
      </c>
      <c r="K22" s="42">
        <f>K16</f>
        <v>2449.7502629985015</v>
      </c>
      <c r="L22" s="42">
        <f>L16</f>
        <v>2524.5025717017998</v>
      </c>
      <c r="M22" s="42">
        <f t="shared" ref="M22:N22" si="7">M16</f>
        <v>2669.5877404456987</v>
      </c>
      <c r="N22" s="42">
        <f t="shared" si="7"/>
        <v>2764.2361662802869</v>
      </c>
      <c r="P22" s="51" t="s">
        <v>125</v>
      </c>
      <c r="S22" s="217" t="s">
        <v>146</v>
      </c>
      <c r="V22" s="51"/>
      <c r="W22" s="233"/>
      <c r="X22" s="6">
        <v>10</v>
      </c>
      <c r="Y22" s="6" t="s">
        <v>142</v>
      </c>
      <c r="Z22" s="6"/>
      <c r="AA22" s="6"/>
      <c r="AB22" s="6"/>
      <c r="AC22" s="6"/>
      <c r="AD22" s="6"/>
      <c r="AE22" s="6"/>
      <c r="AF22" s="6"/>
      <c r="AG22" s="6"/>
      <c r="AH22" s="55"/>
    </row>
    <row r="23" spans="2:34" x14ac:dyDescent="0.2">
      <c r="B23" s="1" t="s">
        <v>113</v>
      </c>
      <c r="D23" s="43"/>
      <c r="E23" s="43"/>
      <c r="F23" s="43"/>
      <c r="G23" s="39"/>
      <c r="H23" s="42">
        <f>-+WC!G13</f>
        <v>381.83924299669525</v>
      </c>
      <c r="I23" s="42">
        <f>-+WC!H13</f>
        <v>-6.0099795891146641</v>
      </c>
      <c r="J23" s="42">
        <f>-+WC!I13</f>
        <v>-6.1454281196292868</v>
      </c>
      <c r="K23" s="42">
        <f>-+WC!J13</f>
        <v>-4.6101354336151417</v>
      </c>
      <c r="L23" s="42">
        <f>-+WC!K13</f>
        <v>-6.2226594977710192</v>
      </c>
      <c r="M23" s="42">
        <f>-+WC!L13</f>
        <v>-12.07742769327524</v>
      </c>
      <c r="N23" s="42">
        <f>-+WC!M13</f>
        <v>-7.8788860997774464</v>
      </c>
      <c r="P23" s="198" t="s">
        <v>107</v>
      </c>
      <c r="Q23" s="6"/>
      <c r="R23" s="6"/>
      <c r="S23" s="213">
        <f>+S13</f>
        <v>0.02</v>
      </c>
      <c r="V23" s="51"/>
      <c r="W23" s="234"/>
      <c r="X23" s="6">
        <v>11</v>
      </c>
      <c r="Y23" s="6" t="s">
        <v>143</v>
      </c>
      <c r="Z23" s="6"/>
      <c r="AA23" s="6"/>
      <c r="AB23" s="6"/>
      <c r="AC23" s="6"/>
      <c r="AD23" s="6"/>
      <c r="AE23" s="6"/>
      <c r="AF23" s="6"/>
      <c r="AG23" s="6"/>
      <c r="AH23" s="55"/>
    </row>
    <row r="24" spans="2:34" x14ac:dyDescent="0.2">
      <c r="B24" s="1" t="s">
        <v>10</v>
      </c>
      <c r="D24" s="43">
        <f>_xll.ciqfunctions.udf.CIQ($E$3, "IQ_CAPEX", IQ_FY, D12)</f>
        <v>-2758</v>
      </c>
      <c r="E24" s="43">
        <f>_xll.ciqfunctions.udf.CIQ($E$3, "IQ_CAPEX", IQ_FY, E12)</f>
        <v>-3040</v>
      </c>
      <c r="F24" s="43">
        <f>_xll.ciqfunctions.udf.CIQ($E$3, "IQ_CAPEX", IQ_FY, F12)</f>
        <v>-2969</v>
      </c>
      <c r="G24" s="39"/>
      <c r="H24" s="41">
        <f>-H13 * H37</f>
        <v>-3026.4389610109715</v>
      </c>
      <c r="I24" s="41">
        <f t="shared" ref="I24:N24" si="8">-I13 * I37</f>
        <v>-3123.6219211282782</v>
      </c>
      <c r="J24" s="41">
        <f t="shared" si="8"/>
        <v>-3222.9951198219164</v>
      </c>
      <c r="K24" s="41">
        <f t="shared" si="8"/>
        <v>-3297.5422295645067</v>
      </c>
      <c r="L24" s="41">
        <f t="shared" si="8"/>
        <v>-3398.1642800770574</v>
      </c>
      <c r="M24" s="41">
        <f t="shared" si="8"/>
        <v>-3593.459481405419</v>
      </c>
      <c r="N24" s="41">
        <f t="shared" si="8"/>
        <v>-3720.8631542881144</v>
      </c>
      <c r="P24" s="198" t="s">
        <v>122</v>
      </c>
      <c r="Q24" s="6"/>
      <c r="R24" s="6"/>
      <c r="S24" s="218">
        <v>0.05</v>
      </c>
      <c r="V24" s="68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108"/>
    </row>
    <row r="25" spans="2:34" x14ac:dyDescent="0.2">
      <c r="B25" s="1" t="s">
        <v>11</v>
      </c>
      <c r="D25" s="43"/>
      <c r="E25" s="43"/>
      <c r="F25" s="43"/>
      <c r="G25" s="39"/>
      <c r="H25" s="44">
        <f>SUM(H21:H24)</f>
        <v>8592.6707819739386</v>
      </c>
      <c r="I25" s="44">
        <f t="shared" ref="I25:N25" si="9">SUM(I21:I24)</f>
        <v>8735.1408089001525</v>
      </c>
      <c r="J25" s="44">
        <f t="shared" si="9"/>
        <v>9225.6571732918983</v>
      </c>
      <c r="K25" s="44">
        <f t="shared" si="9"/>
        <v>10078.235190231564</v>
      </c>
      <c r="L25" s="44">
        <f t="shared" si="9"/>
        <v>10704.27860048255</v>
      </c>
      <c r="M25" s="44">
        <f t="shared" si="9"/>
        <v>11348.307716394906</v>
      </c>
      <c r="N25" s="44">
        <f t="shared" si="9"/>
        <v>12108.572626530971</v>
      </c>
      <c r="P25" s="198" t="s">
        <v>120</v>
      </c>
      <c r="Q25" s="6"/>
      <c r="R25" s="6"/>
      <c r="S25" s="197">
        <f>+S15</f>
        <v>7.4999999999999997E-2</v>
      </c>
    </row>
    <row r="26" spans="2:34" x14ac:dyDescent="0.2">
      <c r="D26" s="43"/>
      <c r="E26" s="43"/>
      <c r="F26" s="43"/>
      <c r="G26" s="39"/>
      <c r="H26" s="206"/>
      <c r="I26" s="237"/>
      <c r="J26" s="237"/>
      <c r="K26" s="237"/>
      <c r="L26" s="237"/>
      <c r="M26" s="237"/>
      <c r="N26" s="237"/>
      <c r="P26" s="198" t="s">
        <v>35</v>
      </c>
      <c r="Q26" s="6"/>
      <c r="R26" s="6"/>
      <c r="S26" s="212">
        <f>_xll.ciqfunctions.udf.CIQ(E3, "IQ_TOTAL_DEBT", IQ_FY)</f>
        <v>39281</v>
      </c>
    </row>
    <row r="27" spans="2:34" x14ac:dyDescent="0.2">
      <c r="B27" s="195" t="s">
        <v>80</v>
      </c>
      <c r="C27" s="196">
        <f>+E44</f>
        <v>6.1442107095189602E-2</v>
      </c>
      <c r="D27" s="43"/>
      <c r="E27" s="43"/>
      <c r="F27" s="43"/>
      <c r="G27" s="39"/>
      <c r="H27" s="42"/>
      <c r="I27" s="238"/>
      <c r="J27" s="42"/>
      <c r="K27" s="42"/>
      <c r="L27" s="42"/>
      <c r="M27" s="42"/>
      <c r="N27" s="42"/>
      <c r="P27" s="51"/>
      <c r="S27" s="55"/>
    </row>
    <row r="28" spans="2:34" x14ac:dyDescent="0.2">
      <c r="C28" s="45"/>
      <c r="D28" s="43"/>
      <c r="E28" s="43"/>
      <c r="F28" s="43"/>
      <c r="G28" s="39"/>
      <c r="H28" s="42"/>
      <c r="I28" s="42"/>
      <c r="J28" s="42"/>
      <c r="K28" s="42"/>
      <c r="L28" s="42"/>
      <c r="M28" s="42"/>
      <c r="N28" s="42"/>
      <c r="P28" s="198" t="s">
        <v>123</v>
      </c>
      <c r="Q28" s="6"/>
      <c r="R28" s="6"/>
      <c r="S28" s="205">
        <f>1 - S18</f>
        <v>0.20577609499530858</v>
      </c>
    </row>
    <row r="29" spans="2:34" x14ac:dyDescent="0.2">
      <c r="B29" s="1" t="s">
        <v>104</v>
      </c>
      <c r="C29" s="45"/>
      <c r="D29" s="43"/>
      <c r="E29" s="43"/>
      <c r="F29" s="43"/>
      <c r="G29" s="39"/>
      <c r="H29" s="207">
        <f t="shared" ref="H29:N29" si="10">1/(1+$C$27)^H11</f>
        <v>0.94211449999535446</v>
      </c>
      <c r="I29" s="207">
        <f t="shared" si="10"/>
        <v>0.88757973110149668</v>
      </c>
      <c r="J29" s="207">
        <f t="shared" si="10"/>
        <v>0.83620173457269775</v>
      </c>
      <c r="K29" s="207">
        <f t="shared" si="10"/>
        <v>0.78779777906220527</v>
      </c>
      <c r="L29" s="207">
        <f t="shared" si="10"/>
        <v>0.74219571071864021</v>
      </c>
      <c r="M29" s="207">
        <f t="shared" si="10"/>
        <v>0.69923334090238842</v>
      </c>
      <c r="N29" s="207">
        <f t="shared" si="10"/>
        <v>0.65875786934433489</v>
      </c>
      <c r="P29" s="199"/>
      <c r="Q29" s="6"/>
      <c r="R29" s="6"/>
      <c r="S29" s="55"/>
    </row>
    <row r="30" spans="2:34" x14ac:dyDescent="0.2">
      <c r="B30" s="1" t="s">
        <v>13</v>
      </c>
      <c r="D30" s="208">
        <f>SUM(H30:N30)</f>
        <v>55358.937784285423</v>
      </c>
      <c r="E30" s="39"/>
      <c r="F30" s="39"/>
      <c r="G30" s="39"/>
      <c r="H30" s="44">
        <f>H25 * H29</f>
        <v>8095.2797373840685</v>
      </c>
      <c r="I30" s="44">
        <f t="shared" ref="I30:N30" si="11">I25 * I29</f>
        <v>7753.1339302973074</v>
      </c>
      <c r="J30" s="44">
        <f t="shared" si="11"/>
        <v>7714.5105308797374</v>
      </c>
      <c r="K30" s="44">
        <f t="shared" si="11"/>
        <v>7939.6112997309883</v>
      </c>
      <c r="L30" s="44">
        <f t="shared" si="11"/>
        <v>7944.6696636154775</v>
      </c>
      <c r="M30" s="44">
        <f t="shared" si="11"/>
        <v>7935.1151181231644</v>
      </c>
      <c r="N30" s="44">
        <f t="shared" si="11"/>
        <v>7976.6175042546793</v>
      </c>
      <c r="P30" s="200" t="s">
        <v>12</v>
      </c>
      <c r="Q30" s="7"/>
      <c r="R30" s="7"/>
      <c r="S30" s="205">
        <f>(S12 * S18) + (S20 * S28)</f>
        <v>6.1442107095189602E-2</v>
      </c>
    </row>
    <row r="31" spans="2:34" x14ac:dyDescent="0.2">
      <c r="E31" s="39"/>
      <c r="F31" s="39"/>
      <c r="G31" s="39"/>
      <c r="H31" s="39"/>
      <c r="I31" s="39"/>
      <c r="J31" s="39"/>
      <c r="K31" s="39"/>
      <c r="L31" s="39"/>
      <c r="M31" s="39"/>
      <c r="N31" s="39"/>
    </row>
    <row r="33" spans="2:17" x14ac:dyDescent="0.2">
      <c r="B33" s="6" t="s">
        <v>14</v>
      </c>
      <c r="C33" s="6"/>
      <c r="D33" s="219"/>
      <c r="E33" s="219">
        <f>(E13-D13)/D13</f>
        <v>-4.0757421974118241E-3</v>
      </c>
      <c r="F33" s="219">
        <f>(F13-E13)/E13</f>
        <v>1.1560693641618497E-2</v>
      </c>
      <c r="G33" s="220"/>
      <c r="H33" s="220">
        <f>(H13/F13)-1</f>
        <v>2.9090873671782758E-2</v>
      </c>
      <c r="I33" s="220">
        <f t="shared" ref="I33:N33" si="12">(I13/H13)-1</f>
        <v>3.2111323363628319E-2</v>
      </c>
      <c r="J33" s="220">
        <f t="shared" si="12"/>
        <v>3.181345284506909E-2</v>
      </c>
      <c r="K33" s="220">
        <f t="shared" si="12"/>
        <v>2.3129761905041013E-2</v>
      </c>
      <c r="L33" s="220">
        <f t="shared" si="12"/>
        <v>3.051425683359299E-2</v>
      </c>
      <c r="M33" s="220">
        <f t="shared" si="12"/>
        <v>5.7470794591464758E-2</v>
      </c>
      <c r="N33" s="220">
        <f t="shared" si="12"/>
        <v>3.545432292807349E-2</v>
      </c>
    </row>
    <row r="34" spans="2:17" x14ac:dyDescent="0.2">
      <c r="B34" s="6" t="s">
        <v>15</v>
      </c>
      <c r="C34" s="6"/>
      <c r="D34" s="219">
        <f>D14/D13</f>
        <v>0.54435739659984772</v>
      </c>
      <c r="E34" s="219">
        <f>E14/E13</f>
        <v>0.55080494912339373</v>
      </c>
      <c r="F34" s="219">
        <f>F14/F13</f>
        <v>0.54687131050767412</v>
      </c>
      <c r="G34" s="220"/>
      <c r="H34" s="221">
        <f>AVERAGE(D34:F34)</f>
        <v>0.54734455207697186</v>
      </c>
      <c r="I34" s="221">
        <f>H34</f>
        <v>0.54734455207697186</v>
      </c>
      <c r="J34" s="221">
        <f t="shared" ref="J34:N34" si="13">I34</f>
        <v>0.54734455207697186</v>
      </c>
      <c r="K34" s="221">
        <f t="shared" si="13"/>
        <v>0.54734455207697186</v>
      </c>
      <c r="L34" s="221">
        <f t="shared" si="13"/>
        <v>0.54734455207697186</v>
      </c>
      <c r="M34" s="221">
        <f t="shared" si="13"/>
        <v>0.54734455207697186</v>
      </c>
      <c r="N34" s="221">
        <f t="shared" si="13"/>
        <v>0.54734455207697186</v>
      </c>
    </row>
    <row r="35" spans="2:17" x14ac:dyDescent="0.2">
      <c r="B35" s="6" t="s">
        <v>16</v>
      </c>
      <c r="C35" s="6"/>
      <c r="D35" s="219">
        <f>D15/D13</f>
        <v>0.19384356762243085</v>
      </c>
      <c r="E35" s="219">
        <f>E15/E13</f>
        <v>0.20122931893819965</v>
      </c>
      <c r="F35" s="219">
        <f>F15/F13</f>
        <v>0.20028335301062575</v>
      </c>
      <c r="G35" s="220"/>
      <c r="H35" s="220">
        <f>H38+$G$38</f>
        <v>0.20844586616803876</v>
      </c>
      <c r="I35" s="220">
        <f>I38+$G$38</f>
        <v>0.21344855548073441</v>
      </c>
      <c r="J35" s="220">
        <f>J38+$G$38</f>
        <v>0.21731346928406411</v>
      </c>
      <c r="K35" s="220">
        <f>K38+$G$38</f>
        <v>0.22864282806160413</v>
      </c>
      <c r="L35" s="220">
        <f>L38+$G$38</f>
        <v>0.23416096182010149</v>
      </c>
      <c r="M35" s="220">
        <f>M38+$G$38</f>
        <v>0.23472101621983746</v>
      </c>
      <c r="N35" s="220">
        <f>N38+$G$38</f>
        <v>0.24028513057867695</v>
      </c>
    </row>
    <row r="36" spans="2:17" x14ac:dyDescent="0.2">
      <c r="B36" s="6" t="s">
        <v>17</v>
      </c>
      <c r="C36" s="6"/>
      <c r="D36" s="219">
        <f>D16/D13</f>
        <v>3.5111646790154785E-2</v>
      </c>
      <c r="E36" s="219">
        <f>E16/E13</f>
        <v>3.4299909234223477E-2</v>
      </c>
      <c r="F36" s="219">
        <f>F16/F13</f>
        <v>3.3766233766233764E-2</v>
      </c>
      <c r="G36" s="220"/>
      <c r="H36" s="221">
        <f>AVERAGE(D36:F36)</f>
        <v>3.4392596596870675E-2</v>
      </c>
      <c r="I36" s="221">
        <f>H36</f>
        <v>3.4392596596870675E-2</v>
      </c>
      <c r="J36" s="221">
        <f t="shared" ref="J36:N37" si="14">I36</f>
        <v>3.4392596596870675E-2</v>
      </c>
      <c r="K36" s="221">
        <f t="shared" si="14"/>
        <v>3.4392596596870675E-2</v>
      </c>
      <c r="L36" s="221">
        <f t="shared" si="14"/>
        <v>3.4392596596870675E-2</v>
      </c>
      <c r="M36" s="221">
        <f t="shared" si="14"/>
        <v>3.4392596596870675E-2</v>
      </c>
      <c r="N36" s="221">
        <f t="shared" si="14"/>
        <v>3.4392596596870675E-2</v>
      </c>
    </row>
    <row r="37" spans="2:17" x14ac:dyDescent="0.2">
      <c r="B37" s="1" t="s">
        <v>65</v>
      </c>
      <c r="D37" s="219">
        <f>ABS(D24)/D13</f>
        <v>4.3738898756660746E-2</v>
      </c>
      <c r="E37" s="219">
        <f>ABS(E24)/E13</f>
        <v>4.8408414146722083E-2</v>
      </c>
      <c r="F37" s="219">
        <f>ABS(F24)/F13</f>
        <v>4.6737504919323103E-2</v>
      </c>
      <c r="G37" s="222"/>
      <c r="H37" s="221">
        <f>AVERAGE(D37:F37)</f>
        <v>4.6294939274235308E-2</v>
      </c>
      <c r="I37" s="221">
        <f>H37</f>
        <v>4.6294939274235308E-2</v>
      </c>
      <c r="J37" s="221">
        <f t="shared" si="14"/>
        <v>4.6294939274235308E-2</v>
      </c>
      <c r="K37" s="221">
        <f t="shared" si="14"/>
        <v>4.6294939274235308E-2</v>
      </c>
      <c r="L37" s="221">
        <f t="shared" si="14"/>
        <v>4.6294939274235308E-2</v>
      </c>
      <c r="M37" s="221">
        <f t="shared" si="14"/>
        <v>4.6294939274235308E-2</v>
      </c>
      <c r="N37" s="221">
        <f t="shared" si="14"/>
        <v>4.6294939274235308E-2</v>
      </c>
    </row>
    <row r="38" spans="2:17" x14ac:dyDescent="0.2">
      <c r="G38" s="241">
        <v>0</v>
      </c>
      <c r="H38" s="220">
        <v>0.20844586616803876</v>
      </c>
      <c r="I38" s="220">
        <v>0.21344855548073441</v>
      </c>
      <c r="J38" s="220">
        <v>0.21731346928406411</v>
      </c>
      <c r="K38" s="220">
        <v>0.22864282806160413</v>
      </c>
      <c r="L38" s="220">
        <v>0.23416096182010149</v>
      </c>
      <c r="M38" s="220">
        <v>0.23472101621983746</v>
      </c>
      <c r="N38" s="220">
        <v>0.24028513057867695</v>
      </c>
    </row>
    <row r="40" spans="2:17" ht="12.75" x14ac:dyDescent="0.2">
      <c r="B40" s="46" t="s">
        <v>58</v>
      </c>
      <c r="H40" s="46" t="s">
        <v>26</v>
      </c>
    </row>
    <row r="41" spans="2:17" hidden="1" x14ac:dyDescent="0.2">
      <c r="B41" s="47"/>
      <c r="H41" s="47"/>
    </row>
    <row r="42" spans="2:17" ht="14.25" hidden="1" x14ac:dyDescent="0.2">
      <c r="B42" s="1" t="s">
        <v>114</v>
      </c>
      <c r="H42" s="47"/>
      <c r="K42" s="48" t="s">
        <v>18</v>
      </c>
    </row>
    <row r="43" spans="2:17" x14ac:dyDescent="0.2">
      <c r="B43" s="47"/>
    </row>
    <row r="44" spans="2:17" x14ac:dyDescent="0.2">
      <c r="B44" s="49" t="s">
        <v>12</v>
      </c>
      <c r="C44" s="5"/>
      <c r="D44" s="5"/>
      <c r="E44" s="50">
        <f>+S30</f>
        <v>6.1442107095189602E-2</v>
      </c>
      <c r="I44" s="48" t="s">
        <v>126</v>
      </c>
      <c r="J44" s="2"/>
      <c r="K44" s="2"/>
      <c r="L44" s="2"/>
      <c r="M44" s="2"/>
    </row>
    <row r="45" spans="2:17" ht="12" customHeight="1" thickBot="1" x14ac:dyDescent="0.25">
      <c r="B45" s="51" t="s">
        <v>92</v>
      </c>
      <c r="C45" s="6"/>
      <c r="D45" s="6"/>
      <c r="E45" s="186">
        <v>7</v>
      </c>
      <c r="G45" s="236" t="s">
        <v>12</v>
      </c>
      <c r="J45" s="2"/>
      <c r="L45" s="2"/>
      <c r="M45" s="2"/>
    </row>
    <row r="46" spans="2:17" ht="12" thickBot="1" x14ac:dyDescent="0.25">
      <c r="B46" s="51" t="s">
        <v>126</v>
      </c>
      <c r="C46" s="6"/>
      <c r="D46" s="6"/>
      <c r="E46" s="211">
        <v>0.02</v>
      </c>
      <c r="G46" s="236"/>
      <c r="H46" s="52">
        <f>E59</f>
        <v>157.11321942745795</v>
      </c>
      <c r="I46" s="202">
        <f>J46-$P$48</f>
        <v>9.9999999999999985E-3</v>
      </c>
      <c r="J46" s="202">
        <f>K46-$P$48</f>
        <v>1.4999999999999999E-2</v>
      </c>
      <c r="K46" s="203">
        <v>0.02</v>
      </c>
      <c r="L46" s="202">
        <f>K46+$P$48</f>
        <v>2.5000000000000001E-2</v>
      </c>
      <c r="M46" s="202">
        <f>L46+$P$48</f>
        <v>3.0000000000000002E-2</v>
      </c>
      <c r="P46" s="53" t="s">
        <v>88</v>
      </c>
      <c r="Q46" s="54"/>
    </row>
    <row r="47" spans="2:17" ht="12" thickBot="1" x14ac:dyDescent="0.25">
      <c r="B47" s="51"/>
      <c r="C47" s="6"/>
      <c r="D47" s="6"/>
      <c r="E47" s="55"/>
      <c r="G47" s="236"/>
      <c r="H47" s="56">
        <f>H48-$Q$48</f>
        <v>3.2870464821159746E-2</v>
      </c>
      <c r="I47" s="169">
        <v>323.66405277074176</v>
      </c>
      <c r="J47" s="170">
        <v>409.58848544575636</v>
      </c>
      <c r="K47" s="170">
        <v>562.27385789176515</v>
      </c>
      <c r="L47" s="170">
        <v>908.95714013785857</v>
      </c>
      <c r="M47" s="171">
        <v>2463.4005025302208</v>
      </c>
      <c r="P47" s="57" t="s">
        <v>89</v>
      </c>
      <c r="Q47" s="58" t="s">
        <v>12</v>
      </c>
    </row>
    <row r="48" spans="2:17" ht="12.75" thickTop="1" thickBot="1" x14ac:dyDescent="0.25">
      <c r="B48" s="51" t="s">
        <v>129</v>
      </c>
      <c r="C48" s="6"/>
      <c r="D48" s="6"/>
      <c r="E48" s="59">
        <f>+N25</f>
        <v>12108.572626530971</v>
      </c>
      <c r="G48" s="236"/>
      <c r="H48" s="56">
        <f>H49-$Q$48</f>
        <v>3.7870464821159744E-2</v>
      </c>
      <c r="I48" s="172">
        <v>260.74358649096018</v>
      </c>
      <c r="J48" s="173">
        <v>314.26462653356879</v>
      </c>
      <c r="K48" s="173">
        <v>397.73510582032975</v>
      </c>
      <c r="L48" s="173">
        <v>546.05987005065458</v>
      </c>
      <c r="M48" s="174">
        <v>882.84207307360828</v>
      </c>
      <c r="P48" s="201">
        <v>5.0000000000000001E-3</v>
      </c>
      <c r="Q48" s="60">
        <v>5.0000000000000001E-3</v>
      </c>
    </row>
    <row r="49" spans="2:13" ht="12.75" thickTop="1" thickBot="1" x14ac:dyDescent="0.25">
      <c r="B49" s="51" t="s">
        <v>19</v>
      </c>
      <c r="C49" s="6"/>
      <c r="D49" s="6"/>
      <c r="E49" s="61">
        <f>+E48*(1+E46)/(E44-E46)</f>
        <v>298024.03750110493</v>
      </c>
      <c r="G49" s="236"/>
      <c r="H49" s="56">
        <f>H50-$Q$48</f>
        <v>4.2870464821159741E-2</v>
      </c>
      <c r="I49" s="172">
        <v>216.99226017231467</v>
      </c>
      <c r="J49" s="187">
        <v>253.17241337519383</v>
      </c>
      <c r="K49" s="188">
        <v>305.17216337498883</v>
      </c>
      <c r="L49" s="189">
        <v>386.27006528084047</v>
      </c>
      <c r="M49" s="174">
        <v>530.37882424021711</v>
      </c>
    </row>
    <row r="50" spans="2:13" ht="12.75" thickTop="1" thickBot="1" x14ac:dyDescent="0.25">
      <c r="B50" s="51" t="s">
        <v>104</v>
      </c>
      <c r="C50" s="6"/>
      <c r="D50" s="6"/>
      <c r="E50" s="62">
        <f>N29</f>
        <v>0.65875786934433489</v>
      </c>
      <c r="G50" s="236"/>
      <c r="H50" s="63">
        <v>4.7870464821159739E-2</v>
      </c>
      <c r="I50" s="172">
        <v>184.81666728442059</v>
      </c>
      <c r="J50" s="190">
        <v>210.68989365276491</v>
      </c>
      <c r="K50" s="178">
        <v>245.84650533038521</v>
      </c>
      <c r="L50" s="191">
        <v>296.3751752291804</v>
      </c>
      <c r="M50" s="174">
        <v>375.17880630244161</v>
      </c>
    </row>
    <row r="51" spans="2:13" ht="12.75" thickTop="1" thickBot="1" x14ac:dyDescent="0.25">
      <c r="B51" s="51" t="s">
        <v>105</v>
      </c>
      <c r="C51" s="6"/>
      <c r="D51" s="6"/>
      <c r="E51" s="64">
        <f>E49*E50</f>
        <v>196325.67995762406</v>
      </c>
      <c r="G51" s="236"/>
      <c r="H51" s="56">
        <f>H50+$Q$48</f>
        <v>5.2870464821159736E-2</v>
      </c>
      <c r="I51" s="172">
        <v>160.16591512870838</v>
      </c>
      <c r="J51" s="192">
        <v>179.44534472227818</v>
      </c>
      <c r="K51" s="193">
        <v>204.59004871901334</v>
      </c>
      <c r="L51" s="194">
        <v>238.75674217953568</v>
      </c>
      <c r="M51" s="174">
        <v>287.86265691417543</v>
      </c>
    </row>
    <row r="52" spans="2:13" ht="12.75" thickTop="1" thickBot="1" x14ac:dyDescent="0.25">
      <c r="B52" s="51"/>
      <c r="C52" s="6"/>
      <c r="D52" s="6"/>
      <c r="E52" s="59"/>
      <c r="G52" s="236"/>
      <c r="H52" s="56">
        <f t="shared" ref="H52:H53" si="15">H51+$Q$48</f>
        <v>5.7870464821159734E-2</v>
      </c>
      <c r="I52" s="172">
        <v>140.68157193656191</v>
      </c>
      <c r="J52" s="173">
        <v>155.50613417142208</v>
      </c>
      <c r="K52" s="173">
        <v>174.24524097415801</v>
      </c>
      <c r="L52" s="173">
        <v>198.68524276109656</v>
      </c>
      <c r="M52" s="174">
        <v>231.89438490639168</v>
      </c>
    </row>
    <row r="53" spans="2:13" ht="12.75" thickTop="1" thickBot="1" x14ac:dyDescent="0.25">
      <c r="B53" s="51" t="s">
        <v>20</v>
      </c>
      <c r="C53" s="6"/>
      <c r="D53" s="6"/>
      <c r="E53" s="65">
        <f>D30+E51</f>
        <v>251684.61774190949</v>
      </c>
      <c r="G53" s="236"/>
      <c r="H53" s="56">
        <f t="shared" si="15"/>
        <v>6.2870464821159738E-2</v>
      </c>
      <c r="I53" s="175">
        <v>124.89737945515746</v>
      </c>
      <c r="J53" s="176">
        <v>136.58267926635415</v>
      </c>
      <c r="K53" s="176">
        <v>150.99370175397706</v>
      </c>
      <c r="L53" s="176">
        <v>169.21007032216107</v>
      </c>
      <c r="M53" s="177">
        <v>192.96830410803972</v>
      </c>
    </row>
    <row r="54" spans="2:13" ht="12" thickTop="1" x14ac:dyDescent="0.2">
      <c r="B54" s="51" t="s">
        <v>21</v>
      </c>
      <c r="C54" s="6"/>
      <c r="D54" s="6"/>
      <c r="E54" s="66">
        <f>_xll.ciqfunctions.udf.CIQ(E3, "IQ_TOTAL_DEBT", IQ_LTM)</f>
        <v>39281</v>
      </c>
    </row>
    <row r="55" spans="2:13" x14ac:dyDescent="0.2">
      <c r="B55" s="51" t="s">
        <v>22</v>
      </c>
      <c r="C55" s="6"/>
      <c r="D55" s="6"/>
      <c r="E55" s="66">
        <f>_xll.ciqfunctions.udf.CIQ(E3, "IQ_CASH_EQUIV", IQ_LTM, E6)</f>
        <v>10610</v>
      </c>
    </row>
    <row r="56" spans="2:13" x14ac:dyDescent="0.2">
      <c r="B56" s="51" t="s">
        <v>23</v>
      </c>
      <c r="C56" s="6"/>
      <c r="D56" s="6"/>
      <c r="E56" s="59">
        <f>E53-E54+E55</f>
        <v>223013.61774190949</v>
      </c>
    </row>
    <row r="57" spans="2:13" x14ac:dyDescent="0.2">
      <c r="B57" s="51"/>
      <c r="C57" s="6"/>
      <c r="D57" s="6"/>
      <c r="E57" s="55"/>
    </row>
    <row r="58" spans="2:13" x14ac:dyDescent="0.2">
      <c r="B58" s="51" t="s">
        <v>24</v>
      </c>
      <c r="C58" s="6"/>
      <c r="D58" s="6"/>
      <c r="E58" s="66">
        <f>_xll.ciqfunctions.udf.CIQ(E3, "IQ_SHARESOUTSTANDING", E6)</f>
        <v>1419.4452799999999</v>
      </c>
    </row>
    <row r="59" spans="2:13" x14ac:dyDescent="0.2">
      <c r="B59" s="51" t="s">
        <v>25</v>
      </c>
      <c r="C59" s="6"/>
      <c r="D59" s="6"/>
      <c r="E59" s="67">
        <f>E56/E58</f>
        <v>157.11321942745795</v>
      </c>
    </row>
    <row r="60" spans="2:13" x14ac:dyDescent="0.2">
      <c r="B60" s="68" t="s">
        <v>66</v>
      </c>
      <c r="C60" s="7"/>
      <c r="D60" s="7"/>
      <c r="E60" s="69">
        <f>_xll.ciqfunctions.udf.CIQ(E3, "IQ_LASTSALEPRICE", E6)</f>
        <v>107.48</v>
      </c>
    </row>
  </sheetData>
  <mergeCells count="1">
    <mergeCell ref="G45:G53"/>
  </mergeCell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3"/>
  <sheetViews>
    <sheetView workbookViewId="0"/>
  </sheetViews>
  <sheetFormatPr defaultRowHeight="12.75" x14ac:dyDescent="0.2"/>
  <cols>
    <col min="2" max="2" width="15.5703125" bestFit="1" customWidth="1"/>
    <col min="5" max="5" width="13.28515625" bestFit="1" customWidth="1"/>
    <col min="8" max="8" width="24.85546875" bestFit="1" customWidth="1"/>
  </cols>
  <sheetData>
    <row r="2" spans="2:12" x14ac:dyDescent="0.2">
      <c r="B2" t="s">
        <v>149</v>
      </c>
      <c r="C2" t="s">
        <v>150</v>
      </c>
      <c r="E2" t="s">
        <v>151</v>
      </c>
      <c r="F2" t="s">
        <v>150</v>
      </c>
      <c r="H2" t="s">
        <v>165</v>
      </c>
      <c r="I2" t="s">
        <v>150</v>
      </c>
      <c r="K2" t="s">
        <v>166</v>
      </c>
    </row>
    <row r="3" spans="2:12" x14ac:dyDescent="0.2">
      <c r="B3" s="239">
        <f>B4 - 1%</f>
        <v>-0.05</v>
      </c>
      <c r="C3">
        <v>177.59153030439066</v>
      </c>
      <c r="E3">
        <v>0.2</v>
      </c>
      <c r="F3">
        <v>985.91323949229752</v>
      </c>
      <c r="H3">
        <v>9.9999999999999985E-3</v>
      </c>
      <c r="I3">
        <v>184.81666728442059</v>
      </c>
      <c r="K3" s="239">
        <v>2.5000000000000001E-2</v>
      </c>
      <c r="L3">
        <v>546.12878571315969</v>
      </c>
    </row>
    <row r="4" spans="2:12" x14ac:dyDescent="0.2">
      <c r="B4" s="239">
        <f>B5 - 1%</f>
        <v>-0.04</v>
      </c>
      <c r="C4">
        <v>191.88347381868928</v>
      </c>
      <c r="E4">
        <v>0.3</v>
      </c>
      <c r="F4">
        <v>635.13076379110476</v>
      </c>
      <c r="H4">
        <v>1.4999999999999999E-2</v>
      </c>
      <c r="I4">
        <v>210.68989365276491</v>
      </c>
      <c r="K4" s="239">
        <v>0.03</v>
      </c>
      <c r="L4">
        <v>445.67134503761531</v>
      </c>
    </row>
    <row r="5" spans="2:12" x14ac:dyDescent="0.2">
      <c r="B5" s="239">
        <f>B6 - 1%</f>
        <v>-0.03</v>
      </c>
      <c r="C5">
        <v>206.17541733298796</v>
      </c>
      <c r="E5">
        <v>0.4</v>
      </c>
      <c r="F5">
        <v>464.97627979668965</v>
      </c>
      <c r="H5">
        <v>0.02</v>
      </c>
      <c r="I5">
        <v>245.84650533038521</v>
      </c>
      <c r="K5" s="239">
        <v>3.5000000000000003E-2</v>
      </c>
      <c r="L5">
        <v>375.24250196858003</v>
      </c>
    </row>
    <row r="6" spans="2:12" x14ac:dyDescent="0.2">
      <c r="B6" s="239">
        <f>B7 - 1%</f>
        <v>-0.02</v>
      </c>
      <c r="C6">
        <v>220.46736084728661</v>
      </c>
      <c r="E6">
        <v>0.5</v>
      </c>
      <c r="F6">
        <v>364.51429472758429</v>
      </c>
      <c r="H6">
        <v>2.5000000000000001E-2</v>
      </c>
      <c r="I6">
        <v>296.3751752291804</v>
      </c>
      <c r="K6" s="239">
        <v>0.04</v>
      </c>
      <c r="L6">
        <v>323.13282724459776</v>
      </c>
    </row>
    <row r="7" spans="2:12" x14ac:dyDescent="0.2">
      <c r="B7" s="239">
        <f>B8 - 1%</f>
        <v>-0.01</v>
      </c>
      <c r="C7">
        <v>234.75930436158527</v>
      </c>
      <c r="E7">
        <v>0.6</v>
      </c>
      <c r="F7">
        <v>298.21532108877523</v>
      </c>
      <c r="H7">
        <v>3.0000000000000002E-2</v>
      </c>
      <c r="I7">
        <v>375.17880630244161</v>
      </c>
      <c r="K7" s="239">
        <v>4.4999999999999998E-2</v>
      </c>
      <c r="L7" s="242">
        <v>283.02052225940224</v>
      </c>
    </row>
    <row r="8" spans="2:12" x14ac:dyDescent="0.2">
      <c r="B8" s="240">
        <v>0</v>
      </c>
      <c r="C8">
        <v>245.84650533038521</v>
      </c>
      <c r="E8">
        <v>0.7</v>
      </c>
      <c r="F8">
        <v>245.84650533038521</v>
      </c>
      <c r="K8" s="239">
        <v>0.05</v>
      </c>
      <c r="L8">
        <v>245.84650533038521</v>
      </c>
    </row>
    <row r="9" spans="2:12" x14ac:dyDescent="0.2">
      <c r="B9" s="239">
        <f>B8 +1%</f>
        <v>0.01</v>
      </c>
      <c r="C9">
        <v>263.3431913901826</v>
      </c>
      <c r="E9">
        <v>0.8</v>
      </c>
      <c r="F9">
        <v>216.11107422670321</v>
      </c>
      <c r="K9" s="239">
        <v>5.5E-2</v>
      </c>
      <c r="L9">
        <v>225.32439204876894</v>
      </c>
    </row>
    <row r="10" spans="2:12" x14ac:dyDescent="0.2">
      <c r="B10" s="239">
        <f>B9 +1%</f>
        <v>0.02</v>
      </c>
      <c r="C10">
        <v>277.63513490448122</v>
      </c>
      <c r="E10">
        <v>0.9</v>
      </c>
      <c r="F10">
        <v>188.93873340910844</v>
      </c>
      <c r="K10" s="239">
        <v>0.06</v>
      </c>
      <c r="L10">
        <v>203.88718428860003</v>
      </c>
    </row>
    <row r="11" spans="2:12" x14ac:dyDescent="0.2">
      <c r="B11" s="239">
        <f>B10 +1%</f>
        <v>0.03</v>
      </c>
      <c r="C11">
        <v>291.92707841877984</v>
      </c>
      <c r="E11">
        <v>1</v>
      </c>
      <c r="F11">
        <v>167.27476784743877</v>
      </c>
      <c r="K11" s="239">
        <v>6.5000000000000002E-2</v>
      </c>
      <c r="L11">
        <v>185.833529099364</v>
      </c>
    </row>
    <row r="12" spans="2:12" x14ac:dyDescent="0.2">
      <c r="B12" s="239">
        <f>B11 +1%</f>
        <v>0.04</v>
      </c>
      <c r="C12">
        <v>306.21902193307841</v>
      </c>
      <c r="E12">
        <v>1.1000000000000001</v>
      </c>
      <c r="F12">
        <v>149.60074048399821</v>
      </c>
      <c r="K12" s="239">
        <v>7.0000000000000007E-2</v>
      </c>
      <c r="L12">
        <v>170.42205633529557</v>
      </c>
    </row>
    <row r="13" spans="2:12" x14ac:dyDescent="0.2">
      <c r="B13" s="239">
        <f>B12 +1%</f>
        <v>0.05</v>
      </c>
      <c r="C13">
        <v>320.51096544737703</v>
      </c>
      <c r="E13">
        <v>1.2</v>
      </c>
      <c r="F13">
        <v>134.9092766410096</v>
      </c>
      <c r="K13" s="239">
        <v>7.4999999999999997E-2</v>
      </c>
      <c r="L13">
        <v>157.11321942745795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9"/>
  <sheetViews>
    <sheetView workbookViewId="0">
      <selection activeCell="J28" sqref="J28"/>
    </sheetView>
  </sheetViews>
  <sheetFormatPr defaultRowHeight="12.75" x14ac:dyDescent="0.2"/>
  <cols>
    <col min="1" max="1" width="3.42578125" style="8" customWidth="1"/>
    <col min="2" max="2" width="25.7109375" style="8" customWidth="1"/>
    <col min="3" max="5" width="9.140625" style="8"/>
    <col min="6" max="6" width="3.85546875" style="8" customWidth="1"/>
    <col min="7" max="12" width="9.140625" style="8"/>
    <col min="13" max="13" width="11.140625" style="8" customWidth="1"/>
    <col min="14" max="16384" width="9.140625" style="8"/>
  </cols>
  <sheetData>
    <row r="2" spans="2:13" x14ac:dyDescent="0.2">
      <c r="B2" s="9" t="s">
        <v>1</v>
      </c>
      <c r="C2" s="10" t="s">
        <v>144</v>
      </c>
      <c r="D2" s="11"/>
    </row>
    <row r="3" spans="2:13" x14ac:dyDescent="0.2">
      <c r="B3" s="9" t="s">
        <v>2</v>
      </c>
      <c r="C3" s="11" t="s">
        <v>147</v>
      </c>
      <c r="D3" s="11"/>
    </row>
    <row r="5" spans="2:13" x14ac:dyDescent="0.2">
      <c r="B5" s="12"/>
      <c r="C5" s="13" t="s">
        <v>108</v>
      </c>
      <c r="D5" s="13" t="s">
        <v>109</v>
      </c>
      <c r="E5" s="13" t="s">
        <v>110</v>
      </c>
      <c r="F5" s="13"/>
      <c r="G5" s="13" t="s">
        <v>111</v>
      </c>
      <c r="H5" s="13" t="s">
        <v>112</v>
      </c>
      <c r="I5" s="13" t="s">
        <v>115</v>
      </c>
      <c r="J5" s="13" t="s">
        <v>116</v>
      </c>
      <c r="K5" s="13" t="s">
        <v>117</v>
      </c>
      <c r="L5" s="13" t="s">
        <v>130</v>
      </c>
      <c r="M5" s="13" t="s">
        <v>145</v>
      </c>
    </row>
    <row r="6" spans="2:13" x14ac:dyDescent="0.2">
      <c r="B6" s="8" t="s">
        <v>67</v>
      </c>
      <c r="C6" s="209">
        <v>6437</v>
      </c>
      <c r="D6" s="209">
        <v>6694</v>
      </c>
      <c r="E6" s="209">
        <v>7024</v>
      </c>
      <c r="F6" s="209"/>
      <c r="G6" s="209">
        <v>6956.745076809595</v>
      </c>
      <c r="H6" s="209">
        <v>7180.1353675293576</v>
      </c>
      <c r="I6" s="209">
        <v>7408.5602654654649</v>
      </c>
      <c r="J6" s="209">
        <v>7579.9185004648289</v>
      </c>
      <c r="K6" s="209">
        <v>7811.2140803657167</v>
      </c>
      <c r="L6" s="209">
        <v>8260.1307602883717</v>
      </c>
      <c r="M6" s="209">
        <v>8552.9881036917504</v>
      </c>
    </row>
    <row r="7" spans="2:13" x14ac:dyDescent="0.2">
      <c r="B7" s="8" t="s">
        <v>68</v>
      </c>
      <c r="C7" s="209">
        <v>2720</v>
      </c>
      <c r="D7" s="209">
        <v>2723</v>
      </c>
      <c r="E7" s="209">
        <v>2947</v>
      </c>
      <c r="F7" s="209"/>
      <c r="G7" s="209">
        <v>2895.8230981534953</v>
      </c>
      <c r="H7" s="209">
        <v>2988.8118100621659</v>
      </c>
      <c r="I7" s="209">
        <v>3083.8962336443647</v>
      </c>
      <c r="J7" s="209">
        <v>3155.2260192684116</v>
      </c>
      <c r="K7" s="209">
        <v>3251.5053963884029</v>
      </c>
      <c r="L7" s="209">
        <v>3438.3719951372805</v>
      </c>
      <c r="M7" s="209">
        <v>3560.2771461997218</v>
      </c>
    </row>
    <row r="8" spans="2:13" x14ac:dyDescent="0.2">
      <c r="B8" s="8" t="s">
        <v>70</v>
      </c>
      <c r="C8" s="209">
        <v>1134</v>
      </c>
      <c r="D8" s="209">
        <v>876</v>
      </c>
      <c r="E8" s="209">
        <v>1500</v>
      </c>
      <c r="F8" s="209"/>
      <c r="G8" s="209">
        <v>1542.0241573005401</v>
      </c>
      <c r="H8" s="209">
        <v>1591.540593650144</v>
      </c>
      <c r="I8" s="209">
        <v>1642.1729952772462</v>
      </c>
      <c r="J8" s="209">
        <v>1680.1560656648971</v>
      </c>
      <c r="K8" s="209">
        <v>1731.4247793731149</v>
      </c>
      <c r="L8" s="209">
        <v>1830.9311372190396</v>
      </c>
      <c r="M8" s="209">
        <v>1895.8455610170681</v>
      </c>
    </row>
    <row r="9" spans="2:13" x14ac:dyDescent="0.2">
      <c r="B9" s="8" t="s">
        <v>69</v>
      </c>
      <c r="C9" s="209">
        <v>5546</v>
      </c>
      <c r="D9" s="209">
        <v>6158</v>
      </c>
      <c r="E9" s="209">
        <v>6727</v>
      </c>
      <c r="F9" s="209"/>
      <c r="G9" s="209">
        <v>6915.4643374404886</v>
      </c>
      <c r="H9" s="209">
        <v>7137.5290489896797</v>
      </c>
      <c r="I9" s="209">
        <v>7364.5984928200241</v>
      </c>
      <c r="J9" s="209">
        <v>7534.9399024851764</v>
      </c>
      <c r="K9" s="209">
        <v>7764.8629938952963</v>
      </c>
      <c r="L9" s="209">
        <v>8211.11584004832</v>
      </c>
      <c r="M9" s="209">
        <v>8502.2353926412125</v>
      </c>
    </row>
    <row r="10" spans="2:13" x14ac:dyDescent="0.2">
      <c r="B10" s="8" t="s">
        <v>71</v>
      </c>
      <c r="C10" s="209">
        <v>4078</v>
      </c>
      <c r="D10" s="209">
        <v>4214</v>
      </c>
      <c r="E10" s="209">
        <v>4175</v>
      </c>
      <c r="F10" s="209"/>
      <c r="G10" s="209">
        <v>4291.9672378198366</v>
      </c>
      <c r="H10" s="209">
        <v>4429.7879856595673</v>
      </c>
      <c r="I10" s="209">
        <v>4570.7148368550024</v>
      </c>
      <c r="J10" s="209">
        <v>4676.4343827672974</v>
      </c>
      <c r="K10" s="209">
        <v>4819.1323025885031</v>
      </c>
      <c r="L10" s="209">
        <v>5096.0916652596607</v>
      </c>
      <c r="M10" s="209">
        <v>5276.7701448308399</v>
      </c>
    </row>
    <row r="11" spans="2:13" x14ac:dyDescent="0.2">
      <c r="C11" s="209"/>
      <c r="D11" s="209"/>
      <c r="E11" s="209"/>
      <c r="F11" s="209"/>
      <c r="G11" s="209"/>
      <c r="H11" s="209"/>
      <c r="I11" s="209"/>
      <c r="J11" s="209"/>
      <c r="K11" s="209"/>
      <c r="L11" s="209"/>
      <c r="M11" s="209"/>
    </row>
    <row r="12" spans="2:13" x14ac:dyDescent="0.2">
      <c r="B12" s="8" t="s">
        <v>77</v>
      </c>
      <c r="C12" s="209">
        <v>667</v>
      </c>
      <c r="D12" s="209">
        <v>-79</v>
      </c>
      <c r="E12" s="209">
        <v>569</v>
      </c>
      <c r="F12" s="209"/>
      <c r="G12" s="209">
        <v>187.16075700330475</v>
      </c>
      <c r="H12" s="209">
        <v>193.17073659241942</v>
      </c>
      <c r="I12" s="209">
        <v>199.3161647120487</v>
      </c>
      <c r="J12" s="209">
        <v>203.92630014566384</v>
      </c>
      <c r="K12" s="209">
        <v>210.14895964343486</v>
      </c>
      <c r="L12" s="209">
        <v>222.2263873367101</v>
      </c>
      <c r="M12" s="209">
        <v>230.10527343648755</v>
      </c>
    </row>
    <row r="13" spans="2:13" x14ac:dyDescent="0.2">
      <c r="B13" s="14" t="s">
        <v>78</v>
      </c>
      <c r="C13" s="14"/>
      <c r="D13" s="14"/>
      <c r="E13" s="14"/>
      <c r="F13" s="14"/>
      <c r="G13" s="15">
        <v>-381.83924299669525</v>
      </c>
      <c r="H13" s="15">
        <v>6.0099795891146641</v>
      </c>
      <c r="I13" s="15">
        <v>6.1454281196292868</v>
      </c>
      <c r="J13" s="15">
        <v>4.6101354336151417</v>
      </c>
      <c r="K13" s="15">
        <v>6.2226594977710192</v>
      </c>
      <c r="L13" s="15">
        <v>12.07742769327524</v>
      </c>
      <c r="M13" s="15">
        <v>7.8788860997774464</v>
      </c>
    </row>
    <row r="15" spans="2:13" x14ac:dyDescent="0.2">
      <c r="B15" s="16" t="s">
        <v>72</v>
      </c>
      <c r="C15" s="17">
        <v>37.260609616848519</v>
      </c>
      <c r="D15" s="17">
        <v>38.906829726588001</v>
      </c>
      <c r="E15" s="17">
        <v>40.35828414010232</v>
      </c>
      <c r="F15" s="18"/>
      <c r="G15" s="17">
        <v>38.841907827846278</v>
      </c>
      <c r="H15" s="17">
        <v>38.841907827846278</v>
      </c>
      <c r="I15" s="17">
        <v>38.841907827846278</v>
      </c>
      <c r="J15" s="17">
        <v>38.841907827846278</v>
      </c>
      <c r="K15" s="17">
        <v>38.841907827846278</v>
      </c>
      <c r="L15" s="17">
        <v>38.841907827846278</v>
      </c>
      <c r="M15" s="210">
        <v>38.841907827846278</v>
      </c>
    </row>
    <row r="16" spans="2:13" x14ac:dyDescent="0.2">
      <c r="B16" s="19" t="s">
        <v>73</v>
      </c>
      <c r="C16" s="20">
        <v>34.555010267655142</v>
      </c>
      <c r="D16" s="20">
        <v>35.233258889007054</v>
      </c>
      <c r="E16" s="20">
        <v>37.368594754212261</v>
      </c>
      <c r="F16" s="21"/>
      <c r="G16" s="20">
        <v>35.718954636958152</v>
      </c>
      <c r="H16" s="20">
        <v>35.718954636958152</v>
      </c>
      <c r="I16" s="20">
        <v>35.718954636958152</v>
      </c>
      <c r="J16" s="20">
        <v>35.718954636958152</v>
      </c>
      <c r="K16" s="20">
        <v>35.718954636958152</v>
      </c>
      <c r="L16" s="20">
        <v>35.718954636958152</v>
      </c>
      <c r="M16" s="22">
        <v>35.718954636958152</v>
      </c>
    </row>
    <row r="17" spans="2:13" x14ac:dyDescent="0.2">
      <c r="B17" s="19" t="s">
        <v>74</v>
      </c>
      <c r="C17" s="20">
        <v>14.406390310117992</v>
      </c>
      <c r="D17" s="20">
        <v>11.334680421142188</v>
      </c>
      <c r="E17" s="20">
        <v>19.020323084940074</v>
      </c>
      <c r="F17" s="21"/>
      <c r="G17" s="20">
        <v>19.020323084940074</v>
      </c>
      <c r="H17" s="20">
        <v>19.020323084940074</v>
      </c>
      <c r="I17" s="20">
        <v>19.020323084940074</v>
      </c>
      <c r="J17" s="20">
        <v>19.020323084940074</v>
      </c>
      <c r="K17" s="20">
        <v>19.020323084940074</v>
      </c>
      <c r="L17" s="20">
        <v>19.020323084940074</v>
      </c>
      <c r="M17" s="22">
        <v>19.020323084940074</v>
      </c>
    </row>
    <row r="18" spans="2:13" x14ac:dyDescent="0.2">
      <c r="B18" s="19" t="s">
        <v>75</v>
      </c>
      <c r="C18" s="20">
        <v>70.456649611917442</v>
      </c>
      <c r="D18" s="20">
        <v>79.679180403417348</v>
      </c>
      <c r="E18" s="20">
        <v>85.299808928261257</v>
      </c>
      <c r="F18" s="21"/>
      <c r="G18" s="20">
        <v>85.299808928261257</v>
      </c>
      <c r="H18" s="20">
        <v>85.299808928261257</v>
      </c>
      <c r="I18" s="20">
        <v>85.299808928261257</v>
      </c>
      <c r="J18" s="20">
        <v>85.299808928261257</v>
      </c>
      <c r="K18" s="20">
        <v>85.299808928261257</v>
      </c>
      <c r="L18" s="20">
        <v>85.299808928261257</v>
      </c>
      <c r="M18" s="22">
        <v>85.299808928261257</v>
      </c>
    </row>
    <row r="19" spans="2:13" x14ac:dyDescent="0.2">
      <c r="B19" s="23" t="s">
        <v>76</v>
      </c>
      <c r="C19" s="24">
        <v>51.807107305697684</v>
      </c>
      <c r="D19" s="24">
        <v>54.525506044170299</v>
      </c>
      <c r="E19" s="24">
        <v>52.939899253083205</v>
      </c>
      <c r="F19" s="25"/>
      <c r="G19" s="24">
        <v>52.939899253083205</v>
      </c>
      <c r="H19" s="24">
        <v>52.939899253083205</v>
      </c>
      <c r="I19" s="24">
        <v>52.939899253083205</v>
      </c>
      <c r="J19" s="24">
        <v>52.939899253083205</v>
      </c>
      <c r="K19" s="24">
        <v>52.939899253083205</v>
      </c>
      <c r="L19" s="24">
        <v>52.939899253083205</v>
      </c>
      <c r="M19" s="26">
        <v>52.939899253083205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/>
  </sheetViews>
  <sheetFormatPr defaultRowHeight="12.75" x14ac:dyDescent="0.2"/>
  <sheetData>
    <row r="1" spans="1:14" x14ac:dyDescent="0.2">
      <c r="A1">
        <v>14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  <c r="N1" t="s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H60"/>
  <sheetViews>
    <sheetView tabSelected="1" workbookViewId="0"/>
  </sheetViews>
  <sheetFormatPr defaultRowHeight="11.25" x14ac:dyDescent="0.2"/>
  <cols>
    <col min="1" max="1" width="2.140625" style="1" customWidth="1"/>
    <col min="2" max="2" width="10.140625" style="1" customWidth="1"/>
    <col min="3" max="6" width="9.140625" style="1"/>
    <col min="7" max="7" width="2.85546875" style="1" customWidth="1"/>
    <col min="8" max="13" width="9.140625" style="1"/>
    <col min="14" max="14" width="9.140625" style="1" customWidth="1"/>
    <col min="15" max="18" width="9.140625" style="1"/>
    <col min="19" max="19" width="10.7109375" style="1" customWidth="1"/>
    <col min="20" max="16384" width="9.140625" style="1"/>
  </cols>
  <sheetData>
    <row r="1" spans="2:34" ht="27.75" customHeight="1" x14ac:dyDescent="0.2">
      <c r="B1" s="150" t="s">
        <v>0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2"/>
    </row>
    <row r="3" spans="2:34" x14ac:dyDescent="0.2">
      <c r="B3" s="27" t="s">
        <v>1</v>
      </c>
      <c r="E3" s="28" t="s">
        <v>144</v>
      </c>
      <c r="G3" s="29"/>
      <c r="H3" s="29"/>
    </row>
    <row r="4" spans="2:34" x14ac:dyDescent="0.2">
      <c r="B4" s="27" t="s">
        <v>2</v>
      </c>
      <c r="E4" s="30" t="s">
        <v>147</v>
      </c>
      <c r="G4" s="29"/>
      <c r="H4" s="29"/>
    </row>
    <row r="5" spans="2:34" x14ac:dyDescent="0.2">
      <c r="B5" s="27" t="s">
        <v>7</v>
      </c>
      <c r="E5" s="31">
        <v>0.21</v>
      </c>
      <c r="G5" s="29"/>
      <c r="H5" s="29"/>
    </row>
    <row r="6" spans="2:34" x14ac:dyDescent="0.2">
      <c r="B6" s="27" t="s">
        <v>27</v>
      </c>
      <c r="E6" s="32">
        <v>43186</v>
      </c>
      <c r="G6" s="29"/>
      <c r="H6" s="29"/>
    </row>
    <row r="7" spans="2:34" x14ac:dyDescent="0.2">
      <c r="B7" s="27" t="s">
        <v>94</v>
      </c>
      <c r="E7" s="32">
        <v>43099</v>
      </c>
      <c r="G7" s="3"/>
      <c r="H7" s="29"/>
    </row>
    <row r="8" spans="2:34" x14ac:dyDescent="0.2">
      <c r="B8" s="27"/>
      <c r="E8" s="32"/>
      <c r="G8" s="3"/>
      <c r="H8" s="29"/>
    </row>
    <row r="9" spans="2:34" ht="12" thickBot="1" x14ac:dyDescent="0.25">
      <c r="B9" s="27"/>
      <c r="D9" s="224" t="s">
        <v>131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 spans="2:34" ht="15" customHeight="1" x14ac:dyDescent="0.2">
      <c r="B10" s="27"/>
      <c r="D10" s="33" t="s">
        <v>5</v>
      </c>
      <c r="E10" s="33"/>
      <c r="F10" s="33"/>
      <c r="G10" s="34"/>
      <c r="H10" s="33" t="s">
        <v>6</v>
      </c>
      <c r="I10" s="33"/>
      <c r="J10" s="33"/>
      <c r="K10" s="33"/>
      <c r="L10" s="33"/>
      <c r="M10" s="33"/>
      <c r="N10" s="33"/>
      <c r="P10" s="46" t="s">
        <v>118</v>
      </c>
      <c r="V10" s="49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167"/>
    </row>
    <row r="11" spans="2:34" ht="12.75" x14ac:dyDescent="0.2">
      <c r="D11" s="35">
        <v>-2</v>
      </c>
      <c r="E11" s="35">
        <v>-1</v>
      </c>
      <c r="F11" s="35">
        <v>0</v>
      </c>
      <c r="G11" s="36"/>
      <c r="H11" s="35">
        <v>1</v>
      </c>
      <c r="I11" s="35">
        <v>2</v>
      </c>
      <c r="J11" s="35">
        <v>3</v>
      </c>
      <c r="K11" s="35">
        <v>4</v>
      </c>
      <c r="L11" s="35">
        <v>5</v>
      </c>
      <c r="M11" s="35">
        <v>6</v>
      </c>
      <c r="N11" s="35">
        <v>7</v>
      </c>
      <c r="V11" s="51"/>
      <c r="W11" s="168" t="s">
        <v>132</v>
      </c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55"/>
    </row>
    <row r="12" spans="2:34" x14ac:dyDescent="0.2">
      <c r="D12" s="38" t="s">
        <v>108</v>
      </c>
      <c r="E12" s="38" t="s">
        <v>109</v>
      </c>
      <c r="F12" s="38" t="s">
        <v>110</v>
      </c>
      <c r="G12" s="37"/>
      <c r="H12" s="38" t="s">
        <v>111</v>
      </c>
      <c r="I12" s="38" t="s">
        <v>112</v>
      </c>
      <c r="J12" s="38" t="s">
        <v>115</v>
      </c>
      <c r="K12" s="38" t="s">
        <v>116</v>
      </c>
      <c r="L12" s="38" t="s">
        <v>117</v>
      </c>
      <c r="M12" s="38" t="s">
        <v>130</v>
      </c>
      <c r="N12" s="38" t="s">
        <v>145</v>
      </c>
      <c r="P12" s="142" t="s">
        <v>52</v>
      </c>
      <c r="Q12" s="5"/>
      <c r="R12" s="5"/>
      <c r="S12" s="204">
        <v>5.5268499999999998E-2</v>
      </c>
      <c r="V12" s="51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55"/>
    </row>
    <row r="13" spans="2:34" x14ac:dyDescent="0.2">
      <c r="B13" s="1" t="s">
        <v>93</v>
      </c>
      <c r="D13" s="223">
        <v>63056</v>
      </c>
      <c r="E13" s="223">
        <v>62799</v>
      </c>
      <c r="F13" s="223">
        <v>63525</v>
      </c>
      <c r="G13" s="39"/>
      <c r="H13" s="40">
        <v>65372.997750000002</v>
      </c>
      <c r="I13" s="40">
        <v>67472.211219999997</v>
      </c>
      <c r="J13" s="40">
        <v>69618.735230000006</v>
      </c>
      <c r="K13" s="40">
        <v>71229</v>
      </c>
      <c r="L13" s="40">
        <v>73402.5</v>
      </c>
      <c r="M13" s="40">
        <v>77621</v>
      </c>
      <c r="N13" s="40">
        <v>80373</v>
      </c>
      <c r="P13" s="51" t="s">
        <v>107</v>
      </c>
      <c r="Q13" s="6"/>
      <c r="R13" s="6"/>
      <c r="S13" s="216">
        <v>0.02</v>
      </c>
      <c r="V13" s="51"/>
      <c r="W13" s="225"/>
      <c r="X13" s="6">
        <v>1</v>
      </c>
      <c r="Y13" s="6" t="s">
        <v>133</v>
      </c>
      <c r="Z13" s="6"/>
      <c r="AA13" s="6"/>
      <c r="AB13" s="6"/>
      <c r="AC13" s="6"/>
      <c r="AD13" s="6"/>
      <c r="AE13" s="6"/>
      <c r="AF13" s="6"/>
      <c r="AG13" s="6"/>
      <c r="AH13" s="55"/>
    </row>
    <row r="14" spans="2:34" x14ac:dyDescent="0.2">
      <c r="B14" s="1" t="s">
        <v>4</v>
      </c>
      <c r="D14" s="223">
        <v>34325</v>
      </c>
      <c r="E14" s="223">
        <v>34590</v>
      </c>
      <c r="F14" s="223">
        <v>34740</v>
      </c>
      <c r="G14" s="39"/>
      <c r="H14" s="41">
        <v>35781.55417140264</v>
      </c>
      <c r="I14" s="41">
        <v>36930.547227853735</v>
      </c>
      <c r="J14" s="41">
        <v>38105.435450629651</v>
      </c>
      <c r="K14" s="41">
        <v>38986.805099890626</v>
      </c>
      <c r="L14" s="41">
        <v>40176.458483829927</v>
      </c>
      <c r="M14" s="41">
        <v>42485.431476766629</v>
      </c>
      <c r="N14" s="41">
        <v>43991.723684082463</v>
      </c>
      <c r="P14" s="198" t="s">
        <v>119</v>
      </c>
      <c r="Q14" s="6"/>
      <c r="R14" s="6"/>
      <c r="S14" s="214">
        <v>0.70537000000000005</v>
      </c>
      <c r="V14" s="51"/>
      <c r="W14" s="226"/>
      <c r="X14" s="6">
        <v>2</v>
      </c>
      <c r="Y14" s="6" t="s">
        <v>134</v>
      </c>
      <c r="Z14" s="6"/>
      <c r="AA14" s="6"/>
      <c r="AB14" s="6"/>
      <c r="AC14" s="6"/>
      <c r="AD14" s="6"/>
      <c r="AE14" s="6"/>
      <c r="AF14" s="6"/>
      <c r="AG14" s="6"/>
      <c r="AH14" s="55"/>
    </row>
    <row r="15" spans="2:34" x14ac:dyDescent="0.2">
      <c r="B15" s="1" t="s">
        <v>3</v>
      </c>
      <c r="D15" s="223">
        <v>12223</v>
      </c>
      <c r="E15" s="223">
        <v>12637</v>
      </c>
      <c r="F15" s="223">
        <v>12723</v>
      </c>
      <c r="G15" s="39"/>
      <c r="H15" s="40">
        <v>13626.73114</v>
      </c>
      <c r="I15" s="40">
        <v>14401.846020000001</v>
      </c>
      <c r="J15" s="40">
        <v>15129.088879999999</v>
      </c>
      <c r="K15" s="40">
        <v>16286</v>
      </c>
      <c r="L15" s="40">
        <v>17188</v>
      </c>
      <c r="M15" s="40">
        <v>18219.280000000002</v>
      </c>
      <c r="N15" s="40">
        <v>19312.436800000003</v>
      </c>
      <c r="P15" s="198" t="s">
        <v>120</v>
      </c>
      <c r="Q15" s="6"/>
      <c r="R15" s="6"/>
      <c r="S15" s="215">
        <v>0.05</v>
      </c>
      <c r="V15" s="51"/>
      <c r="W15" s="227"/>
      <c r="X15" s="6">
        <v>3</v>
      </c>
      <c r="Y15" s="6" t="s">
        <v>135</v>
      </c>
      <c r="Z15" s="6"/>
      <c r="AA15" s="6"/>
      <c r="AB15" s="6"/>
      <c r="AC15" s="6"/>
      <c r="AD15" s="6"/>
      <c r="AE15" s="6"/>
      <c r="AF15" s="6"/>
      <c r="AG15" s="6"/>
      <c r="AH15" s="55"/>
    </row>
    <row r="16" spans="2:34" x14ac:dyDescent="0.2">
      <c r="B16" s="1" t="s">
        <v>59</v>
      </c>
      <c r="D16" s="223">
        <v>2214</v>
      </c>
      <c r="E16" s="223">
        <v>2154</v>
      </c>
      <c r="F16" s="223">
        <v>2145</v>
      </c>
      <c r="G16" s="39"/>
      <c r="H16" s="41">
        <v>2248.3471399438845</v>
      </c>
      <c r="I16" s="41">
        <v>2320.5445419883113</v>
      </c>
      <c r="J16" s="41">
        <v>2394.3690763497389</v>
      </c>
      <c r="K16" s="41">
        <v>2449.7502629985015</v>
      </c>
      <c r="L16" s="41">
        <v>2524.5025717017998</v>
      </c>
      <c r="M16" s="41">
        <v>2669.5877404456987</v>
      </c>
      <c r="N16" s="41">
        <v>2764.2361662802869</v>
      </c>
      <c r="P16" s="198" t="s">
        <v>124</v>
      </c>
      <c r="Q16" s="6"/>
      <c r="R16" s="6"/>
      <c r="S16" s="212">
        <v>159796.47636999999</v>
      </c>
      <c r="V16" s="51"/>
      <c r="W16" s="228"/>
      <c r="X16" s="6">
        <v>4</v>
      </c>
      <c r="Y16" s="6" t="s">
        <v>136</v>
      </c>
      <c r="Z16" s="6"/>
      <c r="AA16" s="6"/>
      <c r="AB16" s="6"/>
      <c r="AC16" s="6"/>
      <c r="AD16" s="6"/>
      <c r="AE16" s="6"/>
      <c r="AF16" s="6"/>
      <c r="AG16" s="6"/>
      <c r="AH16" s="55"/>
    </row>
    <row r="17" spans="2:34" x14ac:dyDescent="0.2">
      <c r="B17" s="1" t="s">
        <v>8</v>
      </c>
      <c r="D17" s="223">
        <v>10009</v>
      </c>
      <c r="E17" s="223">
        <v>10483</v>
      </c>
      <c r="F17" s="223">
        <v>10578</v>
      </c>
      <c r="G17" s="39"/>
      <c r="H17" s="44">
        <v>11378.384000056116</v>
      </c>
      <c r="I17" s="44">
        <v>12081.30147801169</v>
      </c>
      <c r="J17" s="44">
        <v>12734.71980365026</v>
      </c>
      <c r="K17" s="44">
        <v>13836.249737001499</v>
      </c>
      <c r="L17" s="44">
        <v>14663.4974282982</v>
      </c>
      <c r="M17" s="44">
        <v>15549.692259554304</v>
      </c>
      <c r="N17" s="44">
        <v>16548.200633719716</v>
      </c>
      <c r="P17" s="51"/>
      <c r="S17" s="55"/>
      <c r="V17" s="51"/>
      <c r="W17" s="229"/>
      <c r="X17" s="6">
        <v>5</v>
      </c>
      <c r="Y17" s="6" t="s">
        <v>137</v>
      </c>
      <c r="Z17" s="6"/>
      <c r="AA17" s="6"/>
      <c r="AB17" s="6"/>
      <c r="AC17" s="6"/>
      <c r="AD17" s="6"/>
      <c r="AE17" s="6"/>
      <c r="AF17" s="6"/>
      <c r="AG17" s="6"/>
      <c r="AH17" s="55"/>
    </row>
    <row r="18" spans="2:34" x14ac:dyDescent="0.2">
      <c r="B18" s="1" t="s">
        <v>9</v>
      </c>
      <c r="D18" s="43"/>
      <c r="E18" s="43"/>
      <c r="F18" s="43"/>
      <c r="G18" s="39"/>
      <c r="H18" s="44">
        <v>2389.4606400117841</v>
      </c>
      <c r="I18" s="44">
        <v>2537.073310382455</v>
      </c>
      <c r="J18" s="44">
        <v>2674.2911587665544</v>
      </c>
      <c r="K18" s="44">
        <v>2905.6124447703146</v>
      </c>
      <c r="L18" s="44">
        <v>3079.3344599426218</v>
      </c>
      <c r="M18" s="44">
        <v>3265.4353745064036</v>
      </c>
      <c r="N18" s="44">
        <v>3475.1221330811404</v>
      </c>
      <c r="P18" s="198" t="s">
        <v>121</v>
      </c>
      <c r="Q18" s="6"/>
      <c r="R18" s="6"/>
      <c r="S18" s="205">
        <v>0.80268486060676503</v>
      </c>
      <c r="V18" s="51"/>
      <c r="W18" s="230"/>
      <c r="X18" s="6">
        <v>6</v>
      </c>
      <c r="Y18" s="6" t="s">
        <v>138</v>
      </c>
      <c r="Z18" s="6"/>
      <c r="AA18" s="6"/>
      <c r="AB18" s="6"/>
      <c r="AC18" s="6"/>
      <c r="AD18" s="6"/>
      <c r="AE18" s="6"/>
      <c r="AF18" s="6"/>
      <c r="AG18" s="6"/>
      <c r="AH18" s="55"/>
    </row>
    <row r="19" spans="2:34" x14ac:dyDescent="0.2">
      <c r="B19" s="1" t="s">
        <v>79</v>
      </c>
      <c r="D19" s="43"/>
      <c r="E19" s="43"/>
      <c r="F19" s="43"/>
      <c r="G19" s="39"/>
      <c r="H19" s="42">
        <v>8988.9233600443313</v>
      </c>
      <c r="I19" s="42">
        <v>9544.228167629235</v>
      </c>
      <c r="J19" s="42">
        <v>10060.428644883705</v>
      </c>
      <c r="K19" s="42">
        <v>10930.637292231184</v>
      </c>
      <c r="L19" s="42">
        <v>11584.162968355578</v>
      </c>
      <c r="M19" s="42">
        <v>12284.2568850479</v>
      </c>
      <c r="N19" s="42">
        <v>13073.078500638576</v>
      </c>
      <c r="P19" s="199"/>
      <c r="Q19" s="6"/>
      <c r="R19" s="6"/>
      <c r="S19" s="55"/>
      <c r="V19" s="51"/>
      <c r="W19" s="231"/>
      <c r="X19" s="6">
        <v>7</v>
      </c>
      <c r="Y19" s="6" t="s">
        <v>139</v>
      </c>
      <c r="Z19" s="6"/>
      <c r="AA19" s="6"/>
      <c r="AB19" s="6"/>
      <c r="AC19" s="6"/>
      <c r="AD19" s="6"/>
      <c r="AE19" s="6"/>
      <c r="AF19" s="6"/>
      <c r="AG19" s="6"/>
      <c r="AH19" s="55"/>
    </row>
    <row r="20" spans="2:34" x14ac:dyDescent="0.2">
      <c r="D20" s="43"/>
      <c r="E20" s="43"/>
      <c r="F20" s="43"/>
      <c r="G20" s="39"/>
      <c r="H20" s="42"/>
      <c r="I20" s="42"/>
      <c r="J20" s="42"/>
      <c r="K20" s="42"/>
      <c r="L20" s="42"/>
      <c r="M20" s="42"/>
      <c r="N20" s="42"/>
      <c r="P20" s="72" t="s">
        <v>128</v>
      </c>
      <c r="S20" s="204">
        <v>1.7774999999999999E-2</v>
      </c>
      <c r="V20" s="51"/>
      <c r="W20" s="6"/>
      <c r="X20" s="6">
        <v>8</v>
      </c>
      <c r="Y20" s="6" t="s">
        <v>140</v>
      </c>
      <c r="Z20" s="6"/>
      <c r="AA20" s="6"/>
      <c r="AB20" s="6"/>
      <c r="AC20" s="6"/>
      <c r="AD20" s="6"/>
      <c r="AE20" s="6"/>
      <c r="AF20" s="6"/>
      <c r="AG20" s="6"/>
      <c r="AH20" s="55"/>
    </row>
    <row r="21" spans="2:34" x14ac:dyDescent="0.2">
      <c r="B21" s="1" t="s">
        <v>79</v>
      </c>
      <c r="D21" s="43"/>
      <c r="E21" s="43"/>
      <c r="F21" s="43"/>
      <c r="G21" s="39"/>
      <c r="H21" s="42">
        <v>8988.9233600443313</v>
      </c>
      <c r="I21" s="42">
        <v>9544.228167629235</v>
      </c>
      <c r="J21" s="42">
        <v>10060.428644883705</v>
      </c>
      <c r="K21" s="42">
        <v>10930.637292231184</v>
      </c>
      <c r="L21" s="42">
        <v>11584.162968355578</v>
      </c>
      <c r="M21" s="42">
        <v>12284.2568850479</v>
      </c>
      <c r="N21" s="42">
        <v>13073.078500638576</v>
      </c>
      <c r="P21" s="198" t="s">
        <v>127</v>
      </c>
      <c r="Q21" s="6"/>
      <c r="R21" s="6"/>
      <c r="S21" s="235">
        <v>2.2499999999999999E-2</v>
      </c>
      <c r="V21" s="51"/>
      <c r="W21" s="232"/>
      <c r="X21" s="6">
        <v>9</v>
      </c>
      <c r="Y21" s="6" t="s">
        <v>141</v>
      </c>
      <c r="Z21" s="6"/>
      <c r="AA21" s="6"/>
      <c r="AB21" s="6"/>
      <c r="AC21" s="6"/>
      <c r="AD21" s="6"/>
      <c r="AE21" s="6"/>
      <c r="AF21" s="6"/>
      <c r="AG21" s="6"/>
      <c r="AH21" s="55"/>
    </row>
    <row r="22" spans="2:34" x14ac:dyDescent="0.2">
      <c r="B22" s="1" t="s">
        <v>59</v>
      </c>
      <c r="D22" s="43"/>
      <c r="E22" s="43"/>
      <c r="F22" s="43"/>
      <c r="G22" s="39"/>
      <c r="H22" s="42">
        <v>2248.3471399438845</v>
      </c>
      <c r="I22" s="42">
        <v>2320.5445419883113</v>
      </c>
      <c r="J22" s="42">
        <v>2394.3690763497389</v>
      </c>
      <c r="K22" s="42">
        <v>2449.7502629985015</v>
      </c>
      <c r="L22" s="42">
        <v>2524.5025717017998</v>
      </c>
      <c r="M22" s="42">
        <v>2669.5877404456987</v>
      </c>
      <c r="N22" s="42">
        <v>2764.2361662802869</v>
      </c>
      <c r="P22" s="51" t="s">
        <v>125</v>
      </c>
      <c r="S22" s="217" t="s">
        <v>146</v>
      </c>
      <c r="V22" s="51"/>
      <c r="W22" s="233"/>
      <c r="X22" s="6">
        <v>10</v>
      </c>
      <c r="Y22" s="6" t="s">
        <v>142</v>
      </c>
      <c r="Z22" s="6"/>
      <c r="AA22" s="6"/>
      <c r="AB22" s="6"/>
      <c r="AC22" s="6"/>
      <c r="AD22" s="6"/>
      <c r="AE22" s="6"/>
      <c r="AF22" s="6"/>
      <c r="AG22" s="6"/>
      <c r="AH22" s="55"/>
    </row>
    <row r="23" spans="2:34" x14ac:dyDescent="0.2">
      <c r="B23" s="1" t="s">
        <v>113</v>
      </c>
      <c r="D23" s="43"/>
      <c r="E23" s="43"/>
      <c r="F23" s="43"/>
      <c r="G23" s="39"/>
      <c r="H23" s="42">
        <v>381.83924299669525</v>
      </c>
      <c r="I23" s="42">
        <v>-6.0099795891146641</v>
      </c>
      <c r="J23" s="42">
        <v>-6.1454281196292868</v>
      </c>
      <c r="K23" s="42">
        <v>-4.6101354336151417</v>
      </c>
      <c r="L23" s="42">
        <v>-6.2226594977710192</v>
      </c>
      <c r="M23" s="42">
        <v>-12.07742769327524</v>
      </c>
      <c r="N23" s="42">
        <v>-7.8788860997774464</v>
      </c>
      <c r="P23" s="198" t="s">
        <v>107</v>
      </c>
      <c r="Q23" s="6"/>
      <c r="R23" s="6"/>
      <c r="S23" s="213">
        <v>0.02</v>
      </c>
      <c r="V23" s="51"/>
      <c r="W23" s="234"/>
      <c r="X23" s="6">
        <v>11</v>
      </c>
      <c r="Y23" s="6" t="s">
        <v>143</v>
      </c>
      <c r="Z23" s="6"/>
      <c r="AA23" s="6"/>
      <c r="AB23" s="6"/>
      <c r="AC23" s="6"/>
      <c r="AD23" s="6"/>
      <c r="AE23" s="6"/>
      <c r="AF23" s="6"/>
      <c r="AG23" s="6"/>
      <c r="AH23" s="55"/>
    </row>
    <row r="24" spans="2:34" x14ac:dyDescent="0.2">
      <c r="B24" s="1" t="s">
        <v>10</v>
      </c>
      <c r="D24" s="43">
        <v>-2758</v>
      </c>
      <c r="E24" s="43">
        <v>-3040</v>
      </c>
      <c r="F24" s="43">
        <v>-2969</v>
      </c>
      <c r="G24" s="39"/>
      <c r="H24" s="41">
        <v>-3026.4389610109715</v>
      </c>
      <c r="I24" s="41">
        <v>-3123.6219211282782</v>
      </c>
      <c r="J24" s="41">
        <v>-3222.9951198219164</v>
      </c>
      <c r="K24" s="41">
        <v>-3297.5422295645067</v>
      </c>
      <c r="L24" s="41">
        <v>-3398.1642800770574</v>
      </c>
      <c r="M24" s="41">
        <v>-3593.459481405419</v>
      </c>
      <c r="N24" s="41">
        <v>-3720.8631542881144</v>
      </c>
      <c r="P24" s="198" t="s">
        <v>122</v>
      </c>
      <c r="Q24" s="6"/>
      <c r="R24" s="6"/>
      <c r="S24" s="218">
        <v>0.05</v>
      </c>
      <c r="V24" s="68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108"/>
    </row>
    <row r="25" spans="2:34" x14ac:dyDescent="0.2">
      <c r="B25" s="1" t="s">
        <v>11</v>
      </c>
      <c r="D25" s="43"/>
      <c r="E25" s="43"/>
      <c r="F25" s="43"/>
      <c r="G25" s="39"/>
      <c r="H25" s="44">
        <v>8592.6707819739386</v>
      </c>
      <c r="I25" s="44">
        <v>8735.1408089001525</v>
      </c>
      <c r="J25" s="44">
        <v>9225.6571732918983</v>
      </c>
      <c r="K25" s="44">
        <v>10078.235190231564</v>
      </c>
      <c r="L25" s="44">
        <v>10704.27860048255</v>
      </c>
      <c r="M25" s="44">
        <v>11348.307716394906</v>
      </c>
      <c r="N25" s="44">
        <v>12108.572626530971</v>
      </c>
      <c r="P25" s="198" t="s">
        <v>120</v>
      </c>
      <c r="Q25" s="6"/>
      <c r="R25" s="6"/>
      <c r="S25" s="197">
        <v>0.05</v>
      </c>
    </row>
    <row r="26" spans="2:34" x14ac:dyDescent="0.2">
      <c r="D26" s="43"/>
      <c r="E26" s="43"/>
      <c r="F26" s="43"/>
      <c r="G26" s="39"/>
      <c r="H26" s="206"/>
      <c r="I26" s="237"/>
      <c r="J26" s="237"/>
      <c r="K26" s="237"/>
      <c r="L26" s="237"/>
      <c r="M26" s="237"/>
      <c r="N26" s="237"/>
      <c r="P26" s="198" t="s">
        <v>35</v>
      </c>
      <c r="Q26" s="6"/>
      <c r="R26" s="6"/>
      <c r="S26" s="212">
        <v>39281</v>
      </c>
    </row>
    <row r="27" spans="2:34" x14ac:dyDescent="0.2">
      <c r="B27" s="195" t="s">
        <v>80</v>
      </c>
      <c r="C27" s="196">
        <v>4.7870464821159739E-2</v>
      </c>
      <c r="D27" s="43"/>
      <c r="E27" s="43"/>
      <c r="F27" s="43"/>
      <c r="G27" s="39"/>
      <c r="H27" s="42"/>
      <c r="I27" s="238"/>
      <c r="J27" s="42"/>
      <c r="K27" s="42"/>
      <c r="L27" s="42"/>
      <c r="M27" s="42"/>
      <c r="N27" s="42"/>
      <c r="P27" s="51"/>
      <c r="S27" s="55"/>
    </row>
    <row r="28" spans="2:34" x14ac:dyDescent="0.2">
      <c r="C28" s="45"/>
      <c r="D28" s="43"/>
      <c r="E28" s="43"/>
      <c r="F28" s="43"/>
      <c r="G28" s="39"/>
      <c r="H28" s="42"/>
      <c r="I28" s="42"/>
      <c r="J28" s="42"/>
      <c r="K28" s="42"/>
      <c r="L28" s="42"/>
      <c r="M28" s="42"/>
      <c r="N28" s="42"/>
      <c r="P28" s="198" t="s">
        <v>123</v>
      </c>
      <c r="Q28" s="6"/>
      <c r="R28" s="6"/>
      <c r="S28" s="205">
        <v>0.19731513939323497</v>
      </c>
    </row>
    <row r="29" spans="2:34" x14ac:dyDescent="0.2">
      <c r="B29" s="1" t="s">
        <v>104</v>
      </c>
      <c r="C29" s="45"/>
      <c r="D29" s="43"/>
      <c r="E29" s="43"/>
      <c r="F29" s="43"/>
      <c r="G29" s="39"/>
      <c r="H29" s="207">
        <v>0.95431642895925151</v>
      </c>
      <c r="I29" s="207">
        <v>0.91071984658153793</v>
      </c>
      <c r="J29" s="207">
        <v>0.86911491177201072</v>
      </c>
      <c r="K29" s="207">
        <v>0.82941063895750011</v>
      </c>
      <c r="L29" s="207">
        <v>0.79152019911073257</v>
      </c>
      <c r="M29" s="207">
        <v>0.75536072986446989</v>
      </c>
      <c r="N29" s="207">
        <v>0.7208531543003146</v>
      </c>
      <c r="P29" s="199"/>
      <c r="Q29" s="6"/>
      <c r="R29" s="6"/>
      <c r="S29" s="55"/>
    </row>
    <row r="30" spans="2:34" x14ac:dyDescent="0.2">
      <c r="B30" s="1" t="s">
        <v>13</v>
      </c>
      <c r="D30" s="208">
        <v>58305.76620260653</v>
      </c>
      <c r="E30" s="39"/>
      <c r="F30" s="39"/>
      <c r="G30" s="39"/>
      <c r="H30" s="44">
        <v>8200.1268958758683</v>
      </c>
      <c r="I30" s="44">
        <v>7955.2660973496777</v>
      </c>
      <c r="J30" s="44">
        <v>8018.1562202044061</v>
      </c>
      <c r="K30" s="44">
        <v>8358.9954886939249</v>
      </c>
      <c r="L30" s="44">
        <v>8472.6527291907023</v>
      </c>
      <c r="M30" s="44">
        <v>8572.0659993826521</v>
      </c>
      <c r="N30" s="44">
        <v>8728.5027719092959</v>
      </c>
      <c r="P30" s="200" t="s">
        <v>12</v>
      </c>
      <c r="Q30" s="7"/>
      <c r="R30" s="7"/>
      <c r="S30" s="205">
        <v>4.7870464821159739E-2</v>
      </c>
    </row>
    <row r="31" spans="2:34" x14ac:dyDescent="0.2">
      <c r="E31" s="39"/>
      <c r="F31" s="39"/>
      <c r="G31" s="39"/>
      <c r="H31" s="39"/>
      <c r="I31" s="39"/>
      <c r="J31" s="39"/>
      <c r="K31" s="39"/>
      <c r="L31" s="39"/>
      <c r="M31" s="39"/>
      <c r="N31" s="39"/>
    </row>
    <row r="33" spans="2:17" x14ac:dyDescent="0.2">
      <c r="B33" s="6" t="s">
        <v>14</v>
      </c>
      <c r="C33" s="6"/>
      <c r="D33" s="219"/>
      <c r="E33" s="219">
        <v>-4.0757421974118241E-3</v>
      </c>
      <c r="F33" s="219">
        <v>1.1560693641618497E-2</v>
      </c>
      <c r="G33" s="220"/>
      <c r="H33" s="220">
        <v>2.9090873671782758E-2</v>
      </c>
      <c r="I33" s="220">
        <v>3.2111323363628319E-2</v>
      </c>
      <c r="J33" s="220">
        <v>3.181345284506909E-2</v>
      </c>
      <c r="K33" s="220">
        <v>2.3129761905041013E-2</v>
      </c>
      <c r="L33" s="220">
        <v>3.051425683359299E-2</v>
      </c>
      <c r="M33" s="220">
        <v>5.7470794591464758E-2</v>
      </c>
      <c r="N33" s="220">
        <v>3.545432292807349E-2</v>
      </c>
    </row>
    <row r="34" spans="2:17" x14ac:dyDescent="0.2">
      <c r="B34" s="6" t="s">
        <v>15</v>
      </c>
      <c r="C34" s="6"/>
      <c r="D34" s="219">
        <v>0.54435739659984772</v>
      </c>
      <c r="E34" s="219">
        <v>0.55080494912339373</v>
      </c>
      <c r="F34" s="219">
        <v>0.54687131050767412</v>
      </c>
      <c r="G34" s="220"/>
      <c r="H34" s="221">
        <v>0.54734455207697186</v>
      </c>
      <c r="I34" s="221">
        <v>0.54734455207697186</v>
      </c>
      <c r="J34" s="221">
        <v>0.54734455207697186</v>
      </c>
      <c r="K34" s="221">
        <v>0.54734455207697186</v>
      </c>
      <c r="L34" s="221">
        <v>0.54734455207697186</v>
      </c>
      <c r="M34" s="221">
        <v>0.54734455207697186</v>
      </c>
      <c r="N34" s="221">
        <v>0.54734455207697186</v>
      </c>
    </row>
    <row r="35" spans="2:17" x14ac:dyDescent="0.2">
      <c r="B35" s="6" t="s">
        <v>16</v>
      </c>
      <c r="C35" s="6"/>
      <c r="D35" s="219">
        <v>0.19384356762243085</v>
      </c>
      <c r="E35" s="219">
        <v>0.20122931893819965</v>
      </c>
      <c r="F35" s="219">
        <v>0.20028335301062575</v>
      </c>
      <c r="G35" s="220"/>
      <c r="H35" s="220">
        <v>0.20844586616803876</v>
      </c>
      <c r="I35" s="220">
        <v>0.21344855548073441</v>
      </c>
      <c r="J35" s="220">
        <v>0.21731346928406411</v>
      </c>
      <c r="K35" s="220">
        <v>0.22864282806160413</v>
      </c>
      <c r="L35" s="220">
        <v>0.23416096182010149</v>
      </c>
      <c r="M35" s="220">
        <v>0.23472101621983746</v>
      </c>
      <c r="N35" s="220">
        <v>0.24028513057867695</v>
      </c>
    </row>
    <row r="36" spans="2:17" x14ac:dyDescent="0.2">
      <c r="B36" s="6" t="s">
        <v>17</v>
      </c>
      <c r="C36" s="6"/>
      <c r="D36" s="219">
        <v>3.5111646790154785E-2</v>
      </c>
      <c r="E36" s="219">
        <v>3.4299909234223477E-2</v>
      </c>
      <c r="F36" s="219">
        <v>3.3766233766233764E-2</v>
      </c>
      <c r="G36" s="220"/>
      <c r="H36" s="221">
        <v>3.4392596596870675E-2</v>
      </c>
      <c r="I36" s="221">
        <v>3.4392596596870675E-2</v>
      </c>
      <c r="J36" s="221">
        <v>3.4392596596870675E-2</v>
      </c>
      <c r="K36" s="221">
        <v>3.4392596596870675E-2</v>
      </c>
      <c r="L36" s="221">
        <v>3.4392596596870675E-2</v>
      </c>
      <c r="M36" s="221">
        <v>3.4392596596870675E-2</v>
      </c>
      <c r="N36" s="221">
        <v>3.4392596596870675E-2</v>
      </c>
    </row>
    <row r="37" spans="2:17" x14ac:dyDescent="0.2">
      <c r="B37" s="1" t="s">
        <v>65</v>
      </c>
      <c r="D37" s="219">
        <v>4.3738898756660746E-2</v>
      </c>
      <c r="E37" s="219">
        <v>4.8408414146722083E-2</v>
      </c>
      <c r="F37" s="219">
        <v>4.6737504919323103E-2</v>
      </c>
      <c r="G37" s="222"/>
      <c r="H37" s="221">
        <v>4.6294939274235308E-2</v>
      </c>
      <c r="I37" s="221">
        <v>4.6294939274235308E-2</v>
      </c>
      <c r="J37" s="221">
        <v>4.6294939274235308E-2</v>
      </c>
      <c r="K37" s="221">
        <v>4.6294939274235308E-2</v>
      </c>
      <c r="L37" s="221">
        <v>4.6294939274235308E-2</v>
      </c>
      <c r="M37" s="221">
        <v>4.6294939274235308E-2</v>
      </c>
      <c r="N37" s="221">
        <v>4.6294939274235308E-2</v>
      </c>
    </row>
    <row r="40" spans="2:17" ht="12.75" x14ac:dyDescent="0.2">
      <c r="B40" s="46" t="s">
        <v>58</v>
      </c>
      <c r="H40" s="46" t="s">
        <v>26</v>
      </c>
    </row>
    <row r="41" spans="2:17" hidden="1" x14ac:dyDescent="0.2">
      <c r="B41" s="47"/>
      <c r="H41" s="47"/>
    </row>
    <row r="42" spans="2:17" hidden="1" x14ac:dyDescent="0.2">
      <c r="B42" s="1" t="s">
        <v>148</v>
      </c>
      <c r="H42" s="47"/>
      <c r="K42" s="48" t="s">
        <v>18</v>
      </c>
    </row>
    <row r="43" spans="2:17" x14ac:dyDescent="0.2">
      <c r="B43" s="47"/>
    </row>
    <row r="44" spans="2:17" x14ac:dyDescent="0.2">
      <c r="B44" s="49" t="s">
        <v>12</v>
      </c>
      <c r="C44" s="5"/>
      <c r="D44" s="5"/>
      <c r="E44" s="50">
        <v>4.7870464821159739E-2</v>
      </c>
      <c r="I44" s="48" t="s">
        <v>126</v>
      </c>
      <c r="J44" s="2"/>
      <c r="K44" s="2"/>
      <c r="L44" s="2"/>
      <c r="M44" s="2"/>
    </row>
    <row r="45" spans="2:17" ht="12" customHeight="1" thickBot="1" x14ac:dyDescent="0.25">
      <c r="B45" s="51" t="s">
        <v>92</v>
      </c>
      <c r="C45" s="6"/>
      <c r="D45" s="6"/>
      <c r="E45" s="186">
        <v>7</v>
      </c>
      <c r="G45" s="236" t="s">
        <v>12</v>
      </c>
      <c r="J45" s="2"/>
      <c r="L45" s="2"/>
      <c r="M45" s="2"/>
    </row>
    <row r="46" spans="2:17" ht="12" thickBot="1" x14ac:dyDescent="0.25">
      <c r="B46" s="51" t="s">
        <v>126</v>
      </c>
      <c r="C46" s="6"/>
      <c r="D46" s="6"/>
      <c r="E46" s="211">
        <v>0.02</v>
      </c>
      <c r="G46" s="236"/>
      <c r="H46" s="52">
        <v>245.84650533038521</v>
      </c>
      <c r="I46" s="202">
        <v>9.9999999999999985E-3</v>
      </c>
      <c r="J46" s="202">
        <v>1.4999999999999999E-2</v>
      </c>
      <c r="K46" s="203">
        <v>0.02</v>
      </c>
      <c r="L46" s="202">
        <v>2.5000000000000001E-2</v>
      </c>
      <c r="M46" s="202">
        <v>3.0000000000000002E-2</v>
      </c>
      <c r="P46" s="53" t="s">
        <v>88</v>
      </c>
      <c r="Q46" s="54"/>
    </row>
    <row r="47" spans="2:17" ht="12" thickBot="1" x14ac:dyDescent="0.25">
      <c r="B47" s="51"/>
      <c r="C47" s="6"/>
      <c r="D47" s="6"/>
      <c r="E47" s="55"/>
      <c r="G47" s="236"/>
      <c r="H47" s="56">
        <v>3.2870464821159746E-2</v>
      </c>
      <c r="I47" s="169">
        <v>323.66405277074176</v>
      </c>
      <c r="J47" s="170">
        <v>409.58848544575636</v>
      </c>
      <c r="K47" s="170">
        <v>562.27385789176515</v>
      </c>
      <c r="L47" s="170">
        <v>908.95714013785857</v>
      </c>
      <c r="M47" s="171">
        <v>2463.4005025302208</v>
      </c>
      <c r="P47" s="57" t="s">
        <v>89</v>
      </c>
      <c r="Q47" s="58" t="s">
        <v>12</v>
      </c>
    </row>
    <row r="48" spans="2:17" ht="12.75" thickTop="1" thickBot="1" x14ac:dyDescent="0.25">
      <c r="B48" s="51" t="s">
        <v>129</v>
      </c>
      <c r="C48" s="6"/>
      <c r="D48" s="6"/>
      <c r="E48" s="59">
        <v>12108.572626530971</v>
      </c>
      <c r="G48" s="236"/>
      <c r="H48" s="56">
        <v>3.7870464821159744E-2</v>
      </c>
      <c r="I48" s="172">
        <v>260.74358649096018</v>
      </c>
      <c r="J48" s="173">
        <v>314.26462653356879</v>
      </c>
      <c r="K48" s="173">
        <v>397.73510582032975</v>
      </c>
      <c r="L48" s="173">
        <v>546.05987005065458</v>
      </c>
      <c r="M48" s="174">
        <v>882.84207307360828</v>
      </c>
      <c r="P48" s="201">
        <v>5.0000000000000001E-3</v>
      </c>
      <c r="Q48" s="60">
        <v>5.0000000000000001E-3</v>
      </c>
    </row>
    <row r="49" spans="2:13" ht="12.75" thickTop="1" thickBot="1" x14ac:dyDescent="0.25">
      <c r="B49" s="51" t="s">
        <v>19</v>
      </c>
      <c r="C49" s="6"/>
      <c r="D49" s="6"/>
      <c r="E49" s="61">
        <v>443148.11964257923</v>
      </c>
      <c r="G49" s="236"/>
      <c r="H49" s="56">
        <v>4.2870464821159741E-2</v>
      </c>
      <c r="I49" s="172">
        <v>216.99226017231467</v>
      </c>
      <c r="J49" s="187">
        <v>253.17241337519383</v>
      </c>
      <c r="K49" s="188">
        <v>305.17216337498883</v>
      </c>
      <c r="L49" s="189">
        <v>386.27006528084047</v>
      </c>
      <c r="M49" s="174">
        <v>530.37882424021711</v>
      </c>
    </row>
    <row r="50" spans="2:13" ht="12.75" thickTop="1" thickBot="1" x14ac:dyDescent="0.25">
      <c r="B50" s="51" t="s">
        <v>104</v>
      </c>
      <c r="C50" s="6"/>
      <c r="D50" s="6"/>
      <c r="E50" s="62">
        <v>0.7208531543003146</v>
      </c>
      <c r="G50" s="236"/>
      <c r="H50" s="63">
        <v>4.7870464821159739E-2</v>
      </c>
      <c r="I50" s="172">
        <v>184.81666728442059</v>
      </c>
      <c r="J50" s="190">
        <v>210.68989365276491</v>
      </c>
      <c r="K50" s="178">
        <v>245.84650533038521</v>
      </c>
      <c r="L50" s="191">
        <v>296.3751752291804</v>
      </c>
      <c r="M50" s="174">
        <v>375.17880630244161</v>
      </c>
    </row>
    <row r="51" spans="2:13" ht="12.75" thickTop="1" thickBot="1" x14ac:dyDescent="0.25">
      <c r="B51" s="51" t="s">
        <v>105</v>
      </c>
      <c r="C51" s="6"/>
      <c r="D51" s="6"/>
      <c r="E51" s="64">
        <v>319444.71986660647</v>
      </c>
      <c r="G51" s="236"/>
      <c r="H51" s="56">
        <v>5.2870464821159736E-2</v>
      </c>
      <c r="I51" s="172">
        <v>160.16591512870838</v>
      </c>
      <c r="J51" s="192">
        <v>179.44534472227818</v>
      </c>
      <c r="K51" s="193">
        <v>204.59004871901334</v>
      </c>
      <c r="L51" s="194">
        <v>238.75674217953568</v>
      </c>
      <c r="M51" s="174">
        <v>287.86265691417543</v>
      </c>
    </row>
    <row r="52" spans="2:13" ht="12.75" thickTop="1" thickBot="1" x14ac:dyDescent="0.25">
      <c r="B52" s="51"/>
      <c r="C52" s="6"/>
      <c r="D52" s="6"/>
      <c r="E52" s="59"/>
      <c r="G52" s="236"/>
      <c r="H52" s="56">
        <v>5.7870464821159734E-2</v>
      </c>
      <c r="I52" s="172">
        <v>140.68157193656191</v>
      </c>
      <c r="J52" s="173">
        <v>155.50613417142208</v>
      </c>
      <c r="K52" s="173">
        <v>174.24524097415801</v>
      </c>
      <c r="L52" s="173">
        <v>198.68524276109656</v>
      </c>
      <c r="M52" s="174">
        <v>231.89438490639168</v>
      </c>
    </row>
    <row r="53" spans="2:13" ht="12.75" thickTop="1" thickBot="1" x14ac:dyDescent="0.25">
      <c r="B53" s="51" t="s">
        <v>20</v>
      </c>
      <c r="C53" s="6"/>
      <c r="D53" s="6"/>
      <c r="E53" s="65">
        <v>377750.48606921302</v>
      </c>
      <c r="G53" s="236"/>
      <c r="H53" s="56">
        <v>6.2870464821159738E-2</v>
      </c>
      <c r="I53" s="175">
        <v>124.89737945515746</v>
      </c>
      <c r="J53" s="176">
        <v>136.58267926635415</v>
      </c>
      <c r="K53" s="176">
        <v>150.99370175397706</v>
      </c>
      <c r="L53" s="176">
        <v>169.21007032216107</v>
      </c>
      <c r="M53" s="177">
        <v>192.96830410803972</v>
      </c>
    </row>
    <row r="54" spans="2:13" ht="12" thickTop="1" x14ac:dyDescent="0.2">
      <c r="B54" s="51" t="s">
        <v>21</v>
      </c>
      <c r="C54" s="6"/>
      <c r="D54" s="6"/>
      <c r="E54" s="66">
        <v>39281</v>
      </c>
    </row>
    <row r="55" spans="2:13" x14ac:dyDescent="0.2">
      <c r="B55" s="51" t="s">
        <v>22</v>
      </c>
      <c r="C55" s="6"/>
      <c r="D55" s="6"/>
      <c r="E55" s="66">
        <v>10610</v>
      </c>
    </row>
    <row r="56" spans="2:13" x14ac:dyDescent="0.2">
      <c r="B56" s="51" t="s">
        <v>23</v>
      </c>
      <c r="C56" s="6"/>
      <c r="D56" s="6"/>
      <c r="E56" s="59">
        <v>349079.48606921302</v>
      </c>
    </row>
    <row r="57" spans="2:13" x14ac:dyDescent="0.2">
      <c r="B57" s="51"/>
      <c r="C57" s="6"/>
      <c r="D57" s="6"/>
      <c r="E57" s="55"/>
    </row>
    <row r="58" spans="2:13" x14ac:dyDescent="0.2">
      <c r="B58" s="51" t="s">
        <v>24</v>
      </c>
      <c r="C58" s="6"/>
      <c r="D58" s="6"/>
      <c r="E58" s="66">
        <v>1419.9082699999999</v>
      </c>
    </row>
    <row r="59" spans="2:13" x14ac:dyDescent="0.2">
      <c r="B59" s="51" t="s">
        <v>25</v>
      </c>
      <c r="C59" s="6"/>
      <c r="D59" s="6"/>
      <c r="E59" s="67">
        <v>245.84650533038521</v>
      </c>
    </row>
    <row r="60" spans="2:13" x14ac:dyDescent="0.2">
      <c r="B60" s="68" t="s">
        <v>66</v>
      </c>
      <c r="C60" s="7"/>
      <c r="D60" s="7"/>
      <c r="E60" s="69">
        <v>112.81</v>
      </c>
    </row>
  </sheetData>
  <mergeCells count="1">
    <mergeCell ref="G45:G53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39"/>
  <sheetViews>
    <sheetView zoomScaleNormal="100" zoomScaleSheetLayoutView="100" workbookViewId="0">
      <selection activeCell="I26" sqref="I26"/>
    </sheetView>
  </sheetViews>
  <sheetFormatPr defaultRowHeight="11.25" x14ac:dyDescent="0.2"/>
  <cols>
    <col min="1" max="1" width="2.28515625" style="1" customWidth="1"/>
    <col min="2" max="2" width="14.42578125" style="1" customWidth="1"/>
    <col min="3" max="3" width="2.28515625" style="1" customWidth="1"/>
    <col min="4" max="4" width="9.5703125" style="1" bestFit="1" customWidth="1"/>
    <col min="5" max="5" width="9.140625" style="1"/>
    <col min="6" max="6" width="2.28515625" style="1" customWidth="1"/>
    <col min="7" max="7" width="7.7109375" style="1" customWidth="1"/>
    <col min="8" max="8" width="2.28515625" style="1" customWidth="1"/>
    <col min="9" max="9" width="7.7109375" style="1" customWidth="1"/>
    <col min="10" max="10" width="2.28515625" style="1" customWidth="1"/>
    <col min="11" max="11" width="9.140625" style="1"/>
    <col min="12" max="12" width="11.28515625" style="1" customWidth="1"/>
    <col min="13" max="13" width="2.28515625" style="1" customWidth="1"/>
    <col min="14" max="14" width="9.140625" style="1"/>
    <col min="15" max="15" width="2.28515625" style="1" customWidth="1"/>
    <col min="16" max="16" width="7.28515625" style="1" customWidth="1"/>
    <col min="17" max="17" width="11.42578125" style="1" customWidth="1"/>
    <col min="18" max="18" width="2.28515625" style="1" customWidth="1"/>
    <col min="19" max="19" width="9.5703125" style="1" bestFit="1" customWidth="1"/>
    <col min="20" max="20" width="2.140625" style="1" customWidth="1"/>
    <col min="21" max="21" width="9.140625" style="1"/>
    <col min="22" max="22" width="1.85546875" style="1" customWidth="1"/>
    <col min="23" max="16384" width="9.140625" style="1"/>
  </cols>
  <sheetData>
    <row r="1" spans="1:31" ht="30" x14ac:dyDescent="0.4">
      <c r="A1" s="4"/>
      <c r="B1" s="153" t="s">
        <v>44</v>
      </c>
      <c r="C1" s="153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4"/>
    </row>
    <row r="3" spans="1:31" x14ac:dyDescent="0.2">
      <c r="B3" s="27" t="s">
        <v>30</v>
      </c>
      <c r="C3" s="27"/>
      <c r="D3" s="1" t="str">
        <f>DCF!E3</f>
        <v>PEP</v>
      </c>
    </row>
    <row r="4" spans="1:31" x14ac:dyDescent="0.2">
      <c r="B4" s="27" t="s">
        <v>29</v>
      </c>
      <c r="C4" s="27"/>
      <c r="D4" s="149">
        <f ca="1">TODAY()</f>
        <v>43186</v>
      </c>
    </row>
    <row r="5" spans="1:31" x14ac:dyDescent="0.2">
      <c r="B5" s="27"/>
      <c r="C5" s="27"/>
      <c r="D5" s="70"/>
      <c r="V5" s="49"/>
      <c r="W5" s="5"/>
      <c r="X5" s="5"/>
      <c r="Y5" s="5"/>
      <c r="Z5" s="5"/>
      <c r="AA5" s="5"/>
      <c r="AB5" s="5"/>
      <c r="AC5" s="5"/>
      <c r="AD5" s="5"/>
      <c r="AE5" s="167"/>
    </row>
    <row r="6" spans="1:31" ht="12.75" x14ac:dyDescent="0.2">
      <c r="B6" s="155"/>
      <c r="C6" s="156"/>
      <c r="D6" s="156" t="s">
        <v>60</v>
      </c>
      <c r="E6" s="157"/>
      <c r="F6" s="157"/>
      <c r="G6" s="156"/>
      <c r="H6" s="157"/>
      <c r="I6" s="157"/>
      <c r="J6" s="157"/>
      <c r="K6" s="157"/>
      <c r="L6" s="157"/>
      <c r="M6" s="157"/>
      <c r="N6" s="157"/>
      <c r="O6" s="157"/>
      <c r="P6" s="157"/>
      <c r="Q6" s="157"/>
      <c r="R6" s="157"/>
      <c r="S6" s="157"/>
      <c r="T6" s="158"/>
      <c r="V6" s="51"/>
      <c r="W6" s="168" t="s">
        <v>97</v>
      </c>
      <c r="X6" s="6"/>
      <c r="Y6" s="6"/>
      <c r="Z6" s="6"/>
      <c r="AA6" s="6"/>
      <c r="AB6" s="6"/>
      <c r="AC6" s="6"/>
      <c r="AD6" s="6"/>
      <c r="AE6" s="55"/>
    </row>
    <row r="7" spans="1:31" x14ac:dyDescent="0.2">
      <c r="B7" s="51"/>
      <c r="C7" s="6"/>
      <c r="D7" s="6"/>
      <c r="E7" s="71"/>
      <c r="F7" s="71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55"/>
      <c r="V7" s="51"/>
      <c r="W7" s="6"/>
      <c r="X7" s="6"/>
      <c r="Y7" s="6"/>
      <c r="Z7" s="6"/>
      <c r="AA7" s="6"/>
      <c r="AB7" s="6"/>
      <c r="AC7" s="6"/>
      <c r="AD7" s="6"/>
      <c r="AE7" s="55"/>
    </row>
    <row r="8" spans="1:31" x14ac:dyDescent="0.2">
      <c r="B8" s="72"/>
      <c r="C8" s="73"/>
      <c r="D8" s="71"/>
      <c r="E8" s="71"/>
      <c r="F8" s="71"/>
      <c r="G8" s="74" t="s">
        <v>33</v>
      </c>
      <c r="H8" s="74"/>
      <c r="I8" s="75"/>
      <c r="J8" s="6"/>
      <c r="K8" s="73" t="s">
        <v>35</v>
      </c>
      <c r="L8" s="73" t="s">
        <v>36</v>
      </c>
      <c r="M8" s="6"/>
      <c r="N8" s="36" t="s">
        <v>57</v>
      </c>
      <c r="O8" s="6"/>
      <c r="P8" s="74" t="s">
        <v>38</v>
      </c>
      <c r="Q8" s="76"/>
      <c r="R8" s="76"/>
      <c r="S8" s="76"/>
      <c r="T8" s="55"/>
      <c r="V8" s="51"/>
      <c r="W8" s="179"/>
      <c r="X8" s="6">
        <v>1</v>
      </c>
      <c r="Y8" s="6" t="s">
        <v>99</v>
      </c>
      <c r="Z8" s="6"/>
      <c r="AA8" s="6"/>
      <c r="AB8" s="6"/>
      <c r="AC8" s="6"/>
      <c r="AD8" s="6"/>
      <c r="AE8" s="55"/>
    </row>
    <row r="9" spans="1:31" ht="12" thickBot="1" x14ac:dyDescent="0.25">
      <c r="B9" s="77" t="s">
        <v>34</v>
      </c>
      <c r="C9" s="73"/>
      <c r="D9" s="78" t="s">
        <v>2</v>
      </c>
      <c r="E9" s="76"/>
      <c r="F9" s="6"/>
      <c r="G9" s="79" t="s">
        <v>31</v>
      </c>
      <c r="H9" s="80"/>
      <c r="I9" s="79" t="s">
        <v>32</v>
      </c>
      <c r="J9" s="6"/>
      <c r="K9" s="81" t="s">
        <v>37</v>
      </c>
      <c r="L9" s="81" t="s">
        <v>37</v>
      </c>
      <c r="M9" s="6"/>
      <c r="N9" s="82" t="s">
        <v>36</v>
      </c>
      <c r="O9" s="6"/>
      <c r="P9" s="83" t="s">
        <v>31</v>
      </c>
      <c r="Q9" s="83" t="s">
        <v>32</v>
      </c>
      <c r="R9" s="6"/>
      <c r="S9" s="36" t="s">
        <v>39</v>
      </c>
      <c r="T9" s="55"/>
      <c r="V9" s="51"/>
      <c r="W9" s="180"/>
      <c r="X9" s="6">
        <v>2</v>
      </c>
      <c r="Y9" s="6" t="s">
        <v>100</v>
      </c>
      <c r="Z9" s="6"/>
      <c r="AA9" s="6"/>
      <c r="AB9" s="6"/>
      <c r="AC9" s="6"/>
      <c r="AD9" s="6"/>
      <c r="AE9" s="55"/>
    </row>
    <row r="10" spans="1:31" x14ac:dyDescent="0.2">
      <c r="B10" s="51" t="str">
        <f>_xll.ciqfunctions.udf.CIQ($D$3, "IQ_QUICK_COMP", 1)</f>
        <v>NYSE:KO</v>
      </c>
      <c r="C10" s="6"/>
      <c r="D10" s="6" t="str">
        <f>_xll.ciqfunctions.udf.CIQ(B10, "IQ_COMPANY_NAME")</f>
        <v>The Coca-Cola Company</v>
      </c>
      <c r="E10" s="6"/>
      <c r="F10" s="84"/>
      <c r="G10" s="85">
        <f>_xll.ciqfunctions.udf.CIQ(B10, "IQ_BETA_1YR")</f>
        <v>0.86185</v>
      </c>
      <c r="H10" s="6"/>
      <c r="I10" s="85">
        <f>_xll.ciqfunctions.udf.CIQ(B10, "IQ_BETA_2YR")</f>
        <v>0.77012000000000003</v>
      </c>
      <c r="J10" s="86"/>
      <c r="K10" s="87"/>
      <c r="L10" s="87"/>
      <c r="M10" s="88"/>
      <c r="N10" s="89" t="e">
        <f>K10/L10</f>
        <v>#DIV/0!</v>
      </c>
      <c r="O10" s="90"/>
      <c r="P10" s="91"/>
      <c r="Q10" s="91"/>
      <c r="R10" s="92"/>
      <c r="S10" s="85" t="e">
        <f t="shared" ref="S10:S15" si="0">AVERAGE(Q10,P10)</f>
        <v>#DIV/0!</v>
      </c>
      <c r="T10" s="55"/>
      <c r="V10" s="51"/>
      <c r="W10" s="181"/>
      <c r="X10" s="6">
        <v>3</v>
      </c>
      <c r="Y10" s="6" t="s">
        <v>95</v>
      </c>
      <c r="Z10" s="6"/>
      <c r="AA10" s="6"/>
      <c r="AB10" s="6"/>
      <c r="AC10" s="6"/>
      <c r="AD10" s="6"/>
      <c r="AE10" s="55"/>
    </row>
    <row r="11" spans="1:31" x14ac:dyDescent="0.2">
      <c r="B11" s="51" t="str">
        <f>_xll.ciqfunctions.udf.CIQ($D$3, "IQ_QUICK_COMP", 2)</f>
        <v>NYSE:DPS</v>
      </c>
      <c r="C11" s="6"/>
      <c r="D11" s="6" t="str">
        <f>_xll.ciqfunctions.udf.CIQ(B11, "IQ_COMPANY_NAME")</f>
        <v>Dr Pepper Snapple Group, Inc.</v>
      </c>
      <c r="E11" s="6"/>
      <c r="F11" s="84"/>
      <c r="G11" s="85">
        <f>_xll.ciqfunctions.udf.CIQ(B11, "IQ_BETA_1YR")</f>
        <v>-0.83501000000000003</v>
      </c>
      <c r="H11" s="6"/>
      <c r="I11" s="85">
        <f>_xll.ciqfunctions.udf.CIQ(B11, "IQ_BETA_2YR")</f>
        <v>-0.27744999999999997</v>
      </c>
      <c r="J11" s="93"/>
      <c r="K11" s="87"/>
      <c r="L11" s="87"/>
      <c r="M11" s="88"/>
      <c r="N11" s="89" t="e">
        <f t="shared" ref="N11:N14" si="1">K11/L11</f>
        <v>#DIV/0!</v>
      </c>
      <c r="O11" s="90"/>
      <c r="P11" s="91"/>
      <c r="Q11" s="91"/>
      <c r="R11" s="92"/>
      <c r="S11" s="85" t="e">
        <f t="shared" si="0"/>
        <v>#DIV/0!</v>
      </c>
      <c r="T11" s="55"/>
      <c r="V11" s="51"/>
      <c r="W11" s="182"/>
      <c r="X11" s="6">
        <v>4</v>
      </c>
      <c r="Y11" s="6" t="s">
        <v>101</v>
      </c>
      <c r="Z11" s="6"/>
      <c r="AA11" s="6"/>
      <c r="AB11" s="6"/>
      <c r="AC11" s="6"/>
      <c r="AD11" s="6"/>
      <c r="AE11" s="55"/>
    </row>
    <row r="12" spans="1:31" x14ac:dyDescent="0.2">
      <c r="B12" s="51" t="str">
        <f>_xll.ciqfunctions.udf.CIQ($D$3, "IQ_QUICK_COMP", 3)</f>
        <v>NasdaqGS:MNST</v>
      </c>
      <c r="C12" s="6"/>
      <c r="D12" s="6" t="str">
        <f>_xll.ciqfunctions.udf.CIQ(B12, "IQ_COMPANY_NAME")</f>
        <v>Monster Beverage Corporation</v>
      </c>
      <c r="E12" s="6"/>
      <c r="F12" s="84"/>
      <c r="G12" s="85">
        <f>_xll.ciqfunctions.udf.CIQ(B12, "IQ_BETA_1YR")</f>
        <v>1.3068</v>
      </c>
      <c r="H12" s="6"/>
      <c r="I12" s="85">
        <f>_xll.ciqfunctions.udf.CIQ(B12, "IQ_BETA_2YR")</f>
        <v>0.87456</v>
      </c>
      <c r="J12" s="93"/>
      <c r="K12" s="87"/>
      <c r="L12" s="87"/>
      <c r="M12" s="88"/>
      <c r="N12" s="89" t="e">
        <f t="shared" si="1"/>
        <v>#DIV/0!</v>
      </c>
      <c r="O12" s="90"/>
      <c r="P12" s="91"/>
      <c r="Q12" s="91"/>
      <c r="R12" s="92"/>
      <c r="S12" s="85" t="e">
        <f t="shared" si="0"/>
        <v>#DIV/0!</v>
      </c>
      <c r="T12" s="55"/>
      <c r="V12" s="51"/>
      <c r="W12" s="183"/>
      <c r="X12" s="6">
        <v>5</v>
      </c>
      <c r="Y12" s="6" t="s">
        <v>102</v>
      </c>
      <c r="Z12" s="6"/>
      <c r="AA12" s="6"/>
      <c r="AB12" s="6"/>
      <c r="AC12" s="6"/>
      <c r="AD12" s="6"/>
      <c r="AE12" s="55"/>
    </row>
    <row r="13" spans="1:31" x14ac:dyDescent="0.2">
      <c r="B13" s="51" t="str">
        <f>_xll.ciqfunctions.udf.CIQ($D$3, "IQ_QUICK_COMP", 4)</f>
        <v>NYSE:STZ</v>
      </c>
      <c r="C13" s="6"/>
      <c r="D13" s="6" t="str">
        <f>_xll.ciqfunctions.udf.CIQ(B13, "IQ_COMPANY_NAME")</f>
        <v>Constellation Brands, Inc.</v>
      </c>
      <c r="E13" s="6"/>
      <c r="F13" s="84"/>
      <c r="G13" s="85">
        <f>_xll.ciqfunctions.udf.CIQ(B13, "IQ_BETA_1YR")</f>
        <v>0.45079999999999998</v>
      </c>
      <c r="H13" s="6"/>
      <c r="I13" s="85">
        <f>_xll.ciqfunctions.udf.CIQ(B13, "IQ_BETA_2YR")</f>
        <v>0.48704999999999998</v>
      </c>
      <c r="J13" s="93"/>
      <c r="K13" s="87"/>
      <c r="L13" s="87"/>
      <c r="M13" s="88"/>
      <c r="N13" s="89" t="e">
        <f t="shared" si="1"/>
        <v>#DIV/0!</v>
      </c>
      <c r="O13" s="90"/>
      <c r="P13" s="91"/>
      <c r="Q13" s="91"/>
      <c r="R13" s="92"/>
      <c r="S13" s="85" t="e">
        <f t="shared" si="0"/>
        <v>#DIV/0!</v>
      </c>
      <c r="T13" s="55"/>
      <c r="V13" s="51"/>
      <c r="W13" s="184"/>
      <c r="X13" s="6">
        <v>6</v>
      </c>
      <c r="Y13" s="6" t="s">
        <v>98</v>
      </c>
      <c r="Z13" s="6"/>
      <c r="AA13" s="6"/>
      <c r="AB13" s="6"/>
      <c r="AC13" s="6"/>
      <c r="AD13" s="6"/>
      <c r="AE13" s="55"/>
    </row>
    <row r="14" spans="1:31" x14ac:dyDescent="0.2">
      <c r="B14" s="51" t="str">
        <f>_xll.ciqfunctions.udf.CIQ($D$3, "IQ_QUICK_COMP", 5)</f>
        <v>ENXTAM:CCE</v>
      </c>
      <c r="C14" s="6"/>
      <c r="D14" s="6" t="str">
        <f>_xll.ciqfunctions.udf.CIQ(B14, "IQ_COMPANY_NAME")</f>
        <v>Coca-Cola European Partners plc</v>
      </c>
      <c r="E14" s="6"/>
      <c r="F14" s="84"/>
      <c r="G14" s="85">
        <f>_xll.ciqfunctions.udf.CIQ(B14, "IQ_BETA_1YR")</f>
        <v>0.49420999999999998</v>
      </c>
      <c r="H14" s="6"/>
      <c r="I14" s="85">
        <f>_xll.ciqfunctions.udf.CIQ(B14, "IQ_BETA_2YR")</f>
        <v>0.52837000000000001</v>
      </c>
      <c r="J14" s="93"/>
      <c r="K14" s="87"/>
      <c r="L14" s="87"/>
      <c r="M14" s="88"/>
      <c r="N14" s="89" t="e">
        <f t="shared" si="1"/>
        <v>#DIV/0!</v>
      </c>
      <c r="O14" s="90"/>
      <c r="P14" s="91"/>
      <c r="Q14" s="91"/>
      <c r="R14" s="92"/>
      <c r="S14" s="85" t="e">
        <f t="shared" si="0"/>
        <v>#DIV/0!</v>
      </c>
      <c r="T14" s="55"/>
      <c r="V14" s="51"/>
      <c r="W14" s="185"/>
      <c r="X14" s="6">
        <v>7</v>
      </c>
      <c r="Y14" s="6" t="s">
        <v>96</v>
      </c>
      <c r="Z14" s="6"/>
      <c r="AA14" s="6"/>
      <c r="AB14" s="6"/>
      <c r="AC14" s="6"/>
      <c r="AD14" s="6"/>
      <c r="AE14" s="55"/>
    </row>
    <row r="15" spans="1:31" x14ac:dyDescent="0.2">
      <c r="B15" s="51" t="str">
        <f>_xll.ciqfunctions.udf.CIQ($D$3, "IQ_QUICK_COMP", 6)</f>
        <v>NYSE:CLX</v>
      </c>
      <c r="C15" s="6"/>
      <c r="D15" s="6" t="str">
        <f>_xll.ciqfunctions.udf.CIQ(B15, "IQ_COMPANY_NAME")</f>
        <v>The Clorox Company</v>
      </c>
      <c r="E15" s="6"/>
      <c r="F15" s="84"/>
      <c r="G15" s="85">
        <f>_xll.ciqfunctions.udf.CIQ(B15, "IQ_BETA_1YR")</f>
        <v>0.42124</v>
      </c>
      <c r="H15" s="6"/>
      <c r="I15" s="85">
        <f>_xll.ciqfunctions.udf.CIQ(B15, "IQ_BETA_2YR")</f>
        <v>0.48470999999999997</v>
      </c>
      <c r="J15" s="93"/>
      <c r="K15" s="87"/>
      <c r="L15" s="87"/>
      <c r="M15" s="88"/>
      <c r="N15" s="89" t="e">
        <f>K15/L15</f>
        <v>#DIV/0!</v>
      </c>
      <c r="O15" s="90"/>
      <c r="P15" s="91"/>
      <c r="Q15" s="91"/>
      <c r="R15" s="92"/>
      <c r="S15" s="85" t="e">
        <f t="shared" si="0"/>
        <v>#DIV/0!</v>
      </c>
      <c r="T15" s="55"/>
      <c r="V15" s="51"/>
      <c r="W15" s="6"/>
      <c r="X15" s="6">
        <v>8</v>
      </c>
      <c r="Y15" s="6" t="s">
        <v>103</v>
      </c>
      <c r="Z15" s="6"/>
      <c r="AA15" s="6"/>
      <c r="AB15" s="6"/>
      <c r="AC15" s="6"/>
      <c r="AD15" s="6"/>
      <c r="AE15" s="55"/>
    </row>
    <row r="16" spans="1:31" x14ac:dyDescent="0.2">
      <c r="B16" s="51"/>
      <c r="C16" s="6"/>
      <c r="D16" s="6"/>
      <c r="E16" s="6"/>
      <c r="F16" s="6"/>
      <c r="G16" s="6"/>
      <c r="H16" s="6"/>
      <c r="I16" s="6"/>
      <c r="J16" s="94"/>
      <c r="K16" s="87"/>
      <c r="L16" s="87"/>
      <c r="M16" s="88"/>
      <c r="N16" s="6"/>
      <c r="O16" s="90"/>
      <c r="P16" s="91"/>
      <c r="Q16" s="91"/>
      <c r="R16" s="92"/>
      <c r="S16" s="6"/>
      <c r="T16" s="55"/>
      <c r="V16" s="68"/>
      <c r="W16" s="7"/>
      <c r="X16" s="7"/>
      <c r="Y16" s="7"/>
      <c r="Z16" s="7"/>
      <c r="AA16" s="7"/>
      <c r="AB16" s="7"/>
      <c r="AC16" s="7"/>
      <c r="AD16" s="7"/>
      <c r="AE16" s="108"/>
    </row>
    <row r="17" spans="2:23" ht="12" thickBot="1" x14ac:dyDescent="0.25">
      <c r="B17" s="51" t="str">
        <f>D3</f>
        <v>PEP</v>
      </c>
      <c r="C17" s="6"/>
      <c r="D17" s="6" t="str">
        <f>_xll.ciqfunctions.udf.CIQ(B17, "IQ_COMPANY_NAME")</f>
        <v>PepsiCo, Inc.</v>
      </c>
      <c r="E17" s="6"/>
      <c r="F17" s="6"/>
      <c r="G17" s="85">
        <f>_xll.ciqfunctions.udf.CIQ(B17, "IQ_BETA_1YR")</f>
        <v>0.49506</v>
      </c>
      <c r="H17" s="6"/>
      <c r="I17" s="85">
        <f>_xll.ciqfunctions.udf.CIQ(B17, "IQ_BETA_2YR")</f>
        <v>0.49176999999999998</v>
      </c>
      <c r="J17" s="93"/>
      <c r="K17" s="87"/>
      <c r="L17" s="87"/>
      <c r="M17" s="88"/>
      <c r="N17" s="89" t="e">
        <f>K17/L17</f>
        <v>#DIV/0!</v>
      </c>
      <c r="O17" s="90"/>
      <c r="P17" s="91"/>
      <c r="Q17" s="91"/>
      <c r="R17" s="92"/>
      <c r="S17" s="85" t="e">
        <f>AVERAGE(Q17,P17)</f>
        <v>#DIV/0!</v>
      </c>
      <c r="T17" s="55"/>
    </row>
    <row r="18" spans="2:23" x14ac:dyDescent="0.2">
      <c r="B18" s="51"/>
      <c r="C18" s="6"/>
      <c r="D18" s="6"/>
      <c r="E18" s="6"/>
      <c r="F18" s="6"/>
      <c r="G18" s="6"/>
      <c r="H18" s="6"/>
      <c r="I18" s="6"/>
      <c r="J18" s="6"/>
      <c r="K18" s="95"/>
      <c r="L18" s="95"/>
      <c r="M18" s="6"/>
      <c r="N18" s="6"/>
      <c r="O18" s="6"/>
      <c r="P18" s="96"/>
      <c r="Q18" s="96"/>
      <c r="R18" s="6"/>
      <c r="S18" s="6"/>
      <c r="T18" s="55"/>
    </row>
    <row r="19" spans="2:23" x14ac:dyDescent="0.2">
      <c r="B19" s="97"/>
      <c r="C19" s="98"/>
      <c r="D19" s="142" t="s">
        <v>42</v>
      </c>
      <c r="E19" s="5"/>
      <c r="F19" s="5"/>
      <c r="G19" s="143">
        <f>MAX(G10:G15)</f>
        <v>1.3068</v>
      </c>
      <c r="H19" s="5"/>
      <c r="I19" s="143">
        <f>MAX(I10:I15)</f>
        <v>0.87456</v>
      </c>
      <c r="J19" s="5"/>
      <c r="K19" s="144">
        <f>MAX(K10:K15)</f>
        <v>0</v>
      </c>
      <c r="L19" s="144">
        <f>MAX(L10:L15)</f>
        <v>0</v>
      </c>
      <c r="M19" s="5"/>
      <c r="N19" s="145" t="e">
        <f>MAX(N10:N15)</f>
        <v>#DIV/0!</v>
      </c>
      <c r="O19" s="5"/>
      <c r="P19" s="143">
        <f>MAX(P10:P15)</f>
        <v>0</v>
      </c>
      <c r="Q19" s="143">
        <f>MAX(Q10:Q15)</f>
        <v>0</v>
      </c>
      <c r="R19" s="5"/>
      <c r="S19" s="146" t="e">
        <f>MAX(S10:S15)</f>
        <v>#DIV/0!</v>
      </c>
      <c r="T19" s="55"/>
    </row>
    <row r="20" spans="2:23" x14ac:dyDescent="0.2">
      <c r="B20" s="97"/>
      <c r="C20" s="98"/>
      <c r="D20" s="72" t="s">
        <v>43</v>
      </c>
      <c r="E20" s="6"/>
      <c r="F20" s="6"/>
      <c r="G20" s="85">
        <f>MIN(G10:G15)</f>
        <v>-0.83501000000000003</v>
      </c>
      <c r="H20" s="6"/>
      <c r="I20" s="85">
        <f>MIN(I10:I15)</f>
        <v>-0.27744999999999997</v>
      </c>
      <c r="J20" s="6"/>
      <c r="K20" s="42">
        <f>MIN(K10:K15)</f>
        <v>0</v>
      </c>
      <c r="L20" s="42">
        <f>MIN(L10:L15)</f>
        <v>0</v>
      </c>
      <c r="M20" s="6"/>
      <c r="N20" s="89" t="e">
        <f>MIN(N10:N15)</f>
        <v>#DIV/0!</v>
      </c>
      <c r="O20" s="6"/>
      <c r="P20" s="85">
        <f>MIN(P10:P15)</f>
        <v>0</v>
      </c>
      <c r="Q20" s="85">
        <f>MIN(Q10:Q15)</f>
        <v>0</v>
      </c>
      <c r="R20" s="6"/>
      <c r="S20" s="147" t="e">
        <f>MIN(S10:S15)</f>
        <v>#DIV/0!</v>
      </c>
      <c r="T20" s="55"/>
    </row>
    <row r="21" spans="2:23" x14ac:dyDescent="0.2">
      <c r="B21" s="99"/>
      <c r="C21" s="100"/>
      <c r="D21" s="72" t="s">
        <v>40</v>
      </c>
      <c r="E21" s="6"/>
      <c r="F21" s="101"/>
      <c r="G21" s="85">
        <f>MEDIAN(G10:G15)</f>
        <v>0.47250499999999995</v>
      </c>
      <c r="H21" s="75"/>
      <c r="I21" s="85">
        <f>MEDIAN(I10:I15)</f>
        <v>0.50770999999999999</v>
      </c>
      <c r="J21" s="6"/>
      <c r="K21" s="42" t="e">
        <f>MEDIAN(K10:K15)</f>
        <v>#NUM!</v>
      </c>
      <c r="L21" s="42" t="e">
        <f>MEDIAN(L10:L15)</f>
        <v>#NUM!</v>
      </c>
      <c r="M21" s="6"/>
      <c r="N21" s="89" t="e">
        <f>MEDIAN(N10:N15)</f>
        <v>#DIV/0!</v>
      </c>
      <c r="O21" s="6"/>
      <c r="P21" s="85" t="e">
        <f>MEDIAN(P10:P15)</f>
        <v>#NUM!</v>
      </c>
      <c r="Q21" s="85" t="e">
        <f>MEDIAN(Q10:Q15)</f>
        <v>#NUM!</v>
      </c>
      <c r="R21" s="6"/>
      <c r="S21" s="147" t="e">
        <f>MEDIAN(S10:S15)</f>
        <v>#DIV/0!</v>
      </c>
      <c r="T21" s="55"/>
    </row>
    <row r="22" spans="2:23" x14ac:dyDescent="0.2">
      <c r="B22" s="72"/>
      <c r="C22" s="73"/>
      <c r="D22" s="102" t="s">
        <v>41</v>
      </c>
      <c r="E22" s="7"/>
      <c r="F22" s="7"/>
      <c r="G22" s="104">
        <f>AVERAGE(G10:G15)</f>
        <v>0.44998166666666667</v>
      </c>
      <c r="H22" s="105"/>
      <c r="I22" s="104">
        <f>AVERAGE(I10:I15)</f>
        <v>0.47789333333333328</v>
      </c>
      <c r="J22" s="7"/>
      <c r="K22" s="106" t="e">
        <f>AVERAGE(K10:K15)</f>
        <v>#DIV/0!</v>
      </c>
      <c r="L22" s="106" t="e">
        <f>AVERAGE(L10:L15)</f>
        <v>#DIV/0!</v>
      </c>
      <c r="M22" s="7"/>
      <c r="N22" s="107" t="e">
        <f>AVERAGE(N10:N15)</f>
        <v>#DIV/0!</v>
      </c>
      <c r="O22" s="7"/>
      <c r="P22" s="104" t="e">
        <f>AVERAGE(P10:P15)</f>
        <v>#DIV/0!</v>
      </c>
      <c r="Q22" s="104" t="e">
        <f>AVERAGE(Q10:Q15)</f>
        <v>#DIV/0!</v>
      </c>
      <c r="R22" s="7"/>
      <c r="S22" s="148" t="e">
        <f>AVERAGE(S10:S15)</f>
        <v>#DIV/0!</v>
      </c>
      <c r="T22" s="55"/>
    </row>
    <row r="23" spans="2:23" x14ac:dyDescent="0.2">
      <c r="B23" s="102"/>
      <c r="C23" s="103"/>
      <c r="D23" s="103"/>
      <c r="E23" s="7"/>
      <c r="F23" s="7"/>
      <c r="G23" s="104"/>
      <c r="H23" s="105"/>
      <c r="I23" s="104"/>
      <c r="J23" s="7"/>
      <c r="K23" s="106"/>
      <c r="L23" s="106"/>
      <c r="M23" s="7"/>
      <c r="N23" s="107"/>
      <c r="O23" s="7"/>
      <c r="P23" s="104"/>
      <c r="Q23" s="104"/>
      <c r="R23" s="7"/>
      <c r="S23" s="104"/>
      <c r="T23" s="108"/>
    </row>
    <row r="24" spans="2:23" x14ac:dyDescent="0.2">
      <c r="B24" s="27"/>
      <c r="C24" s="27"/>
      <c r="G24" s="109"/>
      <c r="H24" s="109"/>
    </row>
    <row r="25" spans="2:23" ht="12" thickBot="1" x14ac:dyDescent="0.25">
      <c r="B25" s="156" t="s">
        <v>61</v>
      </c>
      <c r="C25" s="156"/>
      <c r="D25" s="157"/>
      <c r="E25" s="157"/>
      <c r="F25" s="157"/>
      <c r="G25" s="159"/>
      <c r="H25" s="159"/>
      <c r="I25" s="157"/>
      <c r="J25" s="160"/>
      <c r="L25" s="156" t="s">
        <v>62</v>
      </c>
      <c r="M25" s="157"/>
      <c r="N25" s="161"/>
      <c r="O25" s="157"/>
      <c r="P25" s="157"/>
      <c r="Q25" s="157"/>
      <c r="R25" s="157"/>
      <c r="S25" s="157"/>
      <c r="T25" s="158"/>
      <c r="W25" s="1" t="str">
        <f>PROPER(W16)</f>
        <v/>
      </c>
    </row>
    <row r="26" spans="2:23" ht="12.75" thickTop="1" thickBot="1" x14ac:dyDescent="0.25">
      <c r="B26" s="110" t="s">
        <v>87</v>
      </c>
      <c r="D26" s="111">
        <v>10</v>
      </c>
      <c r="E26" s="6"/>
      <c r="F26" s="6" t="s">
        <v>46</v>
      </c>
      <c r="G26" s="6"/>
      <c r="I26" s="112">
        <f>DCF!E5</f>
        <v>0.21</v>
      </c>
      <c r="J26" s="113"/>
      <c r="L26" s="49" t="s">
        <v>90</v>
      </c>
      <c r="M26" s="75"/>
      <c r="N26" s="114"/>
      <c r="O26" s="75"/>
      <c r="P26" s="75"/>
      <c r="Q26" s="115" t="s">
        <v>107</v>
      </c>
      <c r="R26" s="75"/>
      <c r="S26" s="89">
        <f>D27</f>
        <v>2.3279999999999999E-2</v>
      </c>
      <c r="T26" s="55"/>
    </row>
    <row r="27" spans="2:23" ht="12.75" thickTop="1" thickBot="1" x14ac:dyDescent="0.25">
      <c r="B27" s="110" t="s">
        <v>45</v>
      </c>
      <c r="C27" s="73"/>
      <c r="D27" s="116">
        <f>VLOOKUP(D26,B35:D37,3,FALSE)</f>
        <v>2.3279999999999999E-2</v>
      </c>
      <c r="E27" s="6"/>
      <c r="F27" s="6" t="s">
        <v>49</v>
      </c>
      <c r="G27" s="6"/>
      <c r="H27" s="6"/>
      <c r="I27" s="117"/>
      <c r="J27" s="55"/>
      <c r="L27" s="51" t="s">
        <v>50</v>
      </c>
      <c r="M27" s="6"/>
      <c r="N27" s="89">
        <f>K35/K36</f>
        <v>0.2458189372652185</v>
      </c>
      <c r="Q27" s="1" t="s">
        <v>91</v>
      </c>
      <c r="S27" s="118"/>
      <c r="T27" s="55"/>
    </row>
    <row r="28" spans="2:23" ht="12.75" thickTop="1" thickBot="1" x14ac:dyDescent="0.25">
      <c r="B28" s="110" t="s">
        <v>47</v>
      </c>
      <c r="C28" s="6"/>
      <c r="D28" s="119">
        <v>300</v>
      </c>
      <c r="E28" s="6"/>
      <c r="F28" s="73" t="s">
        <v>48</v>
      </c>
      <c r="G28" s="6"/>
      <c r="H28" s="6"/>
      <c r="I28" s="120"/>
      <c r="J28" s="55"/>
      <c r="L28" s="51" t="s">
        <v>33</v>
      </c>
      <c r="M28" s="6"/>
      <c r="N28" s="121"/>
      <c r="Q28" s="6" t="s">
        <v>51</v>
      </c>
      <c r="R28" s="6"/>
      <c r="S28" s="89">
        <v>7.0000000000000007E-2</v>
      </c>
      <c r="T28" s="55"/>
    </row>
    <row r="29" spans="2:23" ht="12.75" thickTop="1" thickBot="1" x14ac:dyDescent="0.25">
      <c r="B29" s="122"/>
      <c r="C29" s="7"/>
      <c r="D29" s="123"/>
      <c r="E29" s="7"/>
      <c r="F29" s="7"/>
      <c r="G29" s="7"/>
      <c r="H29" s="7"/>
      <c r="I29" s="7"/>
      <c r="J29" s="108"/>
      <c r="L29" s="51" t="s">
        <v>106</v>
      </c>
      <c r="M29" s="6"/>
      <c r="N29" s="124">
        <f>_xll.ciqfunctions.udf.CIQ(D3, "IQ_BETA_5YR")</f>
        <v>0.70537000000000005</v>
      </c>
      <c r="Q29" s="73" t="s">
        <v>52</v>
      </c>
      <c r="R29" s="6"/>
      <c r="S29" s="125"/>
      <c r="T29" s="55"/>
    </row>
    <row r="30" spans="2:23" ht="12" thickTop="1" x14ac:dyDescent="0.2">
      <c r="B30" s="6"/>
      <c r="C30" s="6"/>
      <c r="D30" s="119"/>
      <c r="E30" s="6"/>
      <c r="F30" s="6"/>
      <c r="G30" s="6"/>
      <c r="H30" s="6"/>
      <c r="I30" s="6"/>
      <c r="J30" s="6"/>
      <c r="L30" s="68"/>
      <c r="M30" s="7"/>
      <c r="N30" s="126"/>
      <c r="O30" s="7"/>
      <c r="P30" s="7"/>
      <c r="Q30" s="7"/>
      <c r="R30" s="7"/>
      <c r="S30" s="107"/>
      <c r="T30" s="108"/>
      <c r="W30" s="6"/>
    </row>
    <row r="31" spans="2:23" x14ac:dyDescent="0.2">
      <c r="B31" s="6"/>
      <c r="C31" s="6"/>
      <c r="D31" s="119"/>
      <c r="E31" s="6"/>
      <c r="F31" s="6"/>
      <c r="G31" s="6"/>
      <c r="H31" s="6"/>
      <c r="I31" s="6"/>
      <c r="J31" s="6"/>
      <c r="L31" s="6"/>
      <c r="M31" s="6"/>
      <c r="N31" s="127"/>
      <c r="O31" s="6"/>
      <c r="P31" s="6"/>
      <c r="Q31" s="6"/>
      <c r="R31" s="6"/>
      <c r="S31" s="89"/>
      <c r="T31" s="6"/>
      <c r="W31" s="6"/>
    </row>
    <row r="32" spans="2:23" x14ac:dyDescent="0.2">
      <c r="B32" s="6"/>
      <c r="C32" s="6"/>
      <c r="D32" s="6"/>
      <c r="E32" s="6"/>
      <c r="F32" s="6"/>
      <c r="G32" s="6"/>
      <c r="H32" s="6"/>
      <c r="I32" s="6"/>
      <c r="J32" s="6"/>
      <c r="L32" s="6"/>
      <c r="M32" s="6"/>
      <c r="N32" s="127"/>
      <c r="O32" s="6"/>
      <c r="P32" s="6"/>
      <c r="Q32" s="6"/>
      <c r="R32" s="6"/>
      <c r="S32" s="89"/>
      <c r="T32" s="6"/>
      <c r="W32" s="6"/>
    </row>
    <row r="33" spans="2:23" x14ac:dyDescent="0.2">
      <c r="B33" s="155" t="s">
        <v>86</v>
      </c>
      <c r="C33" s="156"/>
      <c r="D33" s="162"/>
      <c r="F33" s="155" t="s">
        <v>63</v>
      </c>
      <c r="G33" s="163"/>
      <c r="H33" s="157"/>
      <c r="I33" s="164"/>
      <c r="J33" s="157"/>
      <c r="K33" s="156"/>
      <c r="L33" s="163"/>
      <c r="M33" s="157"/>
      <c r="N33" s="157"/>
      <c r="O33" s="157"/>
      <c r="P33" s="160"/>
      <c r="Q33" s="160"/>
      <c r="W33" s="6"/>
    </row>
    <row r="34" spans="2:23" ht="12" thickBot="1" x14ac:dyDescent="0.25">
      <c r="B34" s="165" t="s">
        <v>85</v>
      </c>
      <c r="C34" s="80"/>
      <c r="D34" s="166" t="s">
        <v>81</v>
      </c>
      <c r="F34" s="51"/>
      <c r="G34" s="6"/>
      <c r="H34" s="6"/>
      <c r="I34" s="6"/>
      <c r="J34" s="6"/>
      <c r="K34" s="36" t="s">
        <v>56</v>
      </c>
      <c r="L34" s="36" t="s">
        <v>64</v>
      </c>
      <c r="M34" s="128"/>
      <c r="N34" s="36" t="s">
        <v>54</v>
      </c>
      <c r="O34" s="128"/>
      <c r="P34" s="129" t="s">
        <v>55</v>
      </c>
      <c r="Q34" s="55"/>
      <c r="W34" s="6"/>
    </row>
    <row r="35" spans="2:23" ht="12" customHeight="1" thickTop="1" thickBot="1" x14ac:dyDescent="0.25">
      <c r="B35" s="130">
        <v>5</v>
      </c>
      <c r="C35" s="131" t="s">
        <v>83</v>
      </c>
      <c r="D35" s="132">
        <f>_xll.ciqfunctions.udf.CIQ(C35, "IQ_CLOSEPRICE", D4)/100</f>
        <v>1.9189999999999999E-2</v>
      </c>
      <c r="F35" s="51"/>
      <c r="G35" s="6" t="s">
        <v>35</v>
      </c>
      <c r="H35" s="6"/>
      <c r="I35" s="6"/>
      <c r="J35" s="6"/>
      <c r="K35" s="42">
        <f>_xll.ciqfunctions.udf.CIQ(D3, "IQ_TOTAL_DEBT", IQ_LTM)</f>
        <v>39281</v>
      </c>
      <c r="L35" s="133">
        <f>K35/$K$37</f>
        <v>0.19731513939323503</v>
      </c>
      <c r="M35" s="6"/>
      <c r="N35" s="89">
        <f>I28</f>
        <v>0</v>
      </c>
      <c r="O35" s="6"/>
      <c r="P35" s="134"/>
      <c r="Q35" s="55"/>
      <c r="W35" s="6"/>
    </row>
    <row r="36" spans="2:23" ht="12.75" thickTop="1" thickBot="1" x14ac:dyDescent="0.25">
      <c r="B36" s="130">
        <v>10</v>
      </c>
      <c r="C36" s="135" t="s">
        <v>82</v>
      </c>
      <c r="D36" s="136">
        <f>_xll.ciqfunctions.udf.CIQ(C36, "IQ_CLOSEPRICE", D4)/100</f>
        <v>2.3279999999999999E-2</v>
      </c>
      <c r="F36" s="51"/>
      <c r="G36" s="6" t="s">
        <v>53</v>
      </c>
      <c r="H36" s="6"/>
      <c r="I36" s="6"/>
      <c r="J36" s="6"/>
      <c r="K36" s="106">
        <f>_xll.ciqfunctions.udf.CIQ(D3, "IQ_MARKETCAP", $D$4)</f>
        <v>159796.47636999999</v>
      </c>
      <c r="L36" s="137">
        <f>K36/$K$37</f>
        <v>0.80268486060676503</v>
      </c>
      <c r="M36" s="6"/>
      <c r="N36" s="89">
        <f>S29</f>
        <v>0</v>
      </c>
      <c r="O36" s="6"/>
      <c r="P36" s="134"/>
      <c r="Q36" s="55"/>
      <c r="W36" s="6"/>
    </row>
    <row r="37" spans="2:23" ht="12.75" thickTop="1" thickBot="1" x14ac:dyDescent="0.25">
      <c r="B37" s="122">
        <v>30</v>
      </c>
      <c r="C37" s="138" t="s">
        <v>84</v>
      </c>
      <c r="D37" s="139">
        <f>_xll.ciqfunctions.udf.CIQ(C37, "IQ_CLOSEPRICE", D5)/100</f>
        <v>2.8590000000000001E-2</v>
      </c>
      <c r="F37" s="51"/>
      <c r="G37" s="73" t="s">
        <v>28</v>
      </c>
      <c r="H37" s="6"/>
      <c r="I37" s="6"/>
      <c r="J37" s="6"/>
      <c r="K37" s="42">
        <f>SUM(K35:K36)</f>
        <v>199077.47636999999</v>
      </c>
      <c r="L37" s="140">
        <f>SUM(L35:L36)</f>
        <v>1</v>
      </c>
      <c r="M37" s="6"/>
      <c r="N37" s="73" t="s">
        <v>12</v>
      </c>
      <c r="O37" s="6"/>
      <c r="P37" s="141">
        <f>SUM(P35:P36)</f>
        <v>0</v>
      </c>
      <c r="Q37" s="55"/>
      <c r="W37" s="6"/>
    </row>
    <row r="38" spans="2:23" ht="12" thickTop="1" x14ac:dyDescent="0.2">
      <c r="F38" s="68"/>
      <c r="G38" s="7"/>
      <c r="H38" s="7"/>
      <c r="I38" s="7"/>
      <c r="J38" s="7"/>
      <c r="K38" s="7"/>
      <c r="L38" s="7"/>
      <c r="M38" s="7"/>
      <c r="N38" s="103"/>
      <c r="O38" s="7"/>
      <c r="P38" s="7"/>
      <c r="Q38" s="108"/>
      <c r="W38" s="6"/>
    </row>
    <row r="39" spans="2:23" x14ac:dyDescent="0.2">
      <c r="W39" s="6"/>
    </row>
  </sheetData>
  <phoneticPr fontId="1" type="noConversion"/>
  <dataValidations count="1">
    <dataValidation type="list" allowBlank="1" showInputMessage="1" showErrorMessage="1" sqref="D26">
      <formula1>$B$35:$B$37</formula1>
    </dataValidation>
  </dataValidations>
  <printOptions horizontalCentered="1"/>
  <pageMargins left="0.25" right="0.25" top="0.5" bottom="0.5" header="0.5" footer="0.5"/>
  <pageSetup orientation="landscape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WC</vt:lpstr>
      <vt:lpstr>DCF</vt:lpstr>
      <vt:lpstr>Sensitivity Analysis</vt:lpstr>
      <vt:lpstr>Sheet13</vt:lpstr>
      <vt:lpstr>WC(COPY)</vt:lpstr>
      <vt:lpstr>DCF(COPY)</vt:lpstr>
      <vt:lpstr>WACC</vt:lpstr>
    </vt:vector>
  </TitlesOfParts>
  <Company>Prairie Capital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T43-USER</dc:creator>
  <cp:lastModifiedBy>mil44</cp:lastModifiedBy>
  <cp:lastPrinted>2018-03-12T19:59:43Z</cp:lastPrinted>
  <dcterms:created xsi:type="dcterms:W3CDTF">2009-07-14T00:08:14Z</dcterms:created>
  <dcterms:modified xsi:type="dcterms:W3CDTF">2018-03-27T20:20:35Z</dcterms:modified>
</cp:coreProperties>
</file>