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5/"/>
    </mc:Choice>
  </mc:AlternateContent>
  <xr:revisionPtr revIDLastSave="0" documentId="10_ncr:8100000_{1557F8E7-CE36-264F-92E3-765920632038}" xr6:coauthVersionLast="32" xr6:coauthVersionMax="32" xr10:uidLastSave="{00000000-0000-0000-0000-000000000000}"/>
  <bookViews>
    <workbookView xWindow="20" yWindow="460" windowWidth="25600" windowHeight="14520" activeTab="5" xr2:uid="{00000000-000D-0000-FFFF-FFFF00000000}"/>
  </bookViews>
  <sheets>
    <sheet name="Ex9 modified" sheetId="2" r:id="rId1"/>
    <sheet name="part_a" sheetId="3" r:id="rId2"/>
    <sheet name="part_b" sheetId="4" r:id="rId3"/>
    <sheet name="part_c" sheetId="5" r:id="rId4"/>
    <sheet name="part_d" sheetId="6" r:id="rId5"/>
    <sheet name="Summary" sheetId="7" r:id="rId6"/>
  </sheets>
  <definedNames>
    <definedName name="_AMO_UniqueIdentifier" hidden="1">"'46d9ed12-53bc-43b9-a4f8-c31406f5585f'"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6" l="1"/>
  <c r="C38" i="5" l="1"/>
  <c r="B5" i="7"/>
  <c r="B2" i="7"/>
  <c r="I21" i="6"/>
  <c r="H21" i="6"/>
  <c r="G21" i="6"/>
  <c r="F21" i="6"/>
  <c r="E21" i="6"/>
  <c r="C44" i="6" l="1"/>
  <c r="D42" i="6"/>
  <c r="H37" i="6"/>
  <c r="G37" i="6"/>
  <c r="F37" i="6"/>
  <c r="E37" i="6"/>
  <c r="D37" i="6"/>
  <c r="I39" i="6" l="1"/>
  <c r="H39" i="6"/>
  <c r="G39" i="6"/>
  <c r="F39" i="6"/>
  <c r="D40" i="6" s="1"/>
  <c r="E39" i="6"/>
  <c r="I36" i="6"/>
  <c r="H36" i="6"/>
  <c r="G36" i="6"/>
  <c r="F36" i="6"/>
  <c r="I35" i="6"/>
  <c r="F35" i="6"/>
  <c r="H34" i="6"/>
  <c r="H35" i="6" s="1"/>
  <c r="F34" i="6"/>
  <c r="I33" i="6"/>
  <c r="H33" i="6"/>
  <c r="G33" i="6"/>
  <c r="F33" i="6"/>
  <c r="E36" i="6"/>
  <c r="E35" i="6"/>
  <c r="E34" i="6"/>
  <c r="E33" i="6"/>
  <c r="D36" i="6"/>
  <c r="G34" i="6" l="1"/>
  <c r="G35" i="6" s="1"/>
  <c r="C30" i="6" l="1"/>
  <c r="I28" i="6"/>
  <c r="H28" i="6"/>
  <c r="G28" i="6"/>
  <c r="F28" i="6"/>
  <c r="E28" i="6"/>
  <c r="I26" i="6"/>
  <c r="H26" i="6"/>
  <c r="G26" i="6"/>
  <c r="F26" i="6"/>
  <c r="E26" i="6"/>
  <c r="E19" i="6"/>
  <c r="E20" i="6" s="1"/>
  <c r="C30" i="5"/>
  <c r="I28" i="5"/>
  <c r="H28" i="5"/>
  <c r="G28" i="5"/>
  <c r="F28" i="5"/>
  <c r="E28" i="5"/>
  <c r="I26" i="5"/>
  <c r="H26" i="5"/>
  <c r="G26" i="5"/>
  <c r="F26" i="5"/>
  <c r="E26" i="5"/>
  <c r="E19" i="5"/>
  <c r="E27" i="5" s="1"/>
  <c r="C38" i="3"/>
  <c r="C30" i="4"/>
  <c r="I28" i="4"/>
  <c r="H28" i="4"/>
  <c r="G28" i="4"/>
  <c r="F28" i="4"/>
  <c r="E28" i="4"/>
  <c r="I26" i="4"/>
  <c r="H26" i="4"/>
  <c r="G26" i="4"/>
  <c r="F26" i="4"/>
  <c r="E26" i="4"/>
  <c r="E19" i="4"/>
  <c r="E27" i="4" s="1"/>
  <c r="C30" i="3"/>
  <c r="I28" i="3"/>
  <c r="H28" i="3"/>
  <c r="G28" i="3"/>
  <c r="F28" i="3"/>
  <c r="E28" i="3"/>
  <c r="I26" i="3"/>
  <c r="H26" i="3"/>
  <c r="G26" i="3"/>
  <c r="F26" i="3"/>
  <c r="E26" i="3"/>
  <c r="E19" i="3"/>
  <c r="E27" i="3" s="1"/>
  <c r="E22" i="6" l="1"/>
  <c r="E30" i="6"/>
  <c r="E29" i="6"/>
  <c r="E32" i="6" s="1"/>
  <c r="F19" i="6"/>
  <c r="E27" i="6"/>
  <c r="F19" i="5"/>
  <c r="E20" i="5"/>
  <c r="F19" i="4"/>
  <c r="E20" i="4"/>
  <c r="F19" i="3"/>
  <c r="E20" i="3"/>
  <c r="I31" i="2"/>
  <c r="F27" i="6" l="1"/>
  <c r="F20" i="6"/>
  <c r="G19" i="6"/>
  <c r="E23" i="6"/>
  <c r="E24" i="6" s="1"/>
  <c r="E22" i="5"/>
  <c r="E29" i="5"/>
  <c r="E32" i="5" s="1"/>
  <c r="E30" i="5"/>
  <c r="F27" i="5"/>
  <c r="F20" i="5"/>
  <c r="G19" i="5"/>
  <c r="E30" i="4"/>
  <c r="E22" i="4"/>
  <c r="E29" i="4"/>
  <c r="E32" i="4" s="1"/>
  <c r="F20" i="4"/>
  <c r="G19" i="4"/>
  <c r="F27" i="4"/>
  <c r="E30" i="3"/>
  <c r="E22" i="3"/>
  <c r="E29" i="3"/>
  <c r="E32" i="3" s="1"/>
  <c r="F20" i="3"/>
  <c r="G19" i="3"/>
  <c r="F27" i="3"/>
  <c r="C30" i="2"/>
  <c r="G20" i="6" l="1"/>
  <c r="H19" i="6"/>
  <c r="G27" i="6"/>
  <c r="F30" i="6"/>
  <c r="F22" i="6"/>
  <c r="F29" i="6"/>
  <c r="F32" i="6" s="1"/>
  <c r="G20" i="5"/>
  <c r="H19" i="5"/>
  <c r="G27" i="5"/>
  <c r="F30" i="5"/>
  <c r="F22" i="5"/>
  <c r="F29" i="5"/>
  <c r="F32" i="5" s="1"/>
  <c r="E23" i="5"/>
  <c r="E24" i="5" s="1"/>
  <c r="E23" i="4"/>
  <c r="E24" i="4" s="1"/>
  <c r="F29" i="4"/>
  <c r="F32" i="4" s="1"/>
  <c r="F30" i="4"/>
  <c r="F22" i="4"/>
  <c r="G27" i="4"/>
  <c r="G20" i="4"/>
  <c r="H19" i="4"/>
  <c r="E23" i="3"/>
  <c r="E24" i="3" s="1"/>
  <c r="F29" i="3"/>
  <c r="F32" i="3" s="1"/>
  <c r="F22" i="3"/>
  <c r="F30" i="3"/>
  <c r="G27" i="3"/>
  <c r="H19" i="3"/>
  <c r="G20" i="3"/>
  <c r="F26" i="2"/>
  <c r="G26" i="2"/>
  <c r="H26" i="2"/>
  <c r="I26" i="2"/>
  <c r="E26" i="2"/>
  <c r="H20" i="6" l="1"/>
  <c r="I19" i="6"/>
  <c r="H27" i="6"/>
  <c r="F23" i="6"/>
  <c r="F24" i="6" s="1"/>
  <c r="G29" i="6"/>
  <c r="G32" i="6" s="1"/>
  <c r="G30" i="6"/>
  <c r="G22" i="6"/>
  <c r="I19" i="5"/>
  <c r="H27" i="5"/>
  <c r="H20" i="5"/>
  <c r="F24" i="5"/>
  <c r="F23" i="5"/>
  <c r="G30" i="5"/>
  <c r="G29" i="5"/>
  <c r="G32" i="5" s="1"/>
  <c r="G22" i="5"/>
  <c r="F23" i="4"/>
  <c r="F24" i="4" s="1"/>
  <c r="G29" i="4"/>
  <c r="G32" i="4" s="1"/>
  <c r="G30" i="4"/>
  <c r="G22" i="4"/>
  <c r="H27" i="4"/>
  <c r="H20" i="4"/>
  <c r="I19" i="4"/>
  <c r="H27" i="3"/>
  <c r="H20" i="3"/>
  <c r="I19" i="3"/>
  <c r="G29" i="3"/>
  <c r="G32" i="3" s="1"/>
  <c r="G22" i="3"/>
  <c r="G30" i="3"/>
  <c r="F23" i="3"/>
  <c r="F24" i="3" s="1"/>
  <c r="I28" i="2"/>
  <c r="H28" i="2"/>
  <c r="G28" i="2"/>
  <c r="F28" i="2"/>
  <c r="E28" i="2"/>
  <c r="E19" i="2"/>
  <c r="E27" i="2" s="1"/>
  <c r="I27" i="6" l="1"/>
  <c r="I20" i="6"/>
  <c r="H29" i="6"/>
  <c r="H32" i="6" s="1"/>
  <c r="H30" i="6"/>
  <c r="H22" i="6"/>
  <c r="G23" i="6"/>
  <c r="G24" i="6" s="1"/>
  <c r="G23" i="5"/>
  <c r="G24" i="5" s="1"/>
  <c r="H29" i="5"/>
  <c r="H32" i="5" s="1"/>
  <c r="H30" i="5"/>
  <c r="H22" i="5"/>
  <c r="I27" i="5"/>
  <c r="I20" i="5"/>
  <c r="H30" i="4"/>
  <c r="H22" i="4"/>
  <c r="H29" i="4"/>
  <c r="H32" i="4" s="1"/>
  <c r="G23" i="4"/>
  <c r="G24" i="4" s="1"/>
  <c r="I27" i="4"/>
  <c r="I20" i="4"/>
  <c r="I27" i="3"/>
  <c r="I20" i="3"/>
  <c r="H22" i="3"/>
  <c r="H30" i="3"/>
  <c r="H29" i="3"/>
  <c r="H32" i="3" s="1"/>
  <c r="G23" i="3"/>
  <c r="G24" i="3" s="1"/>
  <c r="F19" i="2"/>
  <c r="E20" i="2"/>
  <c r="I22" i="6" l="1"/>
  <c r="I29" i="6"/>
  <c r="I30" i="6"/>
  <c r="H23" i="6"/>
  <c r="H24" i="6" s="1"/>
  <c r="I22" i="5"/>
  <c r="I30" i="5"/>
  <c r="I31" i="5" s="1"/>
  <c r="I29" i="5"/>
  <c r="I32" i="5" s="1"/>
  <c r="D33" i="5" s="1"/>
  <c r="D36" i="5" s="1"/>
  <c r="H23" i="5"/>
  <c r="H24" i="5" s="1"/>
  <c r="I30" i="4"/>
  <c r="I31" i="4" s="1"/>
  <c r="I22" i="4"/>
  <c r="I29" i="4"/>
  <c r="I32" i="4" s="1"/>
  <c r="H23" i="4"/>
  <c r="H24" i="4" s="1"/>
  <c r="H23" i="3"/>
  <c r="H24" i="3"/>
  <c r="I30" i="3"/>
  <c r="I31" i="3" s="1"/>
  <c r="I22" i="3"/>
  <c r="I29" i="3"/>
  <c r="E30" i="2"/>
  <c r="E29" i="2"/>
  <c r="E32" i="2" s="1"/>
  <c r="E22" i="2"/>
  <c r="E23" i="2" s="1"/>
  <c r="G19" i="2"/>
  <c r="G27" i="2" s="1"/>
  <c r="F27" i="2"/>
  <c r="F20" i="2"/>
  <c r="F30" i="2" s="1"/>
  <c r="D33" i="4" l="1"/>
  <c r="D36" i="4" s="1"/>
  <c r="I32" i="6"/>
  <c r="I23" i="6"/>
  <c r="I24" i="6"/>
  <c r="I23" i="5"/>
  <c r="I24" i="5" s="1"/>
  <c r="I23" i="4"/>
  <c r="I24" i="4" s="1"/>
  <c r="I23" i="3"/>
  <c r="I24" i="3" s="1"/>
  <c r="I32" i="3"/>
  <c r="D33" i="3" s="1"/>
  <c r="D36" i="3" s="1"/>
  <c r="G20" i="2"/>
  <c r="G30" i="2" s="1"/>
  <c r="F29" i="2"/>
  <c r="F32" i="2" s="1"/>
  <c r="H19" i="2"/>
  <c r="H27" i="2" s="1"/>
  <c r="E24" i="2"/>
  <c r="B4" i="7" l="1"/>
  <c r="C38" i="4"/>
  <c r="B3" i="7" s="1"/>
  <c r="D38" i="6"/>
  <c r="G29" i="2"/>
  <c r="G32" i="2" s="1"/>
  <c r="H20" i="2"/>
  <c r="I19" i="2"/>
  <c r="I27" i="2" s="1"/>
  <c r="H29" i="2" l="1"/>
  <c r="H32" i="2" s="1"/>
  <c r="H30" i="2"/>
  <c r="I20" i="2"/>
  <c r="F22" i="2"/>
  <c r="I29" i="2" l="1"/>
  <c r="I30" i="2"/>
  <c r="F23" i="2"/>
  <c r="F24" i="2" s="1"/>
  <c r="I32" i="2" l="1"/>
  <c r="D33" i="2" s="1"/>
  <c r="G22" i="2"/>
  <c r="G23" i="2" l="1"/>
  <c r="G24" i="2" s="1"/>
  <c r="H22" i="2" l="1"/>
  <c r="H23" i="2" l="1"/>
  <c r="H24" i="2" s="1"/>
  <c r="D36" i="2" l="1"/>
  <c r="I22" i="2"/>
  <c r="I23" i="2" l="1"/>
  <c r="I24" i="2" s="1"/>
</calcChain>
</file>

<file path=xl/sharedStrings.xml><?xml version="1.0" encoding="utf-8"?>
<sst xmlns="http://schemas.openxmlformats.org/spreadsheetml/2006/main" count="235" uniqueCount="46">
  <si>
    <t>DuPont Performance Coatings</t>
  </si>
  <si>
    <t>Metric</t>
  </si>
  <si>
    <t>Closing</t>
  </si>
  <si>
    <t>Projected</t>
  </si>
  <si>
    <t>2011A</t>
  </si>
  <si>
    <t>2012E</t>
  </si>
  <si>
    <t>2013E</t>
  </si>
  <si>
    <t>2014E</t>
  </si>
  <si>
    <t>2015E</t>
  </si>
  <si>
    <t>2016E</t>
  </si>
  <si>
    <t>Sales Growth (%)</t>
  </si>
  <si>
    <t>Depreciation and Amortization</t>
  </si>
  <si>
    <t>EBIT Margin (Pretax)</t>
  </si>
  <si>
    <t>Capital Expenditures</t>
  </si>
  <si>
    <t>Net Working Capital (%)</t>
  </si>
  <si>
    <t>Cost of debt</t>
  </si>
  <si>
    <t>Unlevered Cost of Equity</t>
  </si>
  <si>
    <t>APV Analysis</t>
  </si>
  <si>
    <t>Net Sales</t>
  </si>
  <si>
    <t>EBITDA</t>
  </si>
  <si>
    <t>Pretax Operating Income (EBIT)</t>
  </si>
  <si>
    <t>Interest Expense</t>
  </si>
  <si>
    <t>Earnings before Taxes</t>
  </si>
  <si>
    <t xml:space="preserve">Taxes </t>
  </si>
  <si>
    <t>Net Income</t>
  </si>
  <si>
    <t>Increase in Net Working Capital</t>
  </si>
  <si>
    <t>Terminal Value</t>
  </si>
  <si>
    <t>Enterprise Value (EV)</t>
  </si>
  <si>
    <t>Interest Tax Shield</t>
  </si>
  <si>
    <t xml:space="preserve">PV Tax Shield </t>
  </si>
  <si>
    <t>EV with Tax Shield</t>
  </si>
  <si>
    <r>
      <t>Tax Rate</t>
    </r>
    <r>
      <rPr>
        <vertAlign val="superscript"/>
        <sz val="11"/>
        <color theme="1"/>
        <rFont val="맑은 고딕"/>
        <family val="2"/>
        <scheme val="minor"/>
      </rPr>
      <t>1</t>
    </r>
  </si>
  <si>
    <r>
      <t xml:space="preserve">Terminal EBITDA Multiple (×) </t>
    </r>
    <r>
      <rPr>
        <vertAlign val="superscript"/>
        <sz val="11"/>
        <color theme="1"/>
        <rFont val="맑은 고딕"/>
        <family val="2"/>
        <scheme val="minor"/>
      </rPr>
      <t>2</t>
    </r>
  </si>
  <si>
    <t>Free Cash Flow  (FCF)</t>
  </si>
  <si>
    <t>FCF, including TV</t>
  </si>
  <si>
    <t>Increase</t>
    <phoneticPr fontId="7" type="noConversion"/>
  </si>
  <si>
    <t>Debt</t>
    <phoneticPr fontId="7" type="noConversion"/>
  </si>
  <si>
    <t>FCFE</t>
    <phoneticPr fontId="7" type="noConversion"/>
  </si>
  <si>
    <t>Change in Debt</t>
    <phoneticPr fontId="7" type="noConversion"/>
  </si>
  <si>
    <t>After tax interest expense</t>
    <phoneticPr fontId="7" type="noConversion"/>
  </si>
  <si>
    <t>Cash</t>
    <phoneticPr fontId="7" type="noConversion"/>
  </si>
  <si>
    <t>Metrics</t>
    <phoneticPr fontId="7" type="noConversion"/>
  </si>
  <si>
    <t>Change in enterprise value</t>
    <phoneticPr fontId="7" type="noConversion"/>
  </si>
  <si>
    <t>Sales growth</t>
    <phoneticPr fontId="7" type="noConversion"/>
  </si>
  <si>
    <t>EBIT margin</t>
    <phoneticPr fontId="7" type="noConversion"/>
  </si>
  <si>
    <t>Terminal EBITDA multiple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</si>
</sst>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(&quot;$&quot;* #,##0.00_);_(&quot;$&quot;* \(#,##0.00\);_(&quot;$&quot;* &quot;-&quot;??_);_(@_)"/>
    <numFmt numFmtId="177" formatCode="0.0%"/>
    <numFmt numFmtId="178" formatCode="&quot;$&quot;#,##0"/>
    <numFmt numFmtId="179" formatCode="_(* #,##0_);_(* \(#,##0\);_(* &quot;-&quot;??_);_(@_)"/>
    <numFmt numFmtId="180" formatCode="#,##0.0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vertAlign val="superscript"/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u val="singleAccounting"/>
      <sz val="11"/>
      <color theme="1"/>
      <name val="맑은 고딕"/>
      <family val="2"/>
      <scheme val="minor"/>
    </font>
    <font>
      <u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432FF"/>
      <name val="맑은 고딕"/>
      <family val="2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 applyFill="1"/>
    <xf numFmtId="4" fontId="2" fillId="0" borderId="2" xfId="1" applyFont="1" applyFill="1" applyBorder="1" applyAlignment="1">
      <alignment horizontal="center"/>
    </xf>
    <xf numFmtId="4" fontId="0" fillId="0" borderId="0" xfId="1" applyFont="1" applyFill="1" applyBorder="1"/>
    <xf numFmtId="1" fontId="2" fillId="0" borderId="1" xfId="1" applyNumberFormat="1" applyFont="1" applyFill="1" applyBorder="1" applyAlignment="1">
      <alignment horizontal="center"/>
    </xf>
    <xf numFmtId="4" fontId="2" fillId="0" borderId="1" xfId="1" applyFont="1" applyFill="1" applyBorder="1" applyAlignment="1">
      <alignment horizontal="center"/>
    </xf>
    <xf numFmtId="177" fontId="0" fillId="0" borderId="0" xfId="2" applyNumberFormat="1" applyFont="1" applyFill="1" applyBorder="1"/>
    <xf numFmtId="177" fontId="0" fillId="0" borderId="2" xfId="2" applyNumberFormat="1" applyFont="1" applyFill="1" applyBorder="1"/>
    <xf numFmtId="178" fontId="0" fillId="0" borderId="0" xfId="1" applyNumberFormat="1" applyFont="1" applyFill="1" applyBorder="1"/>
    <xf numFmtId="178" fontId="0" fillId="0" borderId="0" xfId="2" applyNumberFormat="1" applyFont="1" applyFill="1" applyBorder="1"/>
    <xf numFmtId="177" fontId="0" fillId="0" borderId="0" xfId="1" applyNumberFormat="1" applyFont="1" applyFill="1" applyBorder="1"/>
    <xf numFmtId="9" fontId="0" fillId="0" borderId="0" xfId="1" applyNumberFormat="1" applyFont="1" applyFill="1" applyBorder="1"/>
    <xf numFmtId="179" fontId="0" fillId="0" borderId="0" xfId="1" applyNumberFormat="1" applyFont="1" applyFill="1" applyBorder="1"/>
    <xf numFmtId="177" fontId="4" fillId="0" borderId="0" xfId="2" applyNumberFormat="1" applyFont="1" applyFill="1" applyBorder="1"/>
    <xf numFmtId="3" fontId="2" fillId="0" borderId="0" xfId="1" applyNumberFormat="1" applyFont="1" applyFill="1" applyBorder="1"/>
    <xf numFmtId="4" fontId="0" fillId="0" borderId="0" xfId="1" applyFont="1" applyFill="1"/>
    <xf numFmtId="3" fontId="2" fillId="0" borderId="0" xfId="2" applyNumberFormat="1" applyFont="1" applyFill="1" applyBorder="1"/>
    <xf numFmtId="10" fontId="0" fillId="0" borderId="0" xfId="2" applyNumberFormat="1" applyFont="1" applyFill="1" applyBorder="1" applyAlignment="1">
      <alignment horizontal="right"/>
    </xf>
    <xf numFmtId="4" fontId="0" fillId="0" borderId="1" xfId="1" applyFont="1" applyFill="1" applyBorder="1"/>
    <xf numFmtId="177" fontId="0" fillId="0" borderId="1" xfId="2" applyNumberFormat="1" applyFont="1" applyFill="1" applyBorder="1"/>
    <xf numFmtId="4" fontId="2" fillId="0" borderId="3" xfId="1" applyFont="1" applyFill="1" applyBorder="1" applyAlignment="1">
      <alignment horizontal="center"/>
    </xf>
    <xf numFmtId="4" fontId="2" fillId="0" borderId="0" xfId="1" applyFont="1" applyFill="1" applyBorder="1" applyAlignment="1">
      <alignment horizontal="center"/>
    </xf>
    <xf numFmtId="37" fontId="0" fillId="0" borderId="0" xfId="3" applyNumberFormat="1" applyFont="1" applyFill="1" applyBorder="1"/>
    <xf numFmtId="37" fontId="0" fillId="0" borderId="0" xfId="1" applyNumberFormat="1" applyFont="1" applyFill="1" applyBorder="1"/>
    <xf numFmtId="37" fontId="0" fillId="0" borderId="0" xfId="4" applyNumberFormat="1" applyFont="1" applyFill="1" applyBorder="1"/>
    <xf numFmtId="37" fontId="5" fillId="0" borderId="0" xfId="4" applyNumberFormat="1" applyFont="1" applyFill="1" applyBorder="1"/>
    <xf numFmtId="37" fontId="6" fillId="0" borderId="0" xfId="4" applyNumberFormat="1" applyFont="1" applyFill="1" applyBorder="1"/>
    <xf numFmtId="37" fontId="0" fillId="0" borderId="0" xfId="1" applyNumberFormat="1" applyFont="1" applyFill="1"/>
    <xf numFmtId="37" fontId="2" fillId="0" borderId="0" xfId="4" applyNumberFormat="1" applyFont="1" applyFill="1" applyBorder="1"/>
    <xf numFmtId="37" fontId="4" fillId="0" borderId="0" xfId="4" applyNumberFormat="1" applyFont="1" applyFill="1" applyBorder="1"/>
    <xf numFmtId="37" fontId="4" fillId="0" borderId="0" xfId="1" applyNumberFormat="1" applyFont="1" applyFill="1" applyBorder="1"/>
    <xf numFmtId="37" fontId="0" fillId="0" borderId="1" xfId="1" applyNumberFormat="1" applyFont="1" applyFill="1" applyBorder="1"/>
    <xf numFmtId="37" fontId="2" fillId="0" borderId="1" xfId="4" applyNumberFormat="1" applyFont="1" applyFill="1" applyBorder="1"/>
    <xf numFmtId="9" fontId="0" fillId="0" borderId="0" xfId="0" applyNumberFormat="1" applyFont="1" applyFill="1"/>
    <xf numFmtId="9" fontId="0" fillId="0" borderId="0" xfId="2" applyNumberFormat="1" applyFont="1" applyFill="1" applyBorder="1"/>
    <xf numFmtId="4" fontId="0" fillId="0" borderId="2" xfId="1" applyFont="1" applyFill="1" applyBorder="1"/>
    <xf numFmtId="177" fontId="4" fillId="0" borderId="2" xfId="1" applyNumberFormat="1" applyFont="1" applyFill="1" applyBorder="1"/>
    <xf numFmtId="177" fontId="4" fillId="0" borderId="1" xfId="1" applyNumberFormat="1" applyFont="1" applyFill="1" applyBorder="1"/>
    <xf numFmtId="4" fontId="1" fillId="0" borderId="0" xfId="1" applyFont="1" applyFill="1" applyBorder="1"/>
    <xf numFmtId="180" fontId="1" fillId="0" borderId="0" xfId="1" applyNumberFormat="1" applyFont="1" applyFill="1" applyBorder="1"/>
    <xf numFmtId="179" fontId="2" fillId="0" borderId="0" xfId="1" applyNumberFormat="1" applyFont="1" applyFill="1" applyBorder="1"/>
    <xf numFmtId="10" fontId="0" fillId="0" borderId="0" xfId="2" applyNumberFormat="1" applyFont="1" applyFill="1" applyBorder="1"/>
    <xf numFmtId="37" fontId="0" fillId="0" borderId="2" xfId="1" applyNumberFormat="1" applyFont="1" applyFill="1" applyBorder="1"/>
    <xf numFmtId="4" fontId="2" fillId="0" borderId="2" xfId="1" applyFont="1" applyFill="1" applyBorder="1" applyAlignment="1">
      <alignment horizontal="center"/>
    </xf>
    <xf numFmtId="4" fontId="2" fillId="0" borderId="3" xfId="1" applyFont="1" applyFill="1" applyBorder="1" applyAlignment="1">
      <alignment horizontal="center"/>
    </xf>
    <xf numFmtId="37" fontId="0" fillId="0" borderId="0" xfId="0" applyNumberFormat="1" applyFont="1" applyFill="1"/>
    <xf numFmtId="177" fontId="8" fillId="0" borderId="2" xfId="2" applyNumberFormat="1" applyFont="1" applyFill="1" applyBorder="1"/>
    <xf numFmtId="177" fontId="8" fillId="0" borderId="0" xfId="1" applyNumberFormat="1" applyFont="1" applyFill="1" applyBorder="1"/>
    <xf numFmtId="177" fontId="1" fillId="0" borderId="0" xfId="1" applyNumberFormat="1" applyFont="1" applyFill="1" applyBorder="1"/>
    <xf numFmtId="180" fontId="8" fillId="0" borderId="0" xfId="1" applyNumberFormat="1" applyFont="1" applyFill="1" applyBorder="1"/>
    <xf numFmtId="4" fontId="2" fillId="0" borderId="1" xfId="1" applyFont="1" applyFill="1" applyBorder="1" applyAlignment="1">
      <alignment horizontal="center" vertical="center"/>
    </xf>
    <xf numFmtId="4" fontId="2" fillId="0" borderId="2" xfId="1" applyFont="1" applyFill="1" applyBorder="1" applyAlignment="1">
      <alignment horizontal="center" vertical="center"/>
    </xf>
    <xf numFmtId="4" fontId="2" fillId="0" borderId="2" xfId="1" applyFont="1" applyFill="1" applyBorder="1" applyAlignment="1">
      <alignment horizontal="center"/>
    </xf>
    <xf numFmtId="4" fontId="2" fillId="0" borderId="3" xfId="1" applyFont="1" applyFill="1" applyBorder="1" applyAlignment="1">
      <alignment horizontal="center"/>
    </xf>
    <xf numFmtId="37" fontId="0" fillId="0" borderId="0" xfId="0" applyNumberFormat="1"/>
    <xf numFmtId="0" fontId="9" fillId="0" borderId="0" xfId="0" applyFont="1"/>
  </cellXfs>
  <cellStyles count="5">
    <cellStyle name="기본" xfId="0" builtinId="0"/>
    <cellStyle name="Comma 2" xfId="4" xr:uid="{00000000-0005-0000-0000-000000000000}"/>
    <cellStyle name="Currency 2" xfId="3" xr:uid="{00000000-0005-0000-0000-000001000000}"/>
    <cellStyle name="Normal 3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opLeftCell="A3" workbookViewId="0"/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50" t="s">
        <v>0</v>
      </c>
      <c r="C2" s="50"/>
      <c r="D2" s="50"/>
      <c r="E2" s="50"/>
      <c r="F2" s="50"/>
      <c r="G2" s="50"/>
      <c r="H2" s="50"/>
      <c r="I2" s="50"/>
    </row>
    <row r="3" spans="2:10">
      <c r="B3" s="2" t="s">
        <v>1</v>
      </c>
      <c r="C3" s="2"/>
      <c r="D3" s="51" t="s">
        <v>2</v>
      </c>
      <c r="E3" s="52" t="s">
        <v>3</v>
      </c>
      <c r="F3" s="52"/>
      <c r="G3" s="52"/>
      <c r="H3" s="52"/>
      <c r="I3" s="52"/>
    </row>
    <row r="4" spans="2:10">
      <c r="B4" s="3"/>
      <c r="C4" s="4" t="s">
        <v>4</v>
      </c>
      <c r="D4" s="50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0.04</v>
      </c>
      <c r="F5" s="7">
        <v>0.04</v>
      </c>
      <c r="G5" s="7">
        <v>0.04</v>
      </c>
      <c r="H5" s="7">
        <v>0.04</v>
      </c>
      <c r="I5" s="7">
        <v>0.04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10">
        <v>0.1</v>
      </c>
      <c r="F7" s="10">
        <v>0.1</v>
      </c>
      <c r="G7" s="10">
        <v>0.1</v>
      </c>
      <c r="H7" s="10">
        <v>0.1</v>
      </c>
      <c r="I7" s="10">
        <v>0.1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7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53" t="s">
        <v>17</v>
      </c>
      <c r="C17" s="53"/>
      <c r="D17" s="53"/>
      <c r="E17" s="53"/>
      <c r="F17" s="53"/>
      <c r="G17" s="53"/>
      <c r="H17" s="53"/>
      <c r="I17" s="53"/>
    </row>
    <row r="18" spans="2:9">
      <c r="B18" s="21"/>
      <c r="C18" s="4" t="s">
        <v>4</v>
      </c>
      <c r="D18" s="20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4452.24</v>
      </c>
      <c r="F19" s="23">
        <f>E19*(1+F5)</f>
        <v>4630.3296</v>
      </c>
      <c r="G19" s="23">
        <f>F19*(1+G5)</f>
        <v>4815.5427840000002</v>
      </c>
      <c r="H19" s="23">
        <f>G19*(1+H5)</f>
        <v>5008.1644953600007</v>
      </c>
      <c r="I19" s="23">
        <f>H19*(1+I5)</f>
        <v>5208.491075174401</v>
      </c>
    </row>
    <row r="20" spans="2:9">
      <c r="B20" s="3" t="s">
        <v>20</v>
      </c>
      <c r="C20" s="24">
        <v>268</v>
      </c>
      <c r="D20" s="24"/>
      <c r="E20" s="24">
        <f>E19*E7</f>
        <v>445.22399999999999</v>
      </c>
      <c r="F20" s="24">
        <f>F19*F7</f>
        <v>463.03296</v>
      </c>
      <c r="G20" s="24">
        <f>G19*G7</f>
        <v>481.55427840000004</v>
      </c>
      <c r="H20" s="24">
        <f>H19*H7</f>
        <v>500.81644953600011</v>
      </c>
      <c r="I20" s="24">
        <f>I19*I7</f>
        <v>520.84910751744007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445.22399999999999</v>
      </c>
      <c r="F22" s="24">
        <f>F20+F21</f>
        <v>463.03296</v>
      </c>
      <c r="G22" s="24">
        <f>G20+G21</f>
        <v>481.55427840000004</v>
      </c>
      <c r="H22" s="24">
        <f>H20+H21</f>
        <v>500.81644953600011</v>
      </c>
      <c r="I22" s="24">
        <f>I20+I21</f>
        <v>520.84910751744007</v>
      </c>
    </row>
    <row r="23" spans="2:9">
      <c r="B23" s="3" t="s">
        <v>23</v>
      </c>
      <c r="C23" s="24"/>
      <c r="D23" s="24"/>
      <c r="E23" s="26">
        <f>-E22*E8</f>
        <v>-111.306</v>
      </c>
      <c r="F23" s="26">
        <f>-F22*F8</f>
        <v>-115.75824</v>
      </c>
      <c r="G23" s="26">
        <f>-G22*G8</f>
        <v>-120.38856960000001</v>
      </c>
      <c r="H23" s="26">
        <f>-H22*H8</f>
        <v>-125.20411238400003</v>
      </c>
      <c r="I23" s="26">
        <f>-I22*I8</f>
        <v>-130.21227687936002</v>
      </c>
    </row>
    <row r="24" spans="2:9">
      <c r="B24" s="3" t="s">
        <v>24</v>
      </c>
      <c r="C24" s="24"/>
      <c r="D24" s="24"/>
      <c r="E24" s="24">
        <f>E22+E23</f>
        <v>333.91800000000001</v>
      </c>
      <c r="F24" s="24">
        <f>F22+F23</f>
        <v>347.27472</v>
      </c>
      <c r="G24" s="24">
        <f>G22+G23</f>
        <v>361.16570880000006</v>
      </c>
      <c r="H24" s="24">
        <f>H22+H23</f>
        <v>375.61233715200007</v>
      </c>
      <c r="I24" s="24">
        <f>I22+I23</f>
        <v>390.63683063808003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-25.685999999999922</v>
      </c>
      <c r="F27" s="24">
        <f>-(F19*F10)+E19*E10</f>
        <v>-26.713440000000105</v>
      </c>
      <c r="G27" s="24">
        <f>-(G19*G10)+F19*F10</f>
        <v>-27.781977600000005</v>
      </c>
      <c r="H27" s="24">
        <f>-(H19*H10)+G19*G10</f>
        <v>-28.893256704000123</v>
      </c>
      <c r="I27" s="24">
        <f>-(I19*I10)+H19*H10</f>
        <v>-30.048986972160037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308.23200000000008</v>
      </c>
      <c r="F29" s="24">
        <f>F20*(1-F8)+F26+F27+F28</f>
        <v>316.5612799999999</v>
      </c>
      <c r="G29" s="24">
        <f>G20*(1-G8)+G26+G27+G28</f>
        <v>323.38373120000006</v>
      </c>
      <c r="H29" s="24">
        <f>H20*(1-H8)+H26+H27+H28</f>
        <v>327.41908044799993</v>
      </c>
      <c r="I29" s="24">
        <f>I20*(1-I8)+I26+I27+I28</f>
        <v>340.58784366591999</v>
      </c>
    </row>
    <row r="30" spans="2:9">
      <c r="B30" s="3" t="s">
        <v>19</v>
      </c>
      <c r="C30" s="24">
        <f>C20+C26</f>
        <v>372</v>
      </c>
      <c r="D30" s="24"/>
      <c r="E30" s="24">
        <f>E20+E26</f>
        <v>560.22399999999993</v>
      </c>
      <c r="F30" s="24">
        <f>F20+F26</f>
        <v>581.03296</v>
      </c>
      <c r="G30" s="24">
        <f>G20+G26</f>
        <v>603.55427840000004</v>
      </c>
      <c r="H30" s="24">
        <f>H20+H26</f>
        <v>625.81644953600016</v>
      </c>
      <c r="I30" s="24">
        <f>I20+I26</f>
        <v>650.84910751744007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4738.181502726964</v>
      </c>
    </row>
    <row r="32" spans="2:9">
      <c r="B32" s="3" t="s">
        <v>34</v>
      </c>
      <c r="C32" s="24"/>
      <c r="D32" s="24"/>
      <c r="E32" s="24">
        <f>E29+E31</f>
        <v>308.23200000000008</v>
      </c>
      <c r="F32" s="24">
        <f>F29+F31</f>
        <v>316.5612799999999</v>
      </c>
      <c r="G32" s="24">
        <f>G29+G31</f>
        <v>323.38373120000006</v>
      </c>
      <c r="H32" s="24">
        <f>H29+H31</f>
        <v>327.41908044799993</v>
      </c>
      <c r="I32" s="24">
        <f>I29+I31</f>
        <v>5078.7693463928845</v>
      </c>
    </row>
    <row r="33" spans="2:9">
      <c r="B33" s="3" t="s">
        <v>27</v>
      </c>
      <c r="C33" s="27"/>
      <c r="D33" s="28">
        <f>NPV(C13,E32:I32)</f>
        <v>3969.5027735768981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3969.5027735768981</v>
      </c>
      <c r="E36" s="31"/>
      <c r="F36" s="31"/>
      <c r="G36" s="31"/>
      <c r="H36" s="31"/>
      <c r="I36" s="31"/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BF9-1E13-E742-879F-8A1C16829E57}">
  <dimension ref="B1:J38"/>
  <sheetViews>
    <sheetView topLeftCell="A12" workbookViewId="0">
      <selection activeCell="I19" sqref="I19"/>
    </sheetView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50" t="s">
        <v>0</v>
      </c>
      <c r="C2" s="50"/>
      <c r="D2" s="50"/>
      <c r="E2" s="50"/>
      <c r="F2" s="50"/>
      <c r="G2" s="50"/>
      <c r="H2" s="50"/>
      <c r="I2" s="50"/>
    </row>
    <row r="3" spans="2:10">
      <c r="B3" s="43" t="s">
        <v>1</v>
      </c>
      <c r="C3" s="43"/>
      <c r="D3" s="51" t="s">
        <v>2</v>
      </c>
      <c r="E3" s="52" t="s">
        <v>3</v>
      </c>
      <c r="F3" s="52"/>
      <c r="G3" s="52"/>
      <c r="H3" s="52"/>
      <c r="I3" s="52"/>
    </row>
    <row r="4" spans="2:10">
      <c r="B4" s="3"/>
      <c r="C4" s="4" t="s">
        <v>4</v>
      </c>
      <c r="D4" s="50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46">
        <v>0.05</v>
      </c>
      <c r="F5" s="46">
        <v>0.05</v>
      </c>
      <c r="G5" s="46">
        <v>0.05</v>
      </c>
      <c r="H5" s="46">
        <v>0.05</v>
      </c>
      <c r="I5" s="46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10">
        <v>0.1</v>
      </c>
      <c r="F7" s="10">
        <v>0.1</v>
      </c>
      <c r="G7" s="10">
        <v>0.1</v>
      </c>
      <c r="H7" s="10">
        <v>0.1</v>
      </c>
      <c r="I7" s="10">
        <v>0.1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7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53" t="s">
        <v>17</v>
      </c>
      <c r="C17" s="53"/>
      <c r="D17" s="53"/>
      <c r="E17" s="53"/>
      <c r="F17" s="53"/>
      <c r="G17" s="53"/>
      <c r="H17" s="53"/>
      <c r="I17" s="53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449.50500000000005</v>
      </c>
      <c r="F20" s="24">
        <f>F19*F7</f>
        <v>471.98025000000007</v>
      </c>
      <c r="G20" s="24">
        <f>G19*G7</f>
        <v>495.57926250000014</v>
      </c>
      <c r="H20" s="24">
        <f>H19*H7</f>
        <v>520.35822562500016</v>
      </c>
      <c r="I20" s="24">
        <f>I19*I7</f>
        <v>546.37613690625028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449.50500000000005</v>
      </c>
      <c r="F22" s="24">
        <f>F20+F21</f>
        <v>471.98025000000007</v>
      </c>
      <c r="G22" s="24">
        <f>G20+G21</f>
        <v>495.57926250000014</v>
      </c>
      <c r="H22" s="24">
        <f>H20+H21</f>
        <v>520.35822562500016</v>
      </c>
      <c r="I22" s="24">
        <f>I20+I21</f>
        <v>546.37613690625028</v>
      </c>
    </row>
    <row r="23" spans="2:9">
      <c r="B23" s="3" t="s">
        <v>23</v>
      </c>
      <c r="C23" s="24"/>
      <c r="D23" s="24"/>
      <c r="E23" s="26">
        <f>-E22*E8</f>
        <v>-112.37625000000001</v>
      </c>
      <c r="F23" s="26">
        <f>-F22*F8</f>
        <v>-117.99506250000002</v>
      </c>
      <c r="G23" s="26">
        <f>-G22*G8</f>
        <v>-123.89481562500004</v>
      </c>
      <c r="H23" s="26">
        <f>-H22*H8</f>
        <v>-130.08955640625004</v>
      </c>
      <c r="I23" s="26">
        <f>-I22*I8</f>
        <v>-136.59403422656257</v>
      </c>
    </row>
    <row r="24" spans="2:9">
      <c r="B24" s="3" t="s">
        <v>24</v>
      </c>
      <c r="C24" s="24"/>
      <c r="D24" s="24"/>
      <c r="E24" s="24">
        <f>E22+E23</f>
        <v>337.12875000000003</v>
      </c>
      <c r="F24" s="24">
        <f>F22+F23</f>
        <v>353.98518750000005</v>
      </c>
      <c r="G24" s="24">
        <f>G22+G23</f>
        <v>371.68444687500011</v>
      </c>
      <c r="H24" s="24">
        <f>H22+H23</f>
        <v>390.26866921875012</v>
      </c>
      <c r="I24" s="24">
        <f>I22+I23</f>
        <v>409.78210267968768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305.02124999999995</v>
      </c>
      <c r="F29" s="24">
        <f>F20*(1-F8)+F26+F27+F28</f>
        <v>316.2723125</v>
      </c>
      <c r="G29" s="24">
        <f>G20*(1-G8)+G26+G27+G28</f>
        <v>326.28592812500011</v>
      </c>
      <c r="H29" s="24">
        <f>H20*(1-H8)+H26+H27+H28</f>
        <v>333.80022453124997</v>
      </c>
      <c r="I29" s="24">
        <f>I20*(1-I8)+I26+I27+I28</f>
        <v>350.75523575781267</v>
      </c>
    </row>
    <row r="30" spans="2:9">
      <c r="B30" s="3" t="s">
        <v>19</v>
      </c>
      <c r="C30" s="24">
        <f>C20+C26</f>
        <v>372</v>
      </c>
      <c r="D30" s="24"/>
      <c r="E30" s="24">
        <f>E20+E26</f>
        <v>564.50500000000011</v>
      </c>
      <c r="F30" s="24">
        <f>F20+F26</f>
        <v>589.98025000000007</v>
      </c>
      <c r="G30" s="24">
        <f>G20+G26</f>
        <v>617.57926250000014</v>
      </c>
      <c r="H30" s="24">
        <f>H20+H26</f>
        <v>645.35822562500016</v>
      </c>
      <c r="I30" s="24">
        <f>I20+I26</f>
        <v>676.37613690625028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4971.3646062609396</v>
      </c>
    </row>
    <row r="32" spans="2:9">
      <c r="B32" s="3" t="s">
        <v>34</v>
      </c>
      <c r="C32" s="24"/>
      <c r="D32" s="24"/>
      <c r="E32" s="24">
        <f>E29+E31</f>
        <v>305.02124999999995</v>
      </c>
      <c r="F32" s="24">
        <f>F29+F31</f>
        <v>316.2723125</v>
      </c>
      <c r="G32" s="24">
        <f>G29+G31</f>
        <v>326.28592812500011</v>
      </c>
      <c r="H32" s="24">
        <f>H29+H31</f>
        <v>333.80022453124997</v>
      </c>
      <c r="I32" s="24">
        <f>I29+I31</f>
        <v>5322.119842018752</v>
      </c>
    </row>
    <row r="33" spans="2:9">
      <c r="B33" s="3" t="s">
        <v>27</v>
      </c>
      <c r="C33" s="27"/>
      <c r="D33" s="28">
        <f>NPV(C13,E32:I32)</f>
        <v>4115.7882758167425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4115.7882758167425</v>
      </c>
      <c r="E36" s="31"/>
      <c r="F36" s="31"/>
      <c r="G36" s="31"/>
      <c r="H36" s="31"/>
      <c r="I36" s="31"/>
    </row>
    <row r="38" spans="2:9">
      <c r="B38" s="3" t="s">
        <v>35</v>
      </c>
      <c r="C38" s="45">
        <f>D36-'Ex9 modified'!D36</f>
        <v>146.28550223984439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294E-66CE-174C-A706-8C8A8E5E678B}">
  <dimension ref="B1:J38"/>
  <sheetViews>
    <sheetView topLeftCell="A24" workbookViewId="0">
      <selection activeCell="E5" sqref="E5"/>
    </sheetView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50" t="s">
        <v>0</v>
      </c>
      <c r="C2" s="50"/>
      <c r="D2" s="50"/>
      <c r="E2" s="50"/>
      <c r="F2" s="50"/>
      <c r="G2" s="50"/>
      <c r="H2" s="50"/>
      <c r="I2" s="50"/>
    </row>
    <row r="3" spans="2:10">
      <c r="B3" s="43" t="s">
        <v>1</v>
      </c>
      <c r="C3" s="43"/>
      <c r="D3" s="51" t="s">
        <v>2</v>
      </c>
      <c r="E3" s="52" t="s">
        <v>3</v>
      </c>
      <c r="F3" s="52"/>
      <c r="G3" s="52"/>
      <c r="H3" s="52"/>
      <c r="I3" s="52"/>
    </row>
    <row r="4" spans="2:10">
      <c r="B4" s="3"/>
      <c r="C4" s="4" t="s">
        <v>4</v>
      </c>
      <c r="D4" s="50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0.05</v>
      </c>
      <c r="F5" s="7">
        <v>0.05</v>
      </c>
      <c r="G5" s="7">
        <v>0.05</v>
      </c>
      <c r="H5" s="7">
        <v>0.05</v>
      </c>
      <c r="I5" s="7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47">
        <v>0.12</v>
      </c>
      <c r="F7" s="47">
        <v>0.12</v>
      </c>
      <c r="G7" s="47">
        <v>0.12</v>
      </c>
      <c r="H7" s="47">
        <v>0.12</v>
      </c>
      <c r="I7" s="47">
        <v>0.12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7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53" t="s">
        <v>17</v>
      </c>
      <c r="C17" s="53"/>
      <c r="D17" s="53"/>
      <c r="E17" s="53"/>
      <c r="F17" s="53"/>
      <c r="G17" s="53"/>
      <c r="H17" s="53"/>
      <c r="I17" s="53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539.40599999999995</v>
      </c>
      <c r="F20" s="24">
        <f>F19*F7</f>
        <v>566.37630000000001</v>
      </c>
      <c r="G20" s="24">
        <f>G19*G7</f>
        <v>594.6951150000001</v>
      </c>
      <c r="H20" s="24">
        <f>H19*H7</f>
        <v>624.42987075000019</v>
      </c>
      <c r="I20" s="24">
        <f>I19*I7</f>
        <v>655.6513642875002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539.40599999999995</v>
      </c>
      <c r="F22" s="24">
        <f>F20+F21</f>
        <v>566.37630000000001</v>
      </c>
      <c r="G22" s="24">
        <f>G20+G21</f>
        <v>594.6951150000001</v>
      </c>
      <c r="H22" s="24">
        <f>H20+H21</f>
        <v>624.42987075000019</v>
      </c>
      <c r="I22" s="24">
        <f>I20+I21</f>
        <v>655.6513642875002</v>
      </c>
    </row>
    <row r="23" spans="2:9">
      <c r="B23" s="3" t="s">
        <v>23</v>
      </c>
      <c r="C23" s="24"/>
      <c r="D23" s="24"/>
      <c r="E23" s="26">
        <f>-E22*E8</f>
        <v>-134.85149999999999</v>
      </c>
      <c r="F23" s="26">
        <f>-F22*F8</f>
        <v>-141.594075</v>
      </c>
      <c r="G23" s="26">
        <f>-G22*G8</f>
        <v>-148.67377875000003</v>
      </c>
      <c r="H23" s="26">
        <f>-H22*H8</f>
        <v>-156.10746768750005</v>
      </c>
      <c r="I23" s="26">
        <f>-I22*I8</f>
        <v>-163.91284107187505</v>
      </c>
    </row>
    <row r="24" spans="2:9">
      <c r="B24" s="3" t="s">
        <v>24</v>
      </c>
      <c r="C24" s="24"/>
      <c r="D24" s="24"/>
      <c r="E24" s="24">
        <f>E22+E23</f>
        <v>404.55449999999996</v>
      </c>
      <c r="F24" s="24">
        <f>F22+F23</f>
        <v>424.78222500000004</v>
      </c>
      <c r="G24" s="24">
        <f>G22+G23</f>
        <v>446.0213362500001</v>
      </c>
      <c r="H24" s="24">
        <f>H22+H23</f>
        <v>468.32240306250014</v>
      </c>
      <c r="I24" s="24">
        <f>I22+I23</f>
        <v>491.73852321562515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372.44699999999989</v>
      </c>
      <c r="F29" s="24">
        <f>F20*(1-F8)+F26+F27+F28</f>
        <v>387.06934999999999</v>
      </c>
      <c r="G29" s="24">
        <f>G20*(1-G8)+G26+G27+G28</f>
        <v>400.62281750000011</v>
      </c>
      <c r="H29" s="24">
        <f>H20*(1-H8)+H26+H27+H28</f>
        <v>411.85395837499999</v>
      </c>
      <c r="I29" s="24">
        <f>I20*(1-I8)+I26+I27+I28</f>
        <v>432.71165629375014</v>
      </c>
    </row>
    <row r="30" spans="2:9">
      <c r="B30" s="3" t="s">
        <v>19</v>
      </c>
      <c r="C30" s="24">
        <f>C20+C26</f>
        <v>372</v>
      </c>
      <c r="D30" s="24"/>
      <c r="E30" s="24">
        <f>E20+E26</f>
        <v>654.40599999999995</v>
      </c>
      <c r="F30" s="24">
        <f>F20+F26</f>
        <v>684.37630000000001</v>
      </c>
      <c r="G30" s="24">
        <f>G20+G26</f>
        <v>716.6951150000001</v>
      </c>
      <c r="H30" s="24">
        <f>H20+H26</f>
        <v>749.42987075000019</v>
      </c>
      <c r="I30" s="24">
        <f>I20+I26</f>
        <v>785.6513642875002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5774.5375275131264</v>
      </c>
    </row>
    <row r="32" spans="2:9">
      <c r="B32" s="3" t="s">
        <v>34</v>
      </c>
      <c r="C32" s="24"/>
      <c r="D32" s="24"/>
      <c r="E32" s="24">
        <f>E29+E31</f>
        <v>372.44699999999989</v>
      </c>
      <c r="F32" s="24">
        <f>F29+F31</f>
        <v>387.06934999999999</v>
      </c>
      <c r="G32" s="24">
        <f>G29+G31</f>
        <v>400.62281750000011</v>
      </c>
      <c r="H32" s="24">
        <f>H29+H31</f>
        <v>411.85395837499999</v>
      </c>
      <c r="I32" s="24">
        <f>I29+I31</f>
        <v>6207.2491838068763</v>
      </c>
    </row>
    <row r="33" spans="2:9">
      <c r="B33" s="3" t="s">
        <v>27</v>
      </c>
      <c r="C33" s="27"/>
      <c r="D33" s="28">
        <f>NPV(C13,E32:I32)</f>
        <v>4859.3605405790295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4859.3605405790295</v>
      </c>
      <c r="E36" s="31"/>
      <c r="F36" s="31"/>
      <c r="G36" s="31"/>
      <c r="H36" s="31"/>
      <c r="I36" s="31"/>
    </row>
    <row r="38" spans="2:9">
      <c r="B38" s="3" t="s">
        <v>35</v>
      </c>
      <c r="C38" s="45">
        <f>D36-part_a!D36</f>
        <v>743.57226476228698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117F-FC88-2748-82FA-E7088CB98B42}">
  <dimension ref="B1:J38"/>
  <sheetViews>
    <sheetView topLeftCell="A13" workbookViewId="0">
      <selection activeCell="B36" sqref="B36"/>
    </sheetView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50" t="s">
        <v>0</v>
      </c>
      <c r="C2" s="50"/>
      <c r="D2" s="50"/>
      <c r="E2" s="50"/>
      <c r="F2" s="50"/>
      <c r="G2" s="50"/>
      <c r="H2" s="50"/>
      <c r="I2" s="50"/>
    </row>
    <row r="3" spans="2:10">
      <c r="B3" s="43" t="s">
        <v>1</v>
      </c>
      <c r="C3" s="43"/>
      <c r="D3" s="51" t="s">
        <v>2</v>
      </c>
      <c r="E3" s="52" t="s">
        <v>3</v>
      </c>
      <c r="F3" s="52"/>
      <c r="G3" s="52"/>
      <c r="H3" s="52"/>
      <c r="I3" s="52"/>
    </row>
    <row r="4" spans="2:10">
      <c r="B4" s="3"/>
      <c r="C4" s="4" t="s">
        <v>4</v>
      </c>
      <c r="D4" s="50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0.05</v>
      </c>
      <c r="F5" s="7">
        <v>0.05</v>
      </c>
      <c r="G5" s="7">
        <v>0.05</v>
      </c>
      <c r="H5" s="7">
        <v>0.05</v>
      </c>
      <c r="I5" s="7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48">
        <v>0.12</v>
      </c>
      <c r="F7" s="48">
        <v>0.12</v>
      </c>
      <c r="G7" s="48">
        <v>0.12</v>
      </c>
      <c r="H7" s="48">
        <v>0.12</v>
      </c>
      <c r="I7" s="48">
        <v>0.12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49">
        <v>8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53" t="s">
        <v>17</v>
      </c>
      <c r="C17" s="53"/>
      <c r="D17" s="53"/>
      <c r="E17" s="53"/>
      <c r="F17" s="53"/>
      <c r="G17" s="53"/>
      <c r="H17" s="53"/>
      <c r="I17" s="53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539.40599999999995</v>
      </c>
      <c r="F20" s="24">
        <f>F19*F7</f>
        <v>566.37630000000001</v>
      </c>
      <c r="G20" s="24">
        <f>G19*G7</f>
        <v>594.6951150000001</v>
      </c>
      <c r="H20" s="24">
        <f>H19*H7</f>
        <v>624.42987075000019</v>
      </c>
      <c r="I20" s="24">
        <f>I19*I7</f>
        <v>655.6513642875002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539.40599999999995</v>
      </c>
      <c r="F22" s="24">
        <f>F20+F21</f>
        <v>566.37630000000001</v>
      </c>
      <c r="G22" s="24">
        <f>G20+G21</f>
        <v>594.6951150000001</v>
      </c>
      <c r="H22" s="24">
        <f>H20+H21</f>
        <v>624.42987075000019</v>
      </c>
      <c r="I22" s="24">
        <f>I20+I21</f>
        <v>655.6513642875002</v>
      </c>
    </row>
    <row r="23" spans="2:9">
      <c r="B23" s="3" t="s">
        <v>23</v>
      </c>
      <c r="C23" s="24"/>
      <c r="D23" s="24"/>
      <c r="E23" s="26">
        <f>-E22*E8</f>
        <v>-134.85149999999999</v>
      </c>
      <c r="F23" s="26">
        <f>-F22*F8</f>
        <v>-141.594075</v>
      </c>
      <c r="G23" s="26">
        <f>-G22*G8</f>
        <v>-148.67377875000003</v>
      </c>
      <c r="H23" s="26">
        <f>-H22*H8</f>
        <v>-156.10746768750005</v>
      </c>
      <c r="I23" s="26">
        <f>-I22*I8</f>
        <v>-163.91284107187505</v>
      </c>
    </row>
    <row r="24" spans="2:9">
      <c r="B24" s="3" t="s">
        <v>24</v>
      </c>
      <c r="C24" s="24"/>
      <c r="D24" s="24"/>
      <c r="E24" s="24">
        <f>E22+E23</f>
        <v>404.55449999999996</v>
      </c>
      <c r="F24" s="24">
        <f>F22+F23</f>
        <v>424.78222500000004</v>
      </c>
      <c r="G24" s="24">
        <f>G22+G23</f>
        <v>446.0213362500001</v>
      </c>
      <c r="H24" s="24">
        <f>H22+H23</f>
        <v>468.32240306250014</v>
      </c>
      <c r="I24" s="24">
        <f>I22+I23</f>
        <v>491.73852321562515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372.44699999999989</v>
      </c>
      <c r="F29" s="24">
        <f>F20*(1-F8)+F26+F27+F28</f>
        <v>387.06934999999999</v>
      </c>
      <c r="G29" s="24">
        <f>G20*(1-G8)+G26+G27+G28</f>
        <v>400.62281750000011</v>
      </c>
      <c r="H29" s="24">
        <f>H20*(1-H8)+H26+H27+H28</f>
        <v>411.85395837499999</v>
      </c>
      <c r="I29" s="24">
        <f>I20*(1-I8)+I26+I27+I28</f>
        <v>432.71165629375014</v>
      </c>
    </row>
    <row r="30" spans="2:9">
      <c r="B30" s="3" t="s">
        <v>19</v>
      </c>
      <c r="C30" s="24">
        <f>C20+C26</f>
        <v>372</v>
      </c>
      <c r="D30" s="24"/>
      <c r="E30" s="24">
        <f>E20+E26</f>
        <v>654.40599999999995</v>
      </c>
      <c r="F30" s="24">
        <f>F20+F26</f>
        <v>684.37630000000001</v>
      </c>
      <c r="G30" s="24">
        <f>G20+G26</f>
        <v>716.6951150000001</v>
      </c>
      <c r="H30" s="24">
        <f>H20+H26</f>
        <v>749.42987075000019</v>
      </c>
      <c r="I30" s="24">
        <f>I20+I26</f>
        <v>785.6513642875002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6599.4714600150019</v>
      </c>
    </row>
    <row r="32" spans="2:9">
      <c r="B32" s="3" t="s">
        <v>34</v>
      </c>
      <c r="C32" s="24"/>
      <c r="D32" s="24"/>
      <c r="E32" s="24">
        <f>E29+E31</f>
        <v>372.44699999999989</v>
      </c>
      <c r="F32" s="24">
        <f>F29+F31</f>
        <v>387.06934999999999</v>
      </c>
      <c r="G32" s="24">
        <f>G29+G31</f>
        <v>400.62281750000011</v>
      </c>
      <c r="H32" s="24">
        <f>H29+H31</f>
        <v>411.85395837499999</v>
      </c>
      <c r="I32" s="24">
        <f>I29+I31</f>
        <v>7032.1831163087518</v>
      </c>
    </row>
    <row r="33" spans="2:9">
      <c r="B33" s="3" t="s">
        <v>27</v>
      </c>
      <c r="C33" s="27"/>
      <c r="D33" s="28">
        <f>NPV(C13,E32:I32)</f>
        <v>5344.5319850219739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5344.5319850219739</v>
      </c>
      <c r="E36" s="31"/>
      <c r="F36" s="31"/>
      <c r="G36" s="31"/>
      <c r="H36" s="31"/>
      <c r="I36" s="31"/>
    </row>
    <row r="38" spans="2:9">
      <c r="B38" s="3" t="s">
        <v>35</v>
      </c>
      <c r="C38" s="45">
        <f>D36-part_b!D36</f>
        <v>485.17144444294445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4963-CD33-4648-860D-4C213E2D70B1}">
  <dimension ref="B1:J44"/>
  <sheetViews>
    <sheetView topLeftCell="A18" workbookViewId="0">
      <selection activeCell="I33" sqref="I33"/>
    </sheetView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50" t="s">
        <v>0</v>
      </c>
      <c r="C2" s="50"/>
      <c r="D2" s="50"/>
      <c r="E2" s="50"/>
      <c r="F2" s="50"/>
      <c r="G2" s="50"/>
      <c r="H2" s="50"/>
      <c r="I2" s="50"/>
    </row>
    <row r="3" spans="2:10">
      <c r="B3" s="43" t="s">
        <v>1</v>
      </c>
      <c r="C3" s="43"/>
      <c r="D3" s="51" t="s">
        <v>2</v>
      </c>
      <c r="E3" s="52" t="s">
        <v>3</v>
      </c>
      <c r="F3" s="52"/>
      <c r="G3" s="52"/>
      <c r="H3" s="52"/>
      <c r="I3" s="52"/>
    </row>
    <row r="4" spans="2:10">
      <c r="B4" s="3"/>
      <c r="C4" s="4" t="s">
        <v>4</v>
      </c>
      <c r="D4" s="50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0.05</v>
      </c>
      <c r="F5" s="7">
        <v>0.05</v>
      </c>
      <c r="G5" s="7">
        <v>0.05</v>
      </c>
      <c r="H5" s="7">
        <v>0.05</v>
      </c>
      <c r="I5" s="7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48">
        <v>0.12</v>
      </c>
      <c r="F7" s="48">
        <v>0.12</v>
      </c>
      <c r="G7" s="48">
        <v>0.12</v>
      </c>
      <c r="H7" s="48">
        <v>0.12</v>
      </c>
      <c r="I7" s="48">
        <v>0.12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8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53" t="s">
        <v>17</v>
      </c>
      <c r="C17" s="53"/>
      <c r="D17" s="53"/>
      <c r="E17" s="53"/>
      <c r="F17" s="53"/>
      <c r="G17" s="53"/>
      <c r="H17" s="53"/>
      <c r="I17" s="53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539.40599999999995</v>
      </c>
      <c r="F20" s="24">
        <f>F19*F7</f>
        <v>566.37630000000001</v>
      </c>
      <c r="G20" s="24">
        <f>G19*G7</f>
        <v>594.6951150000001</v>
      </c>
      <c r="H20" s="24">
        <f>H19*H7</f>
        <v>624.42987075000019</v>
      </c>
      <c r="I20" s="24">
        <f>I19*I7</f>
        <v>655.6513642875002</v>
      </c>
    </row>
    <row r="21" spans="2:9" ht="20">
      <c r="B21" s="3" t="s">
        <v>21</v>
      </c>
      <c r="C21" s="24"/>
      <c r="D21" s="24"/>
      <c r="E21" s="25">
        <f>-D36* $C$12</f>
        <v>-175.77</v>
      </c>
      <c r="F21" s="25">
        <f>-E36* $C$12</f>
        <v>-159.52818375000001</v>
      </c>
      <c r="G21" s="25">
        <f>-F36* $C$12</f>
        <v>-141.47711692734376</v>
      </c>
      <c r="H21" s="25">
        <f>-G36* $C$12</f>
        <v>-121.59735579054053</v>
      </c>
      <c r="I21" s="25">
        <f>-H36* $C$12</f>
        <v>-99.953079737124142</v>
      </c>
    </row>
    <row r="22" spans="2:9">
      <c r="B22" s="3" t="s">
        <v>22</v>
      </c>
      <c r="C22" s="24"/>
      <c r="D22" s="24"/>
      <c r="E22" s="24">
        <f>E20+E21</f>
        <v>363.63599999999997</v>
      </c>
      <c r="F22" s="24">
        <f>F20+F21</f>
        <v>406.84811624999998</v>
      </c>
      <c r="G22" s="24">
        <f>G20+G21</f>
        <v>453.21799807265631</v>
      </c>
      <c r="H22" s="24">
        <f>H20+H21</f>
        <v>502.83251495945967</v>
      </c>
      <c r="I22" s="24">
        <f>I20+I21</f>
        <v>555.698284550376</v>
      </c>
    </row>
    <row r="23" spans="2:9">
      <c r="B23" s="3" t="s">
        <v>23</v>
      </c>
      <c r="C23" s="24"/>
      <c r="D23" s="24"/>
      <c r="E23" s="26">
        <f>-E22*E8</f>
        <v>-90.908999999999992</v>
      </c>
      <c r="F23" s="26">
        <f>-F22*F8</f>
        <v>-101.71202906249999</v>
      </c>
      <c r="G23" s="26">
        <f>-G22*G8</f>
        <v>-113.30449951816408</v>
      </c>
      <c r="H23" s="26">
        <f>-H22*H8</f>
        <v>-125.70812873986492</v>
      </c>
      <c r="I23" s="26">
        <f>-I22*I8</f>
        <v>-138.924571137594</v>
      </c>
    </row>
    <row r="24" spans="2:9">
      <c r="B24" s="3" t="s">
        <v>24</v>
      </c>
      <c r="C24" s="24"/>
      <c r="D24" s="24"/>
      <c r="E24" s="24">
        <f>E22+E23</f>
        <v>272.72699999999998</v>
      </c>
      <c r="F24" s="24">
        <f>F22+F23</f>
        <v>305.13608718749998</v>
      </c>
      <c r="G24" s="24">
        <f>G22+G23</f>
        <v>339.91349855449221</v>
      </c>
      <c r="H24" s="24">
        <f>H22+H23</f>
        <v>377.12438621959473</v>
      </c>
      <c r="I24" s="24">
        <f>I22+I23</f>
        <v>416.773713412782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372.44699999999989</v>
      </c>
      <c r="F29" s="24">
        <f>F20*(1-F8)+F26+F27+F28</f>
        <v>387.06934999999999</v>
      </c>
      <c r="G29" s="24">
        <f>G20*(1-G8)+G26+G27+G28</f>
        <v>400.62281750000011</v>
      </c>
      <c r="H29" s="24">
        <f>H20*(1-H8)+H26+H27+H28</f>
        <v>411.85395837499999</v>
      </c>
      <c r="I29" s="24">
        <f>I20*(1-I8)+I26+I27+I28</f>
        <v>432.71165629375014</v>
      </c>
    </row>
    <row r="30" spans="2:9">
      <c r="B30" s="3" t="s">
        <v>19</v>
      </c>
      <c r="C30" s="24">
        <f>C20+C26</f>
        <v>372</v>
      </c>
      <c r="D30" s="24"/>
      <c r="E30" s="24">
        <f>E20+E26</f>
        <v>654.40599999999995</v>
      </c>
      <c r="F30" s="24">
        <f>F20+F26</f>
        <v>684.37630000000001</v>
      </c>
      <c r="G30" s="24">
        <f>G20+G26</f>
        <v>716.6951150000001</v>
      </c>
      <c r="H30" s="24">
        <f>H20+H26</f>
        <v>749.42987075000019</v>
      </c>
      <c r="I30" s="24">
        <f>I20+I26</f>
        <v>785.6513642875002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6599.4714600150019</v>
      </c>
    </row>
    <row r="32" spans="2:9">
      <c r="B32" s="3" t="s">
        <v>34</v>
      </c>
      <c r="C32" s="24"/>
      <c r="D32" s="24"/>
      <c r="E32" s="24">
        <f>E29+E31</f>
        <v>372.44699999999989</v>
      </c>
      <c r="F32" s="24">
        <f>F29+F31</f>
        <v>387.06934999999999</v>
      </c>
      <c r="G32" s="24">
        <f>G29+G31</f>
        <v>400.62281750000011</v>
      </c>
      <c r="H32" s="24">
        <f>H29+H31</f>
        <v>411.85395837499999</v>
      </c>
      <c r="I32" s="24">
        <f>I29+I31</f>
        <v>7032.1831163087518</v>
      </c>
    </row>
    <row r="33" spans="2:9">
      <c r="B33" s="3" t="s">
        <v>39</v>
      </c>
      <c r="C33" s="24"/>
      <c r="D33" s="24"/>
      <c r="E33" s="24">
        <f>D36 * $C$12* (1 - $C$8)</f>
        <v>131.82750000000001</v>
      </c>
      <c r="F33" s="24">
        <f>E36 * $C$12* (1 - $C$8)</f>
        <v>119.6461378125</v>
      </c>
      <c r="G33" s="24">
        <f>F36 * $C$12* (1 - $C$8)</f>
        <v>106.10783769550781</v>
      </c>
      <c r="H33" s="24">
        <f>G36 * $C$12* (1 - $C$8)</f>
        <v>91.198016842905403</v>
      </c>
      <c r="I33" s="24">
        <f>H36 * $C$12* (1 - $C$8)</f>
        <v>74.964809802843106</v>
      </c>
    </row>
    <row r="34" spans="2:9">
      <c r="B34" s="3" t="s">
        <v>38</v>
      </c>
      <c r="C34" s="24"/>
      <c r="D34" s="24"/>
      <c r="E34" s="24">
        <f>-E32 + E33</f>
        <v>-240.61949999999987</v>
      </c>
      <c r="F34" s="24">
        <f>-F32 + F33</f>
        <v>-267.42321218749998</v>
      </c>
      <c r="G34" s="24">
        <f>-G32 + G33</f>
        <v>-294.51497980449233</v>
      </c>
      <c r="H34" s="24">
        <f>-H32 + H33</f>
        <v>-320.65594153209457</v>
      </c>
      <c r="I34" s="24">
        <v>-1481</v>
      </c>
    </row>
    <row r="35" spans="2:9">
      <c r="B35" s="3" t="s">
        <v>37</v>
      </c>
      <c r="C35" s="24"/>
      <c r="D35" s="24"/>
      <c r="E35" s="24">
        <f>E32 -E33 +E34</f>
        <v>0</v>
      </c>
      <c r="F35" s="24">
        <f>F32 -F33 +F34</f>
        <v>0</v>
      </c>
      <c r="G35" s="24">
        <f>G32 -G33 +G34</f>
        <v>0</v>
      </c>
      <c r="H35" s="24">
        <f>H32 -H33 +H34</f>
        <v>0</v>
      </c>
      <c r="I35" s="24">
        <f>I32 -I33 +I34</f>
        <v>5476.2183065059089</v>
      </c>
    </row>
    <row r="36" spans="2:9">
      <c r="B36" s="3" t="s">
        <v>36</v>
      </c>
      <c r="C36" s="27"/>
      <c r="D36" s="29">
        <f>7 * C30</f>
        <v>2604</v>
      </c>
      <c r="E36" s="24">
        <f>D36 + E34</f>
        <v>2363.3805000000002</v>
      </c>
      <c r="F36" s="24">
        <f>E36 + F34</f>
        <v>2095.9572878125</v>
      </c>
      <c r="G36" s="24">
        <f>F36 + G34</f>
        <v>1801.4423080080078</v>
      </c>
      <c r="H36" s="24">
        <f>G36 + H34</f>
        <v>1480.7863664759132</v>
      </c>
      <c r="I36" s="24">
        <f>H36 + I34</f>
        <v>-0.21363352408684477</v>
      </c>
    </row>
    <row r="37" spans="2:9">
      <c r="B37" s="3" t="s">
        <v>40</v>
      </c>
      <c r="C37" s="27"/>
      <c r="D37" s="29">
        <f>D36</f>
        <v>2604</v>
      </c>
      <c r="E37" s="24">
        <f>D37 + E35</f>
        <v>2604</v>
      </c>
      <c r="F37" s="24">
        <f>E37 + F35</f>
        <v>2604</v>
      </c>
      <c r="G37" s="24">
        <f>F37 + G35</f>
        <v>2604</v>
      </c>
      <c r="H37" s="24">
        <f>G37 + H35</f>
        <v>2604</v>
      </c>
      <c r="I37" s="24"/>
    </row>
    <row r="38" spans="2:9">
      <c r="B38" s="3" t="s">
        <v>27</v>
      </c>
      <c r="C38" s="27"/>
      <c r="D38" s="28">
        <f>NPV(C13,E32:I32)</f>
        <v>5344.5319850219739</v>
      </c>
      <c r="E38" s="23"/>
      <c r="F38" s="23"/>
      <c r="G38" s="23"/>
      <c r="H38" s="23"/>
      <c r="I38" s="23"/>
    </row>
    <row r="39" spans="2:9">
      <c r="B39" s="3" t="s">
        <v>28</v>
      </c>
      <c r="C39" s="27"/>
      <c r="D39" s="29"/>
      <c r="E39" s="30">
        <f>D36 * $C$12 * $C$8</f>
        <v>43.942500000000003</v>
      </c>
      <c r="F39" s="30">
        <f>E36 * $C$12 * $C$8</f>
        <v>39.882045937500003</v>
      </c>
      <c r="G39" s="30">
        <f>F36 * $C$12 * $C$8</f>
        <v>35.369279231835939</v>
      </c>
      <c r="H39" s="30">
        <f>G36 * $C$12 * $C$8</f>
        <v>30.399338947635133</v>
      </c>
      <c r="I39" s="30">
        <f>H36 * $C$12 * $C$8</f>
        <v>24.988269934281035</v>
      </c>
    </row>
    <row r="40" spans="2:9">
      <c r="B40" s="3" t="s">
        <v>29</v>
      </c>
      <c r="C40" s="27"/>
      <c r="D40" s="29">
        <f>NPV(C12,E39:I39)</f>
        <v>146.67241554600915</v>
      </c>
      <c r="E40" s="30"/>
      <c r="F40" s="30"/>
      <c r="G40" s="30"/>
      <c r="H40" s="30"/>
      <c r="I40" s="30"/>
    </row>
    <row r="41" spans="2:9">
      <c r="E41" s="23"/>
      <c r="F41" s="23"/>
      <c r="G41" s="23"/>
      <c r="H41" s="23"/>
      <c r="I41" s="23"/>
    </row>
    <row r="42" spans="2:9">
      <c r="B42" s="18" t="s">
        <v>30</v>
      </c>
      <c r="C42" s="31"/>
      <c r="D42" s="32">
        <f>D38+D36 - D37 + D40</f>
        <v>5491.2044005679827</v>
      </c>
      <c r="E42" s="31"/>
      <c r="F42" s="31"/>
      <c r="G42" s="31"/>
      <c r="H42" s="31"/>
      <c r="I42" s="31"/>
    </row>
    <row r="44" spans="2:9">
      <c r="B44" s="3" t="s">
        <v>35</v>
      </c>
      <c r="C44" s="45">
        <f>D42-part_c!D36</f>
        <v>146.67241554600878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47A2-7874-F34D-B562-6B6CD2C8A64A}">
  <dimension ref="A1:B5"/>
  <sheetViews>
    <sheetView tabSelected="1" workbookViewId="0"/>
  </sheetViews>
  <sheetFormatPr baseColWidth="10" defaultRowHeight="17"/>
  <cols>
    <col min="1" max="1" width="25" bestFit="1" customWidth="1"/>
    <col min="2" max="2" width="26" bestFit="1" customWidth="1"/>
  </cols>
  <sheetData>
    <row r="1" spans="1:2">
      <c r="A1" s="55" t="s">
        <v>41</v>
      </c>
      <c r="B1" s="55" t="s">
        <v>42</v>
      </c>
    </row>
    <row r="2" spans="1:2">
      <c r="A2" t="s">
        <v>43</v>
      </c>
      <c r="B2" s="54">
        <f>part_a!C38</f>
        <v>146.28550223984439</v>
      </c>
    </row>
    <row r="3" spans="1:2">
      <c r="A3" t="s">
        <v>44</v>
      </c>
      <c r="B3" s="54">
        <f>part_b!C38</f>
        <v>743.57226476228698</v>
      </c>
    </row>
    <row r="4" spans="1:2">
      <c r="A4" t="s">
        <v>45</v>
      </c>
      <c r="B4" s="54">
        <f>part_c!C38</f>
        <v>485.17144444294445</v>
      </c>
    </row>
    <row r="5" spans="1:2">
      <c r="A5" t="s">
        <v>36</v>
      </c>
      <c r="B5" s="54">
        <f>part_d!C44</f>
        <v>146.67241554600878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Ex9 modified</vt:lpstr>
      <vt:lpstr>part_a</vt:lpstr>
      <vt:lpstr>part_b</vt:lpstr>
      <vt:lpstr>part_c</vt:lpstr>
      <vt:lpstr>part_d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Kronlund, Mathias</dc:creator>
  <cp:lastModifiedBy>wbpark91@gmail.com</cp:lastModifiedBy>
  <dcterms:created xsi:type="dcterms:W3CDTF">2016-04-09T19:47:03Z</dcterms:created>
  <dcterms:modified xsi:type="dcterms:W3CDTF">2018-04-17T18:39:45Z</dcterms:modified>
</cp:coreProperties>
</file>