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Case/CS4/"/>
    </mc:Choice>
  </mc:AlternateContent>
  <bookViews>
    <workbookView xWindow="1040" yWindow="1680" windowWidth="27760" windowHeight="16380" tabRatio="500" activeTab="6"/>
  </bookViews>
  <sheets>
    <sheet name="Sheet1" sheetId="1" r:id="rId1"/>
    <sheet name="Balance Sheet" sheetId="2" r:id="rId2"/>
    <sheet name="Income Statement" sheetId="3" r:id="rId3"/>
    <sheet name="EPS,ROE,Market-to-Book" sheetId="4" r:id="rId4"/>
    <sheet name="Interest Coverage, D to E" sheetId="5" r:id="rId5"/>
    <sheet name="Total CF" sheetId="6" r:id="rId6"/>
    <sheet name="Equity Value, Price, MV, EV(Mkt" sheetId="7" r:id="rId7"/>
  </sheets>
  <definedNames>
    <definedName name="cash">Sheet1!$C$7</definedName>
    <definedName name="debt">Sheet1!$C$6</definedName>
    <definedName name="interest">Sheet1!$F$6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B10" i="7"/>
  <c r="C8" i="7"/>
  <c r="C9" i="7"/>
  <c r="B9" i="7"/>
  <c r="B8" i="7"/>
  <c r="C6" i="7"/>
  <c r="B6" i="7"/>
  <c r="C5" i="7"/>
  <c r="B5" i="7"/>
  <c r="C2" i="7"/>
  <c r="B2" i="7"/>
  <c r="C4" i="7"/>
  <c r="B4" i="7"/>
  <c r="C3" i="7"/>
  <c r="B3" i="7"/>
  <c r="C4" i="6"/>
  <c r="B4" i="6"/>
  <c r="C2" i="6"/>
  <c r="C3" i="6"/>
  <c r="B3" i="6"/>
  <c r="B2" i="6"/>
  <c r="C8" i="5"/>
  <c r="B8" i="5"/>
  <c r="C7" i="5"/>
  <c r="B7" i="5"/>
  <c r="C6" i="5"/>
  <c r="B6" i="5"/>
  <c r="C4" i="5"/>
  <c r="C3" i="5"/>
  <c r="C2" i="5"/>
  <c r="B2" i="5"/>
  <c r="C12" i="4"/>
  <c r="B12" i="4"/>
  <c r="C11" i="4"/>
  <c r="B11" i="4"/>
  <c r="C8" i="4"/>
  <c r="B8" i="4"/>
  <c r="C7" i="4"/>
  <c r="B7" i="4"/>
  <c r="C6" i="4"/>
  <c r="B6" i="4"/>
  <c r="C4" i="4"/>
  <c r="B4" i="4"/>
  <c r="C2" i="4"/>
  <c r="B2" i="4"/>
  <c r="C3" i="2"/>
  <c r="C11" i="3"/>
  <c r="C13" i="3"/>
  <c r="C14" i="3"/>
  <c r="B14" i="3"/>
  <c r="C12" i="3"/>
  <c r="C4" i="3"/>
  <c r="C6" i="3"/>
  <c r="C10" i="3"/>
  <c r="C15" i="3"/>
  <c r="C7" i="3"/>
  <c r="C8" i="3"/>
  <c r="B4" i="3"/>
  <c r="B6" i="3"/>
  <c r="B10" i="3"/>
  <c r="B13" i="3"/>
  <c r="B7" i="3"/>
  <c r="B8" i="3"/>
  <c r="B15" i="3"/>
  <c r="B18" i="2"/>
  <c r="B23" i="2"/>
  <c r="B25" i="2"/>
  <c r="B9" i="2"/>
  <c r="B7" i="2"/>
  <c r="B12" i="2"/>
  <c r="C20" i="2"/>
  <c r="C18" i="2"/>
  <c r="C23" i="2"/>
  <c r="C25" i="2"/>
  <c r="C9" i="2"/>
  <c r="C7" i="2"/>
  <c r="C12" i="2"/>
  <c r="F6" i="1"/>
</calcChain>
</file>

<file path=xl/sharedStrings.xml><?xml version="1.0" encoding="utf-8"?>
<sst xmlns="http://schemas.openxmlformats.org/spreadsheetml/2006/main" count="76" uniqueCount="58">
  <si>
    <t>Repurchase</t>
  </si>
  <si>
    <t>Price</t>
  </si>
  <si>
    <t>New Debt</t>
  </si>
  <si>
    <t>Cash deduct</t>
  </si>
  <si>
    <t>Risk-Free rate</t>
  </si>
  <si>
    <t>Tax Rate</t>
  </si>
  <si>
    <t>Bond Yield</t>
  </si>
  <si>
    <t>Interest Expense</t>
  </si>
  <si>
    <t>Assets:</t>
  </si>
  <si>
    <t>Cash &amp; Cash Equivalents</t>
  </si>
  <si>
    <t>Marketable Securities</t>
  </si>
  <si>
    <t>Accounts Receivable</t>
  </si>
  <si>
    <t>Inventory</t>
  </si>
  <si>
    <t>Other Current Assets</t>
  </si>
  <si>
    <t>Total Current Assets</t>
  </si>
  <si>
    <t>Property, Plant &amp; Equipment</t>
  </si>
  <si>
    <t>Goodwill</t>
  </si>
  <si>
    <t>Other Assets</t>
  </si>
  <si>
    <t>Total Assets</t>
  </si>
  <si>
    <t>Liabilities &amp; Shareholders' Equity:</t>
  </si>
  <si>
    <t>Accounts Payable</t>
  </si>
  <si>
    <t>Accrued Liabilities</t>
  </si>
  <si>
    <t>Taxes Payable</t>
  </si>
  <si>
    <t>Total Current Liabilities</t>
  </si>
  <si>
    <t>Other liabilities</t>
  </si>
  <si>
    <t>Deferred Taxes</t>
  </si>
  <si>
    <t xml:space="preserve">Total Liabilities  </t>
  </si>
  <si>
    <t>Shareholders' Equity</t>
  </si>
  <si>
    <t>Total Liabilities &amp; Shareholders' Equity</t>
  </si>
  <si>
    <t>Long-Term Debt</t>
  </si>
  <si>
    <t>2006(New)</t>
  </si>
  <si>
    <t>Operating Results:</t>
  </si>
  <si>
    <t>Revenue</t>
  </si>
  <si>
    <t>Less:  Cost of Goods Sold</t>
  </si>
  <si>
    <t>Gross Profit</t>
  </si>
  <si>
    <t>Less:  Selling, General &amp; Administrative</t>
  </si>
  <si>
    <t>Operating Income</t>
  </si>
  <si>
    <t>Plus:  Depreciation &amp; Amortization</t>
  </si>
  <si>
    <t>EBITDA</t>
  </si>
  <si>
    <t>EBIT</t>
  </si>
  <si>
    <t>Plus:  Other Income (expense)</t>
  </si>
  <si>
    <t>Earnings Before Tax</t>
  </si>
  <si>
    <t>Less:  Taxes</t>
  </si>
  <si>
    <t>Net Income</t>
  </si>
  <si>
    <t>Dividends</t>
  </si>
  <si>
    <t>Less: Interest Expense</t>
  </si>
  <si>
    <t>Number of share</t>
  </si>
  <si>
    <t>EPS</t>
  </si>
  <si>
    <t>Book Value of Equity</t>
  </si>
  <si>
    <t>ROE</t>
  </si>
  <si>
    <t>Market Value of Equity</t>
  </si>
  <si>
    <t>Market-to-Book Ratio</t>
  </si>
  <si>
    <t>Interest Coverage</t>
  </si>
  <si>
    <t>Net Debt</t>
  </si>
  <si>
    <t>Debt/Equity</t>
  </si>
  <si>
    <t>Total</t>
  </si>
  <si>
    <t>Outstanding Shares</t>
  </si>
  <si>
    <t>EnterPrise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</si>
</sst>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6" formatCode="0.00_);\(0.00\)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8"/>
      <color theme="1"/>
      <name val="Times New Roman"/>
      <family val="1"/>
    </font>
    <font>
      <b/>
      <sz val="8"/>
      <color theme="1"/>
      <name val="Times New Roman"/>
      <family val="2"/>
    </font>
    <font>
      <b/>
      <sz val="12"/>
      <color theme="1"/>
      <name val="Times New Roman"/>
      <family val="2"/>
    </font>
    <font>
      <u/>
      <sz val="12"/>
      <color theme="1"/>
      <name val="Times New Roman"/>
      <family val="2"/>
    </font>
    <font>
      <i/>
      <u/>
      <sz val="12"/>
      <color theme="1"/>
      <name val="Times New Roman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7" fontId="0" fillId="0" borderId="0" xfId="0" applyNumberFormat="1"/>
    <xf numFmtId="10" fontId="0" fillId="0" borderId="0" xfId="0" applyNumberFormat="1"/>
    <xf numFmtId="0" fontId="0" fillId="0" borderId="0" xfId="0" applyBorder="1"/>
    <xf numFmtId="37" fontId="0" fillId="0" borderId="0" xfId="0" applyNumberFormat="1" applyBorder="1"/>
    <xf numFmtId="37" fontId="0" fillId="0" borderId="0" xfId="0" applyNumberFormat="1" applyFont="1" applyBorder="1"/>
    <xf numFmtId="37" fontId="3" fillId="0" borderId="0" xfId="0" applyNumberFormat="1" applyFont="1" applyBorder="1"/>
    <xf numFmtId="37" fontId="2" fillId="0" borderId="0" xfId="0" applyNumberFormat="1" applyFont="1" applyBorder="1"/>
    <xf numFmtId="164" fontId="3" fillId="2" borderId="0" xfId="0" applyNumberFormat="1" applyFont="1" applyFill="1" applyBorder="1"/>
    <xf numFmtId="37" fontId="4" fillId="0" borderId="0" xfId="0" applyNumberFormat="1" applyFont="1" applyBorder="1"/>
    <xf numFmtId="0" fontId="0" fillId="0" borderId="0" xfId="0" applyFont="1" applyBorder="1"/>
    <xf numFmtId="37" fontId="5" fillId="0" borderId="0" xfId="0" applyNumberFormat="1" applyFont="1" applyBorder="1"/>
    <xf numFmtId="37" fontId="6" fillId="0" borderId="0" xfId="0" applyNumberFormat="1" applyFont="1" applyBorder="1"/>
    <xf numFmtId="164" fontId="4" fillId="2" borderId="0" xfId="0" applyNumberFormat="1" applyFont="1" applyFill="1" applyBorder="1"/>
    <xf numFmtId="3" fontId="0" fillId="0" borderId="0" xfId="0" applyNumberFormat="1"/>
    <xf numFmtId="37" fontId="1" fillId="0" borderId="0" xfId="0" applyNumberFormat="1" applyFont="1" applyBorder="1"/>
    <xf numFmtId="37" fontId="1" fillId="0" borderId="0" xfId="0" applyNumberFormat="1" applyFont="1" applyFill="1" applyBorder="1"/>
    <xf numFmtId="37" fontId="7" fillId="0" borderId="0" xfId="0" applyNumberFormat="1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4" sqref="C4"/>
    </sheetView>
  </sheetViews>
  <sheetFormatPr baseColWidth="10" defaultRowHeight="16" x14ac:dyDescent="0.2"/>
  <cols>
    <col min="5" max="5" width="14.6640625" bestFit="1" customWidth="1"/>
  </cols>
  <sheetData>
    <row r="1" spans="1:6" x14ac:dyDescent="0.2">
      <c r="A1" t="s">
        <v>0</v>
      </c>
    </row>
    <row r="2" spans="1:6" x14ac:dyDescent="0.2">
      <c r="B2" s="1" t="s">
        <v>4</v>
      </c>
      <c r="C2" s="2">
        <v>5.0999999999999997E-2</v>
      </c>
    </row>
    <row r="3" spans="1:6" x14ac:dyDescent="0.2">
      <c r="B3" t="s">
        <v>5</v>
      </c>
      <c r="C3" s="2">
        <v>0.30756086084350798</v>
      </c>
    </row>
    <row r="4" spans="1:6" x14ac:dyDescent="0.2">
      <c r="B4" t="s">
        <v>6</v>
      </c>
      <c r="C4" s="2">
        <v>6.7199999999999996E-2</v>
      </c>
      <c r="E4" s="1"/>
    </row>
    <row r="6" spans="1:6" x14ac:dyDescent="0.2">
      <c r="B6" t="s">
        <v>2</v>
      </c>
      <c r="C6">
        <v>100000</v>
      </c>
      <c r="E6" t="s">
        <v>7</v>
      </c>
      <c r="F6">
        <f>C6 * C4</f>
        <v>6720</v>
      </c>
    </row>
    <row r="7" spans="1:6" x14ac:dyDescent="0.2">
      <c r="B7" t="s">
        <v>3</v>
      </c>
      <c r="C7">
        <v>-200000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2" sqref="E22"/>
    </sheetView>
  </sheetViews>
  <sheetFormatPr baseColWidth="10" defaultRowHeight="16" x14ac:dyDescent="0.2"/>
  <cols>
    <col min="1" max="1" width="24.5" bestFit="1" customWidth="1"/>
  </cols>
  <sheetData>
    <row r="1" spans="1:5" x14ac:dyDescent="0.2">
      <c r="A1" s="7" t="s">
        <v>8</v>
      </c>
      <c r="B1" s="8">
        <v>2006</v>
      </c>
      <c r="C1" s="8" t="s">
        <v>30</v>
      </c>
      <c r="E1" s="3"/>
    </row>
    <row r="2" spans="1:5" x14ac:dyDescent="0.2">
      <c r="A2" s="15" t="s">
        <v>9</v>
      </c>
      <c r="B2" s="5">
        <v>66557</v>
      </c>
      <c r="C2" s="5">
        <v>0</v>
      </c>
      <c r="E2" s="3"/>
    </row>
    <row r="3" spans="1:5" x14ac:dyDescent="0.2">
      <c r="A3" s="15" t="s">
        <v>10</v>
      </c>
      <c r="B3" s="5">
        <v>164309</v>
      </c>
      <c r="C3" s="5">
        <f>164309 + cash + 66557</f>
        <v>30866</v>
      </c>
      <c r="E3" s="3"/>
    </row>
    <row r="4" spans="1:5" x14ac:dyDescent="0.2">
      <c r="A4" s="4" t="s">
        <v>11</v>
      </c>
      <c r="B4" s="5">
        <v>48780.310104166703</v>
      </c>
      <c r="C4" s="5">
        <v>48780.310104166703</v>
      </c>
      <c r="E4" s="3"/>
    </row>
    <row r="5" spans="1:5" x14ac:dyDescent="0.2">
      <c r="A5" s="4" t="s">
        <v>12</v>
      </c>
      <c r="B5" s="5">
        <v>54874.283750000002</v>
      </c>
      <c r="C5" s="5">
        <v>54874.283750000002</v>
      </c>
      <c r="E5" s="3"/>
    </row>
    <row r="6" spans="1:5" x14ac:dyDescent="0.2">
      <c r="A6" s="4" t="s">
        <v>13</v>
      </c>
      <c r="B6" s="5">
        <v>5157</v>
      </c>
      <c r="C6" s="5">
        <v>5157</v>
      </c>
      <c r="E6" s="3"/>
    </row>
    <row r="7" spans="1:5" x14ac:dyDescent="0.2">
      <c r="A7" s="6" t="s">
        <v>14</v>
      </c>
      <c r="B7" s="9">
        <f>SUM(B2:B6)</f>
        <v>339677.59385416668</v>
      </c>
      <c r="C7" s="9">
        <f>SUM(C2:C6)</f>
        <v>139677.59385416671</v>
      </c>
      <c r="E7" s="3"/>
    </row>
    <row r="8" spans="1:5" x14ac:dyDescent="0.2">
      <c r="A8" s="4"/>
      <c r="B8" s="5"/>
      <c r="C8" s="5"/>
      <c r="E8" s="3"/>
    </row>
    <row r="9" spans="1:5" x14ac:dyDescent="0.2">
      <c r="A9" s="4" t="s">
        <v>15</v>
      </c>
      <c r="B9" s="5">
        <f>174321.428717212</f>
        <v>174321.42871721199</v>
      </c>
      <c r="C9" s="5">
        <f>174321.428717212</f>
        <v>174321.42871721199</v>
      </c>
      <c r="E9" s="3"/>
    </row>
    <row r="10" spans="1:5" x14ac:dyDescent="0.2">
      <c r="A10" s="4" t="s">
        <v>16</v>
      </c>
      <c r="B10" s="5">
        <v>38281</v>
      </c>
      <c r="C10" s="5">
        <v>38281</v>
      </c>
      <c r="E10" s="3"/>
    </row>
    <row r="11" spans="1:5" x14ac:dyDescent="0.2">
      <c r="A11" s="4" t="s">
        <v>17</v>
      </c>
      <c r="B11" s="5">
        <v>39973</v>
      </c>
      <c r="C11" s="5">
        <v>39973</v>
      </c>
      <c r="E11" s="3"/>
    </row>
    <row r="12" spans="1:5" x14ac:dyDescent="0.2">
      <c r="A12" s="6" t="s">
        <v>18</v>
      </c>
      <c r="B12" s="9">
        <f>SUM(B9:B11)+B7</f>
        <v>592253.02257137862</v>
      </c>
      <c r="C12" s="9">
        <f>SUM(C9:C11)+C7</f>
        <v>392253.02257137874</v>
      </c>
      <c r="E12" s="3"/>
    </row>
    <row r="13" spans="1:5" x14ac:dyDescent="0.2">
      <c r="A13" s="3"/>
      <c r="B13" s="5"/>
      <c r="C13" s="5"/>
      <c r="E13" s="3"/>
    </row>
    <row r="14" spans="1:5" x14ac:dyDescent="0.2">
      <c r="A14" s="7" t="s">
        <v>19</v>
      </c>
      <c r="B14" s="5"/>
      <c r="C14" s="5"/>
      <c r="E14" s="3"/>
    </row>
    <row r="15" spans="1:5" x14ac:dyDescent="0.2">
      <c r="A15" s="4" t="s">
        <v>20</v>
      </c>
      <c r="B15" s="5">
        <v>31935.556124999999</v>
      </c>
      <c r="C15" s="5">
        <v>31935.556124999999</v>
      </c>
      <c r="E15" s="3"/>
    </row>
    <row r="16" spans="1:5" x14ac:dyDescent="0.2">
      <c r="A16" s="4" t="s">
        <v>21</v>
      </c>
      <c r="B16" s="5">
        <v>27760.973624999999</v>
      </c>
      <c r="C16" s="5">
        <v>27760.973624999999</v>
      </c>
      <c r="E16" s="3"/>
    </row>
    <row r="17" spans="1:5" x14ac:dyDescent="0.2">
      <c r="A17" s="4" t="s">
        <v>22</v>
      </c>
      <c r="B17" s="5">
        <v>16884.3606</v>
      </c>
      <c r="C17" s="5">
        <v>16884.3606</v>
      </c>
      <c r="E17" s="3"/>
    </row>
    <row r="18" spans="1:5" x14ac:dyDescent="0.2">
      <c r="A18" s="6" t="s">
        <v>23</v>
      </c>
      <c r="B18" s="9">
        <f>SUM(B15:B17)</f>
        <v>76580.890350000001</v>
      </c>
      <c r="C18" s="9">
        <f>SUM(C15:C17)</f>
        <v>76580.890350000001</v>
      </c>
      <c r="E18" s="3"/>
    </row>
    <row r="19" spans="1:5" x14ac:dyDescent="0.2">
      <c r="A19" s="6"/>
      <c r="B19" s="9"/>
      <c r="C19" s="9"/>
      <c r="E19" s="3"/>
    </row>
    <row r="20" spans="1:5" x14ac:dyDescent="0.2">
      <c r="A20" s="16" t="s">
        <v>29</v>
      </c>
      <c r="B20" s="10"/>
      <c r="C20" s="10">
        <f>debt</f>
        <v>100000</v>
      </c>
      <c r="E20" s="3"/>
    </row>
    <row r="21" spans="1:5" x14ac:dyDescent="0.2">
      <c r="A21" s="4" t="s">
        <v>24</v>
      </c>
      <c r="B21" s="5">
        <v>4814</v>
      </c>
      <c r="C21" s="5">
        <v>4814</v>
      </c>
      <c r="E21" s="3"/>
    </row>
    <row r="22" spans="1:5" x14ac:dyDescent="0.2">
      <c r="A22" s="4" t="s">
        <v>25</v>
      </c>
      <c r="B22" s="5">
        <v>22495.184271264399</v>
      </c>
      <c r="C22" s="5">
        <v>22495.184271264399</v>
      </c>
      <c r="E22" s="3"/>
    </row>
    <row r="23" spans="1:5" x14ac:dyDescent="0.2">
      <c r="A23" s="6" t="s">
        <v>26</v>
      </c>
      <c r="B23" s="9">
        <f>SUM(B18:B22)</f>
        <v>103890.0746212644</v>
      </c>
      <c r="C23" s="9">
        <f>SUM(C18:C22)</f>
        <v>203890.07462126442</v>
      </c>
      <c r="E23" s="3"/>
    </row>
    <row r="24" spans="1:5" x14ac:dyDescent="0.2">
      <c r="A24" s="15" t="s">
        <v>27</v>
      </c>
      <c r="B24" s="11">
        <v>488362.87757515302</v>
      </c>
      <c r="C24" s="11">
        <v>188362.87757515299</v>
      </c>
      <c r="E24" s="3"/>
    </row>
    <row r="25" spans="1:5" x14ac:dyDescent="0.2">
      <c r="A25" s="6" t="s">
        <v>28</v>
      </c>
      <c r="B25" s="9">
        <f>B23+B24</f>
        <v>592252.95219641738</v>
      </c>
      <c r="C25" s="9">
        <f>C23+C24</f>
        <v>392252.95219641738</v>
      </c>
      <c r="E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C1"/>
    </sheetView>
  </sheetViews>
  <sheetFormatPr baseColWidth="10" defaultRowHeight="16" x14ac:dyDescent="0.2"/>
  <cols>
    <col min="1" max="1" width="32.83203125" bestFit="1" customWidth="1"/>
  </cols>
  <sheetData>
    <row r="1" spans="1:3" x14ac:dyDescent="0.2">
      <c r="A1" s="12" t="s">
        <v>31</v>
      </c>
      <c r="B1" s="13">
        <v>2006</v>
      </c>
      <c r="C1" s="13" t="s">
        <v>30</v>
      </c>
    </row>
    <row r="2" spans="1:3" x14ac:dyDescent="0.2">
      <c r="A2" s="9" t="s">
        <v>32</v>
      </c>
      <c r="B2" s="9">
        <v>342251.25</v>
      </c>
      <c r="C2" s="9">
        <v>342251.25</v>
      </c>
    </row>
    <row r="3" spans="1:3" x14ac:dyDescent="0.2">
      <c r="A3" s="5" t="s">
        <v>33</v>
      </c>
      <c r="B3" s="11">
        <v>249793.5</v>
      </c>
      <c r="C3" s="11">
        <v>249793.5</v>
      </c>
    </row>
    <row r="4" spans="1:3" x14ac:dyDescent="0.2">
      <c r="A4" s="9" t="s">
        <v>34</v>
      </c>
      <c r="B4" s="9">
        <f t="shared" ref="B4:C4" si="0">B2-B3</f>
        <v>92457.75</v>
      </c>
      <c r="C4" s="9">
        <f t="shared" si="0"/>
        <v>92457.75</v>
      </c>
    </row>
    <row r="5" spans="1:3" x14ac:dyDescent="0.2">
      <c r="A5" s="5" t="s">
        <v>35</v>
      </c>
      <c r="B5" s="5">
        <v>28512</v>
      </c>
      <c r="C5" s="5">
        <v>28512</v>
      </c>
    </row>
    <row r="6" spans="1:3" x14ac:dyDescent="0.2">
      <c r="A6" s="9" t="s">
        <v>36</v>
      </c>
      <c r="B6" s="9">
        <f>B4-SUM(B5:B5)</f>
        <v>63945.75</v>
      </c>
      <c r="C6" s="9">
        <f>C4-SUM(C5:C5)</f>
        <v>63945.75</v>
      </c>
    </row>
    <row r="7" spans="1:3" x14ac:dyDescent="0.2">
      <c r="A7" s="5" t="s">
        <v>37</v>
      </c>
      <c r="B7" s="5">
        <f>9914</f>
        <v>9914</v>
      </c>
      <c r="C7" s="5">
        <f>9914</f>
        <v>9914</v>
      </c>
    </row>
    <row r="8" spans="1:3" x14ac:dyDescent="0.2">
      <c r="A8" s="9" t="s">
        <v>38</v>
      </c>
      <c r="B8" s="9">
        <f t="shared" ref="B8:C8" si="1">B6+B7</f>
        <v>73859.75</v>
      </c>
      <c r="C8" s="9">
        <f t="shared" si="1"/>
        <v>73859.75</v>
      </c>
    </row>
    <row r="9" spans="1:3" x14ac:dyDescent="0.2">
      <c r="A9" s="5"/>
      <c r="B9" s="5"/>
      <c r="C9" s="5"/>
    </row>
    <row r="10" spans="1:3" x14ac:dyDescent="0.2">
      <c r="A10" s="9" t="s">
        <v>39</v>
      </c>
      <c r="B10" s="9">
        <f t="shared" ref="B10:C10" si="2">B6</f>
        <v>63945.75</v>
      </c>
      <c r="C10" s="9">
        <f t="shared" si="2"/>
        <v>63945.75</v>
      </c>
    </row>
    <row r="11" spans="1:3" x14ac:dyDescent="0.2">
      <c r="A11" s="5" t="s">
        <v>40</v>
      </c>
      <c r="B11" s="5">
        <v>13505.661</v>
      </c>
      <c r="C11" s="5">
        <f>B11*('Balance Sheet'!C3/SUM('Balance Sheet'!B2:B3))</f>
        <v>1805.6609999999998</v>
      </c>
    </row>
    <row r="12" spans="1:3" x14ac:dyDescent="0.2">
      <c r="A12" s="5" t="s">
        <v>45</v>
      </c>
      <c r="C12" s="17">
        <f>interest</f>
        <v>6720</v>
      </c>
    </row>
    <row r="13" spans="1:3" x14ac:dyDescent="0.2">
      <c r="A13" s="9" t="s">
        <v>41</v>
      </c>
      <c r="B13" s="9">
        <f>B10+B11</f>
        <v>77451.410999999993</v>
      </c>
      <c r="C13" s="9">
        <f>C10+C11 - C12</f>
        <v>59031.410999999993</v>
      </c>
    </row>
    <row r="14" spans="1:3" x14ac:dyDescent="0.2">
      <c r="A14" s="5" t="s">
        <v>42</v>
      </c>
      <c r="B14" s="5">
        <f>Sheet1!$C$3*B13</f>
        <v>23821.022640704341</v>
      </c>
      <c r="C14" s="5">
        <f>Sheet1!$C$3*C13</f>
        <v>18155.751583966925</v>
      </c>
    </row>
    <row r="15" spans="1:3" x14ac:dyDescent="0.2">
      <c r="A15" s="9" t="s">
        <v>43</v>
      </c>
      <c r="B15" s="9">
        <f t="shared" ref="B15:C15" si="3">B13-B14</f>
        <v>53630.388359295655</v>
      </c>
      <c r="C15" s="9">
        <f t="shared" si="3"/>
        <v>40875.659416033071</v>
      </c>
    </row>
    <row r="16" spans="1:3" x14ac:dyDescent="0.2">
      <c r="A16" s="5" t="s">
        <v>44</v>
      </c>
      <c r="B16" s="5">
        <v>28345</v>
      </c>
      <c r="C16" s="5">
        <v>28345</v>
      </c>
    </row>
    <row r="17" spans="1:3" x14ac:dyDescent="0.2">
      <c r="A17" s="4"/>
      <c r="B17" s="4"/>
      <c r="C17" s="3"/>
    </row>
    <row r="18" spans="1:3" x14ac:dyDescent="0.2">
      <c r="A18" s="3"/>
      <c r="B18" s="3"/>
      <c r="C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"/>
    </sheetView>
  </sheetViews>
  <sheetFormatPr baseColWidth="10" defaultRowHeight="16" x14ac:dyDescent="0.2"/>
  <cols>
    <col min="1" max="1" width="19.83203125" bestFit="1" customWidth="1"/>
  </cols>
  <sheetData>
    <row r="1" spans="1:3" x14ac:dyDescent="0.2">
      <c r="B1" s="13">
        <v>2006</v>
      </c>
      <c r="C1" s="13" t="s">
        <v>30</v>
      </c>
    </row>
    <row r="2" spans="1:3" x14ac:dyDescent="0.2">
      <c r="A2" t="s">
        <v>43</v>
      </c>
      <c r="B2" s="1">
        <f>'Income Statement'!B15</f>
        <v>53630.388359295655</v>
      </c>
      <c r="C2" s="1">
        <f>'Income Statement'!C15</f>
        <v>40875.659416033071</v>
      </c>
    </row>
    <row r="3" spans="1:3" x14ac:dyDescent="0.2">
      <c r="A3" t="s">
        <v>46</v>
      </c>
      <c r="B3" s="1">
        <v>59052.08333333335</v>
      </c>
      <c r="C3" s="1">
        <v>42121.029808816631</v>
      </c>
    </row>
    <row r="4" spans="1:3" x14ac:dyDescent="0.2">
      <c r="A4" t="s">
        <v>47</v>
      </c>
      <c r="B4" s="18">
        <f>B2 / B3</f>
        <v>0.90818791365185769</v>
      </c>
      <c r="C4" s="18">
        <f>C2 / C3</f>
        <v>0.97043352457344523</v>
      </c>
    </row>
    <row r="6" spans="1:3" x14ac:dyDescent="0.2">
      <c r="A6" t="s">
        <v>43</v>
      </c>
      <c r="B6" s="1">
        <f>'Income Statement'!B15</f>
        <v>53630.388359295655</v>
      </c>
      <c r="C6" s="1">
        <f>'Income Statement'!C15</f>
        <v>40875.659416033071</v>
      </c>
    </row>
    <row r="7" spans="1:3" x14ac:dyDescent="0.2">
      <c r="A7" t="s">
        <v>48</v>
      </c>
      <c r="B7" s="1">
        <f>'Balance Sheet'!B24</f>
        <v>488362.87757515302</v>
      </c>
      <c r="C7" s="1">
        <f>'Balance Sheet'!C24</f>
        <v>188362.87757515299</v>
      </c>
    </row>
    <row r="8" spans="1:3" x14ac:dyDescent="0.2">
      <c r="A8" t="s">
        <v>49</v>
      </c>
      <c r="B8" s="18">
        <f>B6 / B7</f>
        <v>0.10981667694642208</v>
      </c>
      <c r="C8" s="18">
        <f>C6 / C7</f>
        <v>0.21700485755068435</v>
      </c>
    </row>
    <row r="10" spans="1:3" x14ac:dyDescent="0.2">
      <c r="A10" t="s">
        <v>50</v>
      </c>
      <c r="B10" s="1">
        <v>959596.35416666698</v>
      </c>
      <c r="C10" s="1">
        <v>746339.2</v>
      </c>
    </row>
    <row r="11" spans="1:3" x14ac:dyDescent="0.2">
      <c r="A11" t="s">
        <v>48</v>
      </c>
      <c r="B11" s="1">
        <f>'Balance Sheet'!B24</f>
        <v>488362.87757515302</v>
      </c>
      <c r="C11" s="1">
        <f>'Balance Sheet'!C24</f>
        <v>188362.87757515299</v>
      </c>
    </row>
    <row r="12" spans="1:3" x14ac:dyDescent="0.2">
      <c r="A12" t="s">
        <v>51</v>
      </c>
      <c r="B12" s="18">
        <f>B10 / B11</f>
        <v>1.9649248504130967</v>
      </c>
      <c r="C12" s="18">
        <f>C10 / C11</f>
        <v>3.9622414437909916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:C1"/>
    </sheetView>
  </sheetViews>
  <sheetFormatPr baseColWidth="10" defaultRowHeight="16" x14ac:dyDescent="0.2"/>
  <cols>
    <col min="1" max="1" width="18" bestFit="1" customWidth="1"/>
  </cols>
  <sheetData>
    <row r="1" spans="1:3" x14ac:dyDescent="0.2">
      <c r="B1" s="13">
        <v>2006</v>
      </c>
      <c r="C1" s="13" t="s">
        <v>30</v>
      </c>
    </row>
    <row r="2" spans="1:3" x14ac:dyDescent="0.2">
      <c r="A2" t="s">
        <v>38</v>
      </c>
      <c r="B2" s="1">
        <f>'Income Statement'!B8</f>
        <v>73859.75</v>
      </c>
      <c r="C2" s="1">
        <f>'Income Statement'!C8</f>
        <v>73859.75</v>
      </c>
    </row>
    <row r="3" spans="1:3" x14ac:dyDescent="0.2">
      <c r="A3" t="s">
        <v>7</v>
      </c>
      <c r="B3">
        <v>0</v>
      </c>
      <c r="C3" s="1">
        <f>'Income Statement'!C12</f>
        <v>6720</v>
      </c>
    </row>
    <row r="4" spans="1:3" x14ac:dyDescent="0.2">
      <c r="A4" t="s">
        <v>52</v>
      </c>
      <c r="C4" s="18">
        <f>C2 / C3</f>
        <v>10.991034226190477</v>
      </c>
    </row>
    <row r="6" spans="1:3" x14ac:dyDescent="0.2">
      <c r="A6" t="s">
        <v>53</v>
      </c>
      <c r="B6" s="1">
        <f>'Balance Sheet'!B20 - 'Balance Sheet'!B3 - 'Balance Sheet'!B2</f>
        <v>-230866</v>
      </c>
      <c r="C6" s="1">
        <f>'Balance Sheet'!C20 - 'Balance Sheet'!C3 - 'Balance Sheet'!C2</f>
        <v>69134</v>
      </c>
    </row>
    <row r="7" spans="1:3" x14ac:dyDescent="0.2">
      <c r="A7" t="s">
        <v>48</v>
      </c>
      <c r="B7" s="1">
        <f>'Balance Sheet'!B24</f>
        <v>488362.87757515302</v>
      </c>
      <c r="C7" s="1">
        <f>'Balance Sheet'!C24</f>
        <v>188362.87757515299</v>
      </c>
    </row>
    <row r="8" spans="1:3" x14ac:dyDescent="0.2">
      <c r="A8" t="s">
        <v>54</v>
      </c>
      <c r="B8" s="19">
        <f>B6 / B7</f>
        <v>-0.47273453941935334</v>
      </c>
      <c r="C8" s="19">
        <f>C6 / C7</f>
        <v>0.36702560976972187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:C1"/>
    </sheetView>
  </sheetViews>
  <sheetFormatPr baseColWidth="10" defaultRowHeight="16" x14ac:dyDescent="0.2"/>
  <cols>
    <col min="1" max="1" width="14.6640625" bestFit="1" customWidth="1"/>
  </cols>
  <sheetData>
    <row r="1" spans="1:3" x14ac:dyDescent="0.2">
      <c r="B1" s="13">
        <v>2006</v>
      </c>
      <c r="C1" s="13" t="s">
        <v>30</v>
      </c>
    </row>
    <row r="2" spans="1:3" x14ac:dyDescent="0.2">
      <c r="A2" t="s">
        <v>43</v>
      </c>
      <c r="B2" s="14">
        <f>'Income Statement'!B15</f>
        <v>53630.388359295655</v>
      </c>
      <c r="C2" s="14">
        <f>'Income Statement'!C15</f>
        <v>40875.659416033071</v>
      </c>
    </row>
    <row r="3" spans="1:3" x14ac:dyDescent="0.2">
      <c r="A3" t="s">
        <v>7</v>
      </c>
      <c r="B3" s="14">
        <f>'Income Statement'!B12</f>
        <v>0</v>
      </c>
      <c r="C3" s="14">
        <f>'Income Statement'!C12</f>
        <v>6720</v>
      </c>
    </row>
    <row r="4" spans="1:3" x14ac:dyDescent="0.2">
      <c r="A4" t="s">
        <v>55</v>
      </c>
      <c r="B4" s="14">
        <f>SUM(B2:B3)</f>
        <v>53630.388359295655</v>
      </c>
      <c r="C4" s="14">
        <f>SUM(C2:C3)</f>
        <v>47595.659416033071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baseColWidth="10" defaultRowHeight="16" x14ac:dyDescent="0.2"/>
  <cols>
    <col min="1" max="1" width="19.83203125" bestFit="1" customWidth="1"/>
  </cols>
  <sheetData>
    <row r="1" spans="1:3" x14ac:dyDescent="0.2">
      <c r="B1" s="13">
        <v>2006</v>
      </c>
      <c r="C1" s="13" t="s">
        <v>30</v>
      </c>
    </row>
    <row r="2" spans="1:3" x14ac:dyDescent="0.2">
      <c r="A2" t="s">
        <v>1</v>
      </c>
      <c r="B2" s="20">
        <f>B4 / B3</f>
        <v>16.25</v>
      </c>
      <c r="C2" s="20">
        <f>C4 / C3</f>
        <v>17.71892100899629</v>
      </c>
    </row>
    <row r="3" spans="1:3" x14ac:dyDescent="0.2">
      <c r="A3" t="s">
        <v>56</v>
      </c>
      <c r="B3" s="1">
        <f>'EPS,ROE,Market-to-Book'!B3</f>
        <v>59052.08333333335</v>
      </c>
      <c r="C3" s="1">
        <f>'EPS,ROE,Market-to-Book'!C3</f>
        <v>42121.029808816631</v>
      </c>
    </row>
    <row r="4" spans="1:3" x14ac:dyDescent="0.2">
      <c r="A4" t="s">
        <v>50</v>
      </c>
      <c r="B4" s="1">
        <f>'EPS,ROE,Market-to-Book'!B10</f>
        <v>959596.35416666698</v>
      </c>
      <c r="C4" s="1">
        <f>'EPS,ROE,Market-to-Book'!C10</f>
        <v>746339.2</v>
      </c>
    </row>
    <row r="5" spans="1:3" x14ac:dyDescent="0.2">
      <c r="A5" t="s">
        <v>53</v>
      </c>
      <c r="B5" s="1">
        <f>'Interest Coverage, D to E'!B6</f>
        <v>-230866</v>
      </c>
      <c r="C5" s="1">
        <f>'Interest Coverage, D to E'!C6</f>
        <v>69134</v>
      </c>
    </row>
    <row r="6" spans="1:3" x14ac:dyDescent="0.2">
      <c r="A6" t="s">
        <v>57</v>
      </c>
      <c r="B6" s="1">
        <f>B4 + B5</f>
        <v>728730.35416666698</v>
      </c>
      <c r="C6" s="1">
        <f>C4 + C5</f>
        <v>815473.2</v>
      </c>
    </row>
    <row r="8" spans="1:3" x14ac:dyDescent="0.2">
      <c r="A8" t="s">
        <v>50</v>
      </c>
      <c r="B8" s="1">
        <f>B4</f>
        <v>959596.35416666698</v>
      </c>
      <c r="C8" s="1">
        <f>C4</f>
        <v>746339.2</v>
      </c>
    </row>
    <row r="9" spans="1:3" x14ac:dyDescent="0.2">
      <c r="A9" t="s">
        <v>48</v>
      </c>
      <c r="B9" s="1">
        <f>'Balance Sheet'!B24</f>
        <v>488362.87757515302</v>
      </c>
      <c r="C9" s="1">
        <f>'Balance Sheet'!C24</f>
        <v>188362.87757515299</v>
      </c>
    </row>
    <row r="10" spans="1:3" x14ac:dyDescent="0.2">
      <c r="A10" t="s">
        <v>51</v>
      </c>
      <c r="B10" s="18">
        <f>B8 / B9</f>
        <v>1.9649248504130967</v>
      </c>
      <c r="C10" s="18">
        <f>C8 / C9</f>
        <v>3.9622414437909916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Balance Sheet</vt:lpstr>
      <vt:lpstr>Income Statement</vt:lpstr>
      <vt:lpstr>EPS,ROE,Market-to-Book</vt:lpstr>
      <vt:lpstr>Interest Coverage, D to E</vt:lpstr>
      <vt:lpstr>Total CF</vt:lpstr>
      <vt:lpstr>Equity Value, Price, MV, EV(Mkt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2018-03-30T20:50:00Z</dcterms:created>
  <dcterms:modified xsi:type="dcterms:W3CDTF">2018-03-30T22:22:56Z</dcterms:modified>
</cp:coreProperties>
</file>