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4/"/>
    </mc:Choice>
  </mc:AlternateContent>
  <bookViews>
    <workbookView xWindow="21900" yWindow="940" windowWidth="16740" windowHeight="11540" activeTab="2"/>
  </bookViews>
  <sheets>
    <sheet name="Exhibit 1" sheetId="1" r:id="rId1"/>
    <sheet name="Exhibit 2" sheetId="2" r:id="rId2"/>
    <sheet name="Exhibit 3" sheetId="9" r:id="rId3"/>
    <sheet name="Exhibit 4" sheetId="10" r:id="rId4"/>
  </sheets>
  <externalReferences>
    <externalReference r:id="rId5"/>
  </externalReferences>
  <definedNames>
    <definedName name="bal_mult">'Exhibit 2'!$C$11</definedName>
    <definedName name="inc_mult">'Exhibit 1'!$C$11</definedName>
    <definedName name="_xlnm.Print_Area" localSheetId="0">'Exhibit 1'!$A$52:$G$81</definedName>
    <definedName name="_xlnm.Print_Area" localSheetId="1">'Exhibit 2'!$A$52:$G$79</definedName>
    <definedName name="size_factor">'[1]Balance Sheet'!$C$11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9" l="1"/>
  <c r="F31" i="9"/>
  <c r="E31" i="9"/>
  <c r="D31" i="9"/>
  <c r="C31" i="9"/>
  <c r="G30" i="9"/>
  <c r="F30" i="9"/>
  <c r="E30" i="9"/>
  <c r="D30" i="9"/>
  <c r="C30" i="9"/>
  <c r="G28" i="9"/>
  <c r="G27" i="9"/>
  <c r="G26" i="9"/>
  <c r="G25" i="9"/>
  <c r="F28" i="9"/>
  <c r="F27" i="9"/>
  <c r="F26" i="9"/>
  <c r="F25" i="9"/>
  <c r="E28" i="9"/>
  <c r="E27" i="9"/>
  <c r="E26" i="9"/>
  <c r="E25" i="9"/>
  <c r="D28" i="9"/>
  <c r="D27" i="9"/>
  <c r="D26" i="9"/>
  <c r="D25" i="9"/>
  <c r="C28" i="9"/>
  <c r="C27" i="9"/>
  <c r="C26" i="9"/>
  <c r="C25" i="9"/>
  <c r="B19" i="10"/>
  <c r="B20" i="10"/>
  <c r="B17" i="10"/>
  <c r="B16" i="10"/>
  <c r="D15" i="10"/>
  <c r="G22" i="9"/>
  <c r="F22" i="9"/>
  <c r="D22" i="9"/>
  <c r="E22" i="9"/>
  <c r="C22" i="9"/>
  <c r="C13" i="9"/>
  <c r="G10" i="9"/>
  <c r="F10" i="9"/>
  <c r="E10" i="9"/>
  <c r="D10" i="9"/>
  <c r="C10" i="9"/>
  <c r="C12" i="9"/>
  <c r="E12" i="9"/>
  <c r="G12" i="9"/>
  <c r="D12" i="9"/>
  <c r="F12" i="9"/>
  <c r="G63" i="1"/>
  <c r="F63" i="1"/>
  <c r="G65" i="2"/>
  <c r="E58" i="2"/>
  <c r="E59" i="2"/>
  <c r="I30" i="9"/>
  <c r="I31" i="9"/>
  <c r="R102" i="2"/>
  <c r="R52" i="2"/>
  <c r="I52" i="2"/>
  <c r="A52" i="2"/>
  <c r="R51" i="2"/>
  <c r="R1" i="2"/>
  <c r="A1" i="2"/>
  <c r="R102" i="1"/>
  <c r="R52" i="1"/>
  <c r="A52" i="1"/>
  <c r="R51" i="1"/>
  <c r="R1" i="1"/>
  <c r="I1" i="1"/>
  <c r="A1" i="1"/>
  <c r="I25" i="9"/>
  <c r="E74" i="2"/>
  <c r="E60" i="1"/>
  <c r="G60" i="1"/>
  <c r="G62" i="1"/>
  <c r="F60" i="1"/>
  <c r="F76" i="1"/>
  <c r="E63" i="2"/>
  <c r="F75" i="1"/>
  <c r="G75" i="1"/>
  <c r="G76" i="1"/>
  <c r="G64" i="1"/>
  <c r="G66" i="1"/>
  <c r="E77" i="2"/>
  <c r="F63" i="2"/>
  <c r="G63" i="2"/>
  <c r="E76" i="1"/>
  <c r="E62" i="1"/>
  <c r="G74" i="2"/>
  <c r="F74" i="2"/>
  <c r="G77" i="1"/>
  <c r="F62" i="1"/>
  <c r="I26" i="9"/>
  <c r="I27" i="9"/>
  <c r="G68" i="1"/>
  <c r="G69" i="1"/>
  <c r="F64" i="1"/>
  <c r="F66" i="1"/>
  <c r="F68" i="1"/>
  <c r="E77" i="1"/>
  <c r="E66" i="1"/>
  <c r="E68" i="1"/>
  <c r="E64" i="1"/>
  <c r="F77" i="1"/>
  <c r="G78" i="1"/>
  <c r="G70" i="1"/>
  <c r="E78" i="1"/>
  <c r="E69" i="1"/>
  <c r="G80" i="1"/>
  <c r="F78" i="1"/>
  <c r="G81" i="1"/>
  <c r="E70" i="1"/>
  <c r="F77" i="2"/>
  <c r="F69" i="1"/>
  <c r="E71" i="1"/>
  <c r="E80" i="1"/>
  <c r="F70" i="1"/>
  <c r="G77" i="2"/>
  <c r="E81" i="1"/>
  <c r="F81" i="1"/>
  <c r="F80" i="1"/>
  <c r="E68" i="2"/>
  <c r="F68" i="2"/>
  <c r="E79" i="2"/>
  <c r="G68" i="2"/>
  <c r="G79" i="2"/>
  <c r="F79" i="2"/>
  <c r="I28" i="9"/>
  <c r="D18" i="10"/>
  <c r="B18" i="10"/>
</calcChain>
</file>

<file path=xl/sharedStrings.xml><?xml version="1.0" encoding="utf-8"?>
<sst xmlns="http://schemas.openxmlformats.org/spreadsheetml/2006/main" count="115" uniqueCount="105">
  <si>
    <t>Project:</t>
  </si>
  <si>
    <t>Analysis:</t>
  </si>
  <si>
    <t>Draft:</t>
  </si>
  <si>
    <t>Footer:</t>
  </si>
  <si>
    <t>BLAINE KITCHENWARE</t>
  </si>
  <si>
    <t>Historical Income Statement</t>
  </si>
  <si>
    <t>Y</t>
  </si>
  <si>
    <t>Operating Results:</t>
  </si>
  <si>
    <t>Revenue</t>
  </si>
  <si>
    <t>Less:  Cost of Goods Sold</t>
  </si>
  <si>
    <t>Gross Profit</t>
  </si>
  <si>
    <t>Less:  Selling, General &amp; Administrative</t>
  </si>
  <si>
    <t>Earnings Before Tax</t>
  </si>
  <si>
    <t>Less:  Taxes</t>
  </si>
  <si>
    <t>Net Income</t>
  </si>
  <si>
    <t>Margins:</t>
  </si>
  <si>
    <t>Revenue Growth</t>
  </si>
  <si>
    <t>Gross Margin</t>
  </si>
  <si>
    <t>EBIT Margin</t>
  </si>
  <si>
    <t>EBITDA Margin</t>
  </si>
  <si>
    <t>Net Income Margin</t>
  </si>
  <si>
    <t>EBITDA</t>
  </si>
  <si>
    <t>Operating Income</t>
  </si>
  <si>
    <t>Historical Balance Sheet</t>
  </si>
  <si>
    <t>Assets:</t>
  </si>
  <si>
    <t>Cash &amp; Cash Equivalents</t>
  </si>
  <si>
    <t>Marketable Securities</t>
  </si>
  <si>
    <t>Accounts Receivable</t>
  </si>
  <si>
    <t>Inventory</t>
  </si>
  <si>
    <t>Total Current Assets</t>
  </si>
  <si>
    <t>Goodwill</t>
  </si>
  <si>
    <t>Other Assets</t>
  </si>
  <si>
    <t>Total Assets</t>
  </si>
  <si>
    <t>Liabilities &amp; Shareholders' Equity:</t>
  </si>
  <si>
    <t>Accounts Payable</t>
  </si>
  <si>
    <t>Accrued Liabilities</t>
  </si>
  <si>
    <t>Taxes Payable</t>
  </si>
  <si>
    <t>Total Current Liabilities</t>
  </si>
  <si>
    <t>Deferred Taxes</t>
  </si>
  <si>
    <t>Shareholders' Equity</t>
  </si>
  <si>
    <t>Total Liabilities &amp; Shareholders' Equity</t>
  </si>
  <si>
    <t>A</t>
  </si>
  <si>
    <t>EBIT</t>
  </si>
  <si>
    <t>LTM Trading Multiples</t>
  </si>
  <si>
    <t>Blaine Kitchenware</t>
  </si>
  <si>
    <t>Property, Plant &amp; Equipment</t>
  </si>
  <si>
    <t>Home &amp; Hearth Design</t>
  </si>
  <si>
    <t>AutoTech Appliances</t>
  </si>
  <si>
    <t>XQL Corp.</t>
  </si>
  <si>
    <t>EasyLiving Systems</t>
  </si>
  <si>
    <t>Plus:  Depreciation &amp; Amortization</t>
  </si>
  <si>
    <t>Plus:  Other Income (expense)</t>
  </si>
  <si>
    <t>Dividends</t>
  </si>
  <si>
    <t>Other Current Assets</t>
  </si>
  <si>
    <t>Other liabilities</t>
  </si>
  <si>
    <t xml:space="preserve">Total Liabilities  </t>
  </si>
  <si>
    <t>Dividend payout ratio</t>
  </si>
  <si>
    <t>Net income</t>
  </si>
  <si>
    <t>Net fixed assets</t>
  </si>
  <si>
    <t>Total assets</t>
  </si>
  <si>
    <t>Market capitalization</t>
  </si>
  <si>
    <t>Equity beta</t>
  </si>
  <si>
    <t>Book equity</t>
  </si>
  <si>
    <t>Bunkerhill, Inc.</t>
  </si>
  <si>
    <t>Cash &amp; securities</t>
  </si>
  <si>
    <t>Total debt</t>
  </si>
  <si>
    <t>Net working capital*</t>
  </si>
  <si>
    <t>Enterprise value (MVIC)</t>
  </si>
  <si>
    <t>MVIC/Revenue</t>
  </si>
  <si>
    <t>MVIC/EBIT</t>
  </si>
  <si>
    <t>MVIC/EBITDA</t>
  </si>
  <si>
    <t>Market/Book equity</t>
  </si>
  <si>
    <t>Exhibit 3</t>
  </si>
  <si>
    <t>Selected Operating and Financial Data for Public Kitchenware Producers</t>
  </si>
  <si>
    <t>Exhibit 4</t>
  </si>
  <si>
    <t>Yields on US Treasury Securities</t>
  </si>
  <si>
    <t>30 days</t>
  </si>
  <si>
    <t>90 days</t>
  </si>
  <si>
    <t>1 year</t>
  </si>
  <si>
    <t>5 years</t>
  </si>
  <si>
    <t>Maturity</t>
  </si>
  <si>
    <t>10 years</t>
  </si>
  <si>
    <t>20 years</t>
  </si>
  <si>
    <t>30 years</t>
  </si>
  <si>
    <t>Moody's Aaa</t>
  </si>
  <si>
    <t>Baa</t>
  </si>
  <si>
    <t>Default spread</t>
  </si>
  <si>
    <t>Aa</t>
  </si>
  <si>
    <t>Ba</t>
  </si>
  <si>
    <t>B</t>
  </si>
  <si>
    <t>Seasoned corporate bond yields</t>
  </si>
  <si>
    <t>Case Exhibit 1</t>
  </si>
  <si>
    <t>Case Exhibit 2</t>
  </si>
  <si>
    <t>Net Debt/Equity</t>
  </si>
  <si>
    <t>Net Debt/Enterprise Value</t>
  </si>
  <si>
    <t>Effective Tax Rate (1)</t>
  </si>
  <si>
    <t>(1)  Blaine's future tax rate is assumed to revert to the statutory rate of 40%.</t>
  </si>
  <si>
    <t>Net debt (1)</t>
  </si>
  <si>
    <t>(1)  Net debt is total long term and short term debt less excess cash.</t>
  </si>
  <si>
    <t>Contemporaneous Capital Market Data: April 21, 2007</t>
  </si>
  <si>
    <t>60 days</t>
  </si>
  <si>
    <t>* Net working capital excludes cash and securities</t>
  </si>
  <si>
    <t xml:space="preserve">Note:  Many items in BKI's historical balance sheets, e.g. Property, Plant &amp; Equipment </t>
  </si>
  <si>
    <t>have been affected by the firm's acquisitions.</t>
  </si>
  <si>
    <t>Harvard Business School Publishing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</si>
</sst>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.0%"/>
    <numFmt numFmtId="166" formatCode="#,##0.000_);\(#,##0.000\)"/>
    <numFmt numFmtId="167" formatCode="_(* #,##0_);_(* \(#,##0\);_(* &quot;-&quot;??_);_(@_)"/>
    <numFmt numFmtId="168" formatCode="0.00\x"/>
    <numFmt numFmtId="169" formatCode="&quot;$&quot;#,##0"/>
  </numFmts>
  <fonts count="11" x14ac:knownFonts="1"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800080"/>
      <name val="Times New Roman"/>
      <family val="2"/>
    </font>
    <font>
      <sz val="8"/>
      <color rgb="FF0000FF"/>
      <name val="Times New Roman"/>
      <family val="2"/>
    </font>
    <font>
      <u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u/>
      <sz val="8"/>
      <color theme="1"/>
      <name val="Times New Roman"/>
      <family val="1"/>
    </font>
    <font>
      <sz val="8"/>
      <color theme="1"/>
      <name val="Times New Roman"/>
      <family val="2"/>
    </font>
    <font>
      <sz val="8"/>
      <color rgb="FF00B05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3">
    <xf numFmtId="0" fontId="0" fillId="0" borderId="0" xfId="0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1" fillId="3" borderId="2" xfId="0" applyNumberFormat="1" applyFont="1" applyFill="1" applyBorder="1" applyAlignment="1">
      <alignment horizontal="centerContinuous"/>
    </xf>
    <xf numFmtId="37" fontId="1" fillId="3" borderId="4" xfId="0" applyNumberFormat="1" applyFont="1" applyFill="1" applyBorder="1" applyAlignment="1">
      <alignment horizontal="centerContinuous"/>
    </xf>
    <xf numFmtId="37" fontId="1" fillId="3" borderId="3" xfId="0" applyNumberFormat="1" applyFont="1" applyFill="1" applyBorder="1" applyAlignment="1">
      <alignment horizontal="centerContinuous"/>
    </xf>
    <xf numFmtId="37" fontId="0" fillId="0" borderId="5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0" fontId="0" fillId="0" borderId="0" xfId="0"/>
    <xf numFmtId="37" fontId="0" fillId="0" borderId="0" xfId="0" applyNumberFormat="1"/>
    <xf numFmtId="10" fontId="0" fillId="0" borderId="0" xfId="0" applyNumberFormat="1"/>
    <xf numFmtId="39" fontId="0" fillId="0" borderId="0" xfId="0" applyNumberFormat="1"/>
    <xf numFmtId="166" fontId="0" fillId="0" borderId="0" xfId="0" applyNumberFormat="1"/>
    <xf numFmtId="37" fontId="0" fillId="0" borderId="1" xfId="0" applyNumberFormat="1" applyFont="1" applyBorder="1"/>
    <xf numFmtId="10" fontId="0" fillId="0" borderId="0" xfId="2" applyNumberFormat="1" applyFont="1"/>
    <xf numFmtId="44" fontId="0" fillId="0" borderId="0" xfId="3" applyFont="1"/>
    <xf numFmtId="37" fontId="0" fillId="0" borderId="6" xfId="0" applyNumberFormat="1" applyBorder="1"/>
    <xf numFmtId="9" fontId="0" fillId="0" borderId="0" xfId="2" applyFont="1"/>
    <xf numFmtId="44" fontId="0" fillId="0" borderId="0" xfId="3" applyNumberFormat="1" applyFont="1"/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37" fontId="0" fillId="0" borderId="10" xfId="0" applyNumberFormat="1" applyBorder="1"/>
    <xf numFmtId="37" fontId="0" fillId="0" borderId="11" xfId="0" applyNumberFormat="1" applyBorder="1"/>
    <xf numFmtId="37" fontId="7" fillId="0" borderId="5" xfId="0" applyNumberFormat="1" applyFont="1" applyBorder="1"/>
    <xf numFmtId="37" fontId="0" fillId="0" borderId="7" xfId="0" applyNumberFormat="1" applyBorder="1"/>
    <xf numFmtId="37" fontId="0" fillId="0" borderId="8" xfId="0" applyNumberFormat="1" applyBorder="1"/>
    <xf numFmtId="37" fontId="0" fillId="0" borderId="9" xfId="0" applyNumberFormat="1" applyBorder="1"/>
    <xf numFmtId="37" fontId="7" fillId="0" borderId="0" xfId="0" applyNumberFormat="1" applyFont="1" applyBorder="1"/>
    <xf numFmtId="37" fontId="6" fillId="0" borderId="0" xfId="0" applyNumberFormat="1" applyFont="1" applyBorder="1"/>
    <xf numFmtId="37" fontId="6" fillId="0" borderId="6" xfId="0" applyNumberFormat="1" applyFont="1" applyBorder="1"/>
    <xf numFmtId="37" fontId="7" fillId="0" borderId="6" xfId="0" applyNumberFormat="1" applyFont="1" applyBorder="1"/>
    <xf numFmtId="37" fontId="8" fillId="0" borderId="5" xfId="0" applyNumberFormat="1" applyFont="1" applyBorder="1"/>
    <xf numFmtId="0" fontId="0" fillId="0" borderId="0" xfId="0" applyBorder="1"/>
    <xf numFmtId="37" fontId="0" fillId="0" borderId="8" xfId="0" applyNumberFormat="1" applyFont="1" applyBorder="1"/>
    <xf numFmtId="37" fontId="0" fillId="0" borderId="0" xfId="0" applyNumberFormat="1" applyFont="1" applyBorder="1"/>
    <xf numFmtId="37" fontId="0" fillId="0" borderId="6" xfId="0" applyNumberFormat="1" applyFont="1" applyBorder="1"/>
    <xf numFmtId="165" fontId="0" fillId="0" borderId="1" xfId="2" applyNumberFormat="1" applyFont="1" applyBorder="1"/>
    <xf numFmtId="165" fontId="0" fillId="0" borderId="8" xfId="2" applyNumberFormat="1" applyFont="1" applyBorder="1"/>
    <xf numFmtId="37" fontId="10" fillId="0" borderId="0" xfId="0" applyNumberFormat="1" applyFont="1"/>
    <xf numFmtId="0" fontId="0" fillId="0" borderId="5" xfId="0" applyBorder="1"/>
    <xf numFmtId="37" fontId="0" fillId="0" borderId="10" xfId="0" quotePrefix="1" applyNumberFormat="1" applyBorder="1"/>
    <xf numFmtId="0" fontId="0" fillId="0" borderId="10" xfId="0" applyBorder="1"/>
    <xf numFmtId="0" fontId="0" fillId="0" borderId="0" xfId="0" quotePrefix="1" applyBorder="1"/>
    <xf numFmtId="0" fontId="0" fillId="0" borderId="1" xfId="0" applyBorder="1"/>
    <xf numFmtId="169" fontId="0" fillId="0" borderId="0" xfId="0" applyNumberFormat="1"/>
    <xf numFmtId="5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800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AppData/Local/Microsoft/Windows/Temporary%20Internet%20Files/Content.Outlook/MSQIUGWU/08.05.09%20Blaine%20Kitchenwa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Segments"/>
      <sheetName val="Int Cov"/>
      <sheetName val="WACC"/>
      <sheetName val="Comp Co"/>
      <sheetName val="Excess Cash"/>
      <sheetName val="Repurchase"/>
      <sheetName val="ROE"/>
    </sheetNames>
    <sheetDataSet>
      <sheetData sheetId="0">
        <row r="11">
          <cell r="C11">
            <v>1</v>
          </cell>
        </row>
      </sheetData>
      <sheetData sheetId="1"/>
      <sheetData sheetId="2"/>
      <sheetData sheetId="3">
        <row r="66">
          <cell r="L66">
            <v>4.65E-2</v>
          </cell>
        </row>
      </sheetData>
      <sheetData sheetId="4"/>
      <sheetData sheetId="5">
        <row r="65">
          <cell r="S65">
            <v>192483.72480000003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R115"/>
  <sheetViews>
    <sheetView showGridLines="0" topLeftCell="A52" workbookViewId="0">
      <selection activeCell="A52" sqref="A52"/>
    </sheetView>
  </sheetViews>
  <sheetFormatPr baseColWidth="10" defaultColWidth="8.75" defaultRowHeight="11" x14ac:dyDescent="0.15"/>
  <cols>
    <col min="1" max="16384" width="8.75" style="1"/>
  </cols>
  <sheetData>
    <row r="1" spans="1:18" s="2" customFormat="1" ht="18" x14ac:dyDescent="0.2">
      <c r="A1" s="2" t="str">
        <f>$C$6</f>
        <v>BLAINE KITCHENWARE</v>
      </c>
      <c r="I1" s="2" t="str">
        <f>IF($C$8="Y","Draft","")</f>
        <v>Draft</v>
      </c>
      <c r="R1" s="5" t="str">
        <f>$C$7</f>
        <v>Historical Income Statement</v>
      </c>
    </row>
    <row r="2" spans="1:18" s="3" customFormat="1" ht="2" customHeight="1" x14ac:dyDescent="0.15">
      <c r="R2" s="6"/>
    </row>
    <row r="3" spans="1:18" s="4" customFormat="1" ht="16" x14ac:dyDescent="0.2">
      <c r="R3" s="7"/>
    </row>
    <row r="6" spans="1:18" x14ac:dyDescent="0.15">
      <c r="A6" s="1" t="s">
        <v>0</v>
      </c>
      <c r="C6" s="10" t="s">
        <v>4</v>
      </c>
    </row>
    <row r="7" spans="1:18" x14ac:dyDescent="0.15">
      <c r="A7" s="1" t="s">
        <v>1</v>
      </c>
      <c r="C7" s="10" t="s">
        <v>5</v>
      </c>
    </row>
    <row r="8" spans="1:18" x14ac:dyDescent="0.15">
      <c r="A8" s="1" t="s">
        <v>2</v>
      </c>
      <c r="C8" s="10" t="s">
        <v>6</v>
      </c>
    </row>
    <row r="9" spans="1:18" x14ac:dyDescent="0.15">
      <c r="A9" s="1" t="s">
        <v>3</v>
      </c>
      <c r="C9" s="20" t="s">
        <v>104</v>
      </c>
    </row>
    <row r="11" spans="1:18" x14ac:dyDescent="0.15">
      <c r="A11" s="32"/>
      <c r="B11" s="32"/>
      <c r="C11" s="32"/>
    </row>
    <row r="51" spans="1:18" s="9" customFormat="1" ht="16" x14ac:dyDescent="0.2">
      <c r="R51" s="8" t="str">
        <f>$C$9</f>
        <v>Harvard Business School Publishing</v>
      </c>
    </row>
    <row r="52" spans="1:18" ht="18" x14ac:dyDescent="0.2">
      <c r="A52" s="2" t="str">
        <f>$C$6</f>
        <v>BLAINE KITCHENWARE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 t="str">
        <f>$C$7</f>
        <v>Historical Income Statement</v>
      </c>
    </row>
    <row r="53" spans="1:18" ht="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5" spans="1:18" x14ac:dyDescent="0.15">
      <c r="A55" s="65" t="s">
        <v>91</v>
      </c>
    </row>
    <row r="56" spans="1:18" x14ac:dyDescent="0.15">
      <c r="A56" s="53"/>
      <c r="B56" s="48"/>
      <c r="C56" s="48"/>
      <c r="D56" s="48"/>
      <c r="E56" s="48"/>
      <c r="F56" s="48"/>
      <c r="G56" s="49"/>
    </row>
    <row r="57" spans="1:18" x14ac:dyDescent="0.15">
      <c r="A57" s="58" t="s">
        <v>7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</row>
    <row r="58" spans="1:18" x14ac:dyDescent="0.15">
      <c r="A58" s="50" t="s">
        <v>8</v>
      </c>
      <c r="B58" s="25"/>
      <c r="C58" s="25"/>
      <c r="D58" s="25"/>
      <c r="E58" s="54">
        <v>291940</v>
      </c>
      <c r="F58" s="54">
        <v>307964.25</v>
      </c>
      <c r="G58" s="57">
        <v>342251.25</v>
      </c>
    </row>
    <row r="59" spans="1:18" x14ac:dyDescent="0.15">
      <c r="A59" s="24" t="s">
        <v>9</v>
      </c>
      <c r="B59" s="25"/>
      <c r="C59" s="25"/>
      <c r="D59" s="25"/>
      <c r="E59" s="55">
        <v>204264.5</v>
      </c>
      <c r="F59" s="55">
        <v>220233.75</v>
      </c>
      <c r="G59" s="56">
        <v>249793.5</v>
      </c>
    </row>
    <row r="60" spans="1:18" x14ac:dyDescent="0.15">
      <c r="A60" s="50" t="s">
        <v>10</v>
      </c>
      <c r="B60" s="25"/>
      <c r="C60" s="25"/>
      <c r="D60" s="25"/>
      <c r="E60" s="54">
        <f>E58-E59</f>
        <v>87675.5</v>
      </c>
      <c r="F60" s="54">
        <f t="shared" ref="F60:G60" si="0">F58-F59</f>
        <v>87730.5</v>
      </c>
      <c r="G60" s="57">
        <f t="shared" si="0"/>
        <v>92457.75</v>
      </c>
    </row>
    <row r="61" spans="1:18" x14ac:dyDescent="0.15">
      <c r="A61" s="24" t="s">
        <v>11</v>
      </c>
      <c r="B61" s="25"/>
      <c r="C61" s="25"/>
      <c r="D61" s="25"/>
      <c r="E61" s="19">
        <v>25293</v>
      </c>
      <c r="F61" s="19">
        <v>27049</v>
      </c>
      <c r="G61" s="52">
        <v>28512</v>
      </c>
    </row>
    <row r="62" spans="1:18" x14ac:dyDescent="0.15">
      <c r="A62" s="50" t="s">
        <v>22</v>
      </c>
      <c r="B62" s="25"/>
      <c r="C62" s="25"/>
      <c r="D62" s="25"/>
      <c r="E62" s="54">
        <f>E60-SUM(E61:E61)</f>
        <v>62382.5</v>
      </c>
      <c r="F62" s="54">
        <f>F60-SUM(F61:F61)</f>
        <v>60681.5</v>
      </c>
      <c r="G62" s="57">
        <f>G60-SUM(G61:G61)</f>
        <v>63945.75</v>
      </c>
    </row>
    <row r="63" spans="1:18" x14ac:dyDescent="0.15">
      <c r="A63" s="24" t="s">
        <v>50</v>
      </c>
      <c r="B63" s="25"/>
      <c r="C63" s="25"/>
      <c r="D63" s="25"/>
      <c r="E63" s="36">
        <v>6987</v>
      </c>
      <c r="F63" s="36">
        <f>8213</f>
        <v>8213</v>
      </c>
      <c r="G63" s="60">
        <f>9914</f>
        <v>9914</v>
      </c>
    </row>
    <row r="64" spans="1:18" x14ac:dyDescent="0.15">
      <c r="A64" s="50" t="s">
        <v>21</v>
      </c>
      <c r="B64" s="54"/>
      <c r="C64" s="54"/>
      <c r="D64" s="54"/>
      <c r="E64" s="54">
        <f>E62+E63</f>
        <v>69369.5</v>
      </c>
      <c r="F64" s="54">
        <f t="shared" ref="F64:G64" si="1">F62+F63</f>
        <v>68894.5</v>
      </c>
      <c r="G64" s="57">
        <f t="shared" si="1"/>
        <v>73859.75</v>
      </c>
    </row>
    <row r="65" spans="1:17" x14ac:dyDescent="0.15">
      <c r="A65" s="24"/>
      <c r="B65" s="25"/>
      <c r="C65" s="25"/>
      <c r="D65" s="25"/>
      <c r="E65" s="25"/>
      <c r="F65" s="25"/>
      <c r="G65" s="39"/>
    </row>
    <row r="66" spans="1:17" x14ac:dyDescent="0.15">
      <c r="A66" s="50" t="s">
        <v>42</v>
      </c>
      <c r="B66" s="54"/>
      <c r="C66" s="54"/>
      <c r="D66" s="54"/>
      <c r="E66" s="54">
        <f>E62</f>
        <v>62382.5</v>
      </c>
      <c r="F66" s="54">
        <f t="shared" ref="F66:G66" si="2">F62</f>
        <v>60681.5</v>
      </c>
      <c r="G66" s="57">
        <f t="shared" si="2"/>
        <v>63945.75</v>
      </c>
    </row>
    <row r="67" spans="1:17" x14ac:dyDescent="0.15">
      <c r="A67" s="24" t="s">
        <v>51</v>
      </c>
      <c r="B67" s="25"/>
      <c r="C67" s="25"/>
      <c r="D67" s="25"/>
      <c r="E67" s="36">
        <v>15718.6319637796</v>
      </c>
      <c r="F67" s="36">
        <v>16056.96</v>
      </c>
      <c r="G67" s="60">
        <v>13505.661</v>
      </c>
    </row>
    <row r="68" spans="1:17" x14ac:dyDescent="0.15">
      <c r="A68" s="50" t="s">
        <v>12</v>
      </c>
      <c r="B68" s="25"/>
      <c r="C68" s="25"/>
      <c r="D68" s="25"/>
      <c r="E68" s="54">
        <f>E66+E67</f>
        <v>78101.131963779597</v>
      </c>
      <c r="F68" s="54">
        <f t="shared" ref="F68:G68" si="3">F66+F67</f>
        <v>76738.459999999992</v>
      </c>
      <c r="G68" s="57">
        <f t="shared" si="3"/>
        <v>77451.410999999993</v>
      </c>
    </row>
    <row r="69" spans="1:17" x14ac:dyDescent="0.15">
      <c r="A69" s="24" t="s">
        <v>13</v>
      </c>
      <c r="B69" s="25"/>
      <c r="C69" s="25"/>
      <c r="D69" s="25"/>
      <c r="E69" s="36">
        <f>E79*E68</f>
        <v>24989.197732619516</v>
      </c>
      <c r="F69" s="36">
        <f t="shared" ref="F69" si="4">F79*F68</f>
        <v>24302.961048031295</v>
      </c>
      <c r="G69" s="60">
        <f>G79*G68</f>
        <v>23821.022640704323</v>
      </c>
    </row>
    <row r="70" spans="1:17" x14ac:dyDescent="0.15">
      <c r="A70" s="50" t="s">
        <v>14</v>
      </c>
      <c r="B70" s="25"/>
      <c r="C70" s="25"/>
      <c r="D70" s="25"/>
      <c r="E70" s="54">
        <f>E68-E69</f>
        <v>53111.934231160078</v>
      </c>
      <c r="F70" s="54">
        <f t="shared" ref="F70:G70" si="5">F68-F69</f>
        <v>52435.498951968693</v>
      </c>
      <c r="G70" s="57">
        <f t="shared" si="5"/>
        <v>53630.38835929567</v>
      </c>
    </row>
    <row r="71" spans="1:17" x14ac:dyDescent="0.15">
      <c r="A71" s="24" t="s">
        <v>52</v>
      </c>
      <c r="B71" s="25"/>
      <c r="C71" s="25"/>
      <c r="D71" s="25"/>
      <c r="E71" s="25">
        <f>E70*0.35</f>
        <v>18589.176980906024</v>
      </c>
      <c r="F71" s="25">
        <v>22871</v>
      </c>
      <c r="G71" s="39">
        <v>28345</v>
      </c>
    </row>
    <row r="72" spans="1:17" x14ac:dyDescent="0.15">
      <c r="A72" s="24"/>
      <c r="B72" s="25"/>
      <c r="C72" s="25"/>
      <c r="D72" s="25"/>
      <c r="E72" s="25"/>
      <c r="F72" s="25"/>
      <c r="G72" s="39"/>
    </row>
    <row r="73" spans="1:17" x14ac:dyDescent="0.15">
      <c r="A73" s="24"/>
      <c r="B73" s="25"/>
      <c r="C73" s="25"/>
      <c r="D73" s="25"/>
      <c r="E73" s="25"/>
      <c r="F73" s="25"/>
      <c r="G73" s="39"/>
      <c r="Q73" s="35"/>
    </row>
    <row r="74" spans="1:17" x14ac:dyDescent="0.15">
      <c r="A74" s="21" t="s">
        <v>15</v>
      </c>
      <c r="B74" s="22"/>
      <c r="C74" s="22"/>
      <c r="D74" s="22"/>
      <c r="E74" s="22"/>
      <c r="F74" s="22"/>
      <c r="G74" s="23"/>
    </row>
    <row r="75" spans="1:17" x14ac:dyDescent="0.15">
      <c r="A75" s="24" t="s">
        <v>16</v>
      </c>
      <c r="B75" s="25"/>
      <c r="C75" s="25"/>
      <c r="D75" s="25"/>
      <c r="E75" s="26">
        <v>3.2099999999999997E-2</v>
      </c>
      <c r="F75" s="26">
        <f>(F58-E58)/E58</f>
        <v>5.4888847023360963E-2</v>
      </c>
      <c r="G75" s="27">
        <f>(G58-F58)/F58</f>
        <v>0.11133435130863403</v>
      </c>
    </row>
    <row r="76" spans="1:17" x14ac:dyDescent="0.15">
      <c r="A76" s="24" t="s">
        <v>17</v>
      </c>
      <c r="B76" s="25"/>
      <c r="C76" s="25"/>
      <c r="D76" s="25"/>
      <c r="E76" s="26">
        <f>E60/E58</f>
        <v>0.30032027128862093</v>
      </c>
      <c r="F76" s="26">
        <f>F60/F58</f>
        <v>0.28487235125505639</v>
      </c>
      <c r="G76" s="27">
        <f>G60/G58</f>
        <v>0.27014583584428109</v>
      </c>
    </row>
    <row r="77" spans="1:17" x14ac:dyDescent="0.15">
      <c r="A77" s="24" t="s">
        <v>18</v>
      </c>
      <c r="B77" s="25"/>
      <c r="C77" s="25"/>
      <c r="D77" s="25"/>
      <c r="E77" s="26">
        <f>E62/E58</f>
        <v>0.21368260601493458</v>
      </c>
      <c r="F77" s="26">
        <f>F62/F58</f>
        <v>0.19704072794163607</v>
      </c>
      <c r="G77" s="27">
        <f>G62/G58</f>
        <v>0.18683861636736171</v>
      </c>
    </row>
    <row r="78" spans="1:17" x14ac:dyDescent="0.15">
      <c r="A78" s="24" t="s">
        <v>19</v>
      </c>
      <c r="B78" s="25"/>
      <c r="C78" s="25"/>
      <c r="D78" s="25"/>
      <c r="E78" s="26">
        <f>E64/E58</f>
        <v>0.23761560594642736</v>
      </c>
      <c r="F78" s="26">
        <f>F64/F58</f>
        <v>0.22370940782899315</v>
      </c>
      <c r="G78" s="27">
        <f>G64/G58</f>
        <v>0.2158056398625279</v>
      </c>
    </row>
    <row r="79" spans="1:17" x14ac:dyDescent="0.15">
      <c r="A79" s="24" t="s">
        <v>95</v>
      </c>
      <c r="B79" s="25"/>
      <c r="C79" s="25"/>
      <c r="D79" s="25"/>
      <c r="E79" s="26">
        <v>0.3199594820752224</v>
      </c>
      <c r="F79" s="26">
        <v>0.31669857654207939</v>
      </c>
      <c r="G79" s="27">
        <v>0.30756086084350776</v>
      </c>
    </row>
    <row r="80" spans="1:17" x14ac:dyDescent="0.15">
      <c r="A80" s="24" t="s">
        <v>20</v>
      </c>
      <c r="B80" s="25"/>
      <c r="C80" s="25"/>
      <c r="D80" s="25"/>
      <c r="E80" s="26">
        <f>E70/E58</f>
        <v>0.18192756810015784</v>
      </c>
      <c r="F80" s="26">
        <f>F70/F58</f>
        <v>0.17026488935637396</v>
      </c>
      <c r="G80" s="27">
        <f>G70/G58</f>
        <v>0.15669888235410584</v>
      </c>
    </row>
    <row r="81" spans="1:15" x14ac:dyDescent="0.15">
      <c r="A81" s="51" t="s">
        <v>56</v>
      </c>
      <c r="B81" s="19"/>
      <c r="C81" s="19"/>
      <c r="D81" s="19"/>
      <c r="E81" s="63">
        <f>E71/E70</f>
        <v>0.34999999999999992</v>
      </c>
      <c r="F81" s="63">
        <f t="shared" ref="F81:G81" si="6">F71/F70</f>
        <v>0.4361739748285795</v>
      </c>
      <c r="G81" s="64">
        <f t="shared" si="6"/>
        <v>0.52852498121220493</v>
      </c>
    </row>
    <row r="83" spans="1:15" x14ac:dyDescent="0.15">
      <c r="A83" s="67" t="s">
        <v>96</v>
      </c>
      <c r="B83" s="48"/>
    </row>
    <row r="91" spans="1:15" x14ac:dyDescent="0.15">
      <c r="N91" s="40"/>
    </row>
    <row r="96" spans="1:15" x14ac:dyDescent="0.15">
      <c r="M96" s="38"/>
      <c r="O96" s="41"/>
    </row>
    <row r="102" spans="6:18" s="19" customFormat="1" ht="12" customHeight="1" x14ac:dyDescent="0.2">
      <c r="R102" s="18" t="str">
        <f>$C$9</f>
        <v>Harvard Business School Publishing</v>
      </c>
    </row>
    <row r="108" spans="6:18" s="32" customFormat="1" x14ac:dyDescent="0.15"/>
    <row r="109" spans="6:18" s="32" customFormat="1" x14ac:dyDescent="0.15"/>
    <row r="110" spans="6:18" s="32" customFormat="1" x14ac:dyDescent="0.15"/>
    <row r="112" spans="6:18" x14ac:dyDescent="0.15">
      <c r="F112" s="32"/>
      <c r="G112" s="32"/>
      <c r="H112" s="32"/>
    </row>
    <row r="115" spans="1:7" x14ac:dyDescent="0.15">
      <c r="A115" s="32"/>
      <c r="F115" s="32"/>
      <c r="G115" s="32"/>
    </row>
  </sheetData>
  <pageMargins left="0.5" right="0.5" top="0.7" bottom="0.3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111"/>
  <sheetViews>
    <sheetView showGridLines="0" workbookViewId="0">
      <selection activeCell="A19" sqref="A19"/>
    </sheetView>
  </sheetViews>
  <sheetFormatPr baseColWidth="10" defaultColWidth="8.75" defaultRowHeight="11" x14ac:dyDescent="0.15"/>
  <cols>
    <col min="1" max="16384" width="8.75" style="11"/>
  </cols>
  <sheetData>
    <row r="1" spans="1:18" s="12" customFormat="1" ht="18" x14ac:dyDescent="0.2">
      <c r="A1" s="12" t="str">
        <f>$C$6</f>
        <v>BLAINE KITCHENWARE</v>
      </c>
      <c r="R1" s="15" t="str">
        <f>$C$7</f>
        <v>Historical Balance Sheet</v>
      </c>
    </row>
    <row r="2" spans="1:18" s="13" customFormat="1" ht="2" customHeight="1" x14ac:dyDescent="0.15">
      <c r="R2" s="16"/>
    </row>
    <row r="3" spans="1:18" s="14" customFormat="1" ht="16" x14ac:dyDescent="0.2">
      <c r="R3" s="17"/>
    </row>
    <row r="6" spans="1:18" x14ac:dyDescent="0.15">
      <c r="A6" s="11" t="s">
        <v>0</v>
      </c>
      <c r="C6" s="20" t="s">
        <v>4</v>
      </c>
    </row>
    <row r="7" spans="1:18" x14ac:dyDescent="0.15">
      <c r="A7" s="11" t="s">
        <v>1</v>
      </c>
      <c r="C7" s="20" t="s">
        <v>23</v>
      </c>
    </row>
    <row r="8" spans="1:18" x14ac:dyDescent="0.15">
      <c r="A8" s="11" t="s">
        <v>2</v>
      </c>
      <c r="C8" s="20" t="s">
        <v>6</v>
      </c>
    </row>
    <row r="9" spans="1:18" x14ac:dyDescent="0.15">
      <c r="A9" s="11" t="s">
        <v>3</v>
      </c>
      <c r="C9" s="20" t="s">
        <v>104</v>
      </c>
    </row>
    <row r="11" spans="1:18" x14ac:dyDescent="0.15">
      <c r="A11" s="32"/>
      <c r="B11" s="32"/>
      <c r="C11" s="32"/>
    </row>
    <row r="51" spans="1:26" s="19" customFormat="1" ht="16" x14ac:dyDescent="0.2">
      <c r="R51" s="18" t="str">
        <f>$C$9</f>
        <v>Harvard Business School Publishing</v>
      </c>
    </row>
    <row r="52" spans="1:26" ht="18" x14ac:dyDescent="0.2">
      <c r="A52" s="12" t="str">
        <f>$C$6</f>
        <v>BLAINE KITCHENWARE</v>
      </c>
      <c r="B52" s="12"/>
      <c r="C52" s="12"/>
      <c r="D52" s="12"/>
      <c r="E52" s="12"/>
      <c r="F52" s="12"/>
      <c r="G52" s="12"/>
      <c r="H52" s="12"/>
      <c r="I52" s="12" t="str">
        <f>IF($C$8="Y","Draft","")</f>
        <v>Draft</v>
      </c>
      <c r="J52" s="12"/>
      <c r="K52" s="12"/>
      <c r="L52" s="12"/>
      <c r="M52" s="12"/>
      <c r="N52" s="12"/>
      <c r="O52" s="12"/>
      <c r="P52" s="12"/>
      <c r="Q52" s="12"/>
      <c r="R52" s="15" t="str">
        <f>$C$7</f>
        <v>Historical Balance Sheet</v>
      </c>
    </row>
    <row r="53" spans="1:26" ht="2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6"/>
    </row>
    <row r="54" spans="1:26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7"/>
    </row>
    <row r="55" spans="1:26" x14ac:dyDescent="0.15">
      <c r="A55" s="65" t="s">
        <v>92</v>
      </c>
    </row>
    <row r="56" spans="1:26" x14ac:dyDescent="0.15">
      <c r="A56" s="53"/>
      <c r="B56" s="48"/>
      <c r="C56" s="48"/>
      <c r="D56" s="48"/>
      <c r="E56" s="48"/>
      <c r="F56" s="48"/>
      <c r="G56" s="49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26" x14ac:dyDescent="0.15">
      <c r="A57" s="58" t="s">
        <v>24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26" x14ac:dyDescent="0.15">
      <c r="A58" s="24" t="s">
        <v>25</v>
      </c>
      <c r="B58" s="25"/>
      <c r="C58" s="25"/>
      <c r="D58" s="25"/>
      <c r="E58" s="25">
        <f>67390.77355</f>
        <v>67390.773549999998</v>
      </c>
      <c r="F58" s="25">
        <v>70853</v>
      </c>
      <c r="G58" s="39">
        <v>66557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26" x14ac:dyDescent="0.15">
      <c r="A59" s="24" t="s">
        <v>26</v>
      </c>
      <c r="B59" s="25"/>
      <c r="C59" s="25"/>
      <c r="D59" s="25"/>
      <c r="E59" s="25">
        <f>218402.534882356</f>
        <v>218402.53488235601</v>
      </c>
      <c r="F59" s="25">
        <v>196763</v>
      </c>
      <c r="G59" s="39">
        <v>164309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26" x14ac:dyDescent="0.15">
      <c r="A60" s="24" t="s">
        <v>27</v>
      </c>
      <c r="B60" s="25"/>
      <c r="C60" s="25"/>
      <c r="D60" s="25"/>
      <c r="E60" s="25">
        <v>40709.411111111098</v>
      </c>
      <c r="F60" s="25">
        <v>43234.758875</v>
      </c>
      <c r="G60" s="39">
        <v>48780.310104166703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1:26" x14ac:dyDescent="0.15">
      <c r="A61" s="24" t="s">
        <v>28</v>
      </c>
      <c r="B61" s="25"/>
      <c r="C61" s="25"/>
      <c r="D61" s="25"/>
      <c r="E61" s="61">
        <v>47261.8422222222</v>
      </c>
      <c r="F61" s="61">
        <v>49727.671812499997</v>
      </c>
      <c r="G61" s="62">
        <v>54874.283750000002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1:26" x14ac:dyDescent="0.15">
      <c r="A62" s="24" t="s">
        <v>53</v>
      </c>
      <c r="B62" s="25"/>
      <c r="C62" s="25"/>
      <c r="D62" s="25"/>
      <c r="E62" s="19">
        <v>2586</v>
      </c>
      <c r="F62" s="19">
        <v>3871</v>
      </c>
      <c r="G62" s="52">
        <v>5157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15">
      <c r="A63" s="50" t="s">
        <v>29</v>
      </c>
      <c r="B63" s="25"/>
      <c r="C63" s="25"/>
      <c r="D63" s="25"/>
      <c r="E63" s="54">
        <f>SUM(E58:E62)</f>
        <v>376350.56176568929</v>
      </c>
      <c r="F63" s="54">
        <f t="shared" ref="F63:G63" si="0">SUM(F58:F62)</f>
        <v>364449.43068749999</v>
      </c>
      <c r="G63" s="57">
        <f t="shared" si="0"/>
        <v>339677.59385416668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15">
      <c r="A64" s="24"/>
      <c r="B64" s="25"/>
      <c r="C64" s="25"/>
      <c r="D64" s="25"/>
      <c r="E64" s="25"/>
      <c r="F64" s="25"/>
      <c r="G64" s="3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38" x14ac:dyDescent="0.15">
      <c r="A65" s="24" t="s">
        <v>45</v>
      </c>
      <c r="B65" s="25"/>
      <c r="C65" s="25"/>
      <c r="D65" s="25"/>
      <c r="E65" s="25">
        <v>99401.612974999996</v>
      </c>
      <c r="F65" s="25">
        <v>138546.37609999499</v>
      </c>
      <c r="G65" s="39">
        <f>174321.428717212</f>
        <v>174321.42871721199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38" x14ac:dyDescent="0.15">
      <c r="A66" s="24" t="s">
        <v>30</v>
      </c>
      <c r="B66" s="25"/>
      <c r="C66" s="25"/>
      <c r="D66" s="25"/>
      <c r="E66" s="25">
        <v>8134.0450537547003</v>
      </c>
      <c r="F66" s="25">
        <v>20439</v>
      </c>
      <c r="G66" s="39">
        <v>38281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38" x14ac:dyDescent="0.15">
      <c r="A67" s="24" t="s">
        <v>31</v>
      </c>
      <c r="B67" s="25"/>
      <c r="C67" s="25"/>
      <c r="D67" s="25"/>
      <c r="E67" s="36">
        <v>13331</v>
      </c>
      <c r="F67" s="36">
        <v>27394</v>
      </c>
      <c r="G67" s="60">
        <v>39973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38" x14ac:dyDescent="0.15">
      <c r="A68" s="50" t="s">
        <v>32</v>
      </c>
      <c r="B68" s="25"/>
      <c r="C68" s="25"/>
      <c r="D68" s="25"/>
      <c r="E68" s="54">
        <f>SUM(E65:E67)+E63</f>
        <v>497217.21979444398</v>
      </c>
      <c r="F68" s="54">
        <f>SUM(F65:F67)+F63</f>
        <v>550828.80678749504</v>
      </c>
      <c r="G68" s="57">
        <f>SUM(G65:G67)+G63</f>
        <v>592253.02257137862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38" x14ac:dyDescent="0.15">
      <c r="A69" s="66"/>
      <c r="B69" s="25"/>
      <c r="C69" s="25"/>
      <c r="D69" s="25"/>
      <c r="E69" s="25"/>
      <c r="F69" s="25"/>
      <c r="G69" s="39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38" x14ac:dyDescent="0.15">
      <c r="A70" s="58" t="s">
        <v>33</v>
      </c>
      <c r="B70" s="25"/>
      <c r="C70" s="25"/>
      <c r="D70" s="25"/>
      <c r="E70" s="25"/>
      <c r="F70" s="25"/>
      <c r="G70" s="39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38" x14ac:dyDescent="0.15">
      <c r="A71" s="24" t="s">
        <v>34</v>
      </c>
      <c r="B71" s="25"/>
      <c r="C71" s="25"/>
      <c r="D71" s="25"/>
      <c r="E71" s="25">
        <v>26105.789027777799</v>
      </c>
      <c r="F71" s="25">
        <v>28588.633486111099</v>
      </c>
      <c r="G71" s="39">
        <v>31935.556124999999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38" x14ac:dyDescent="0.15">
      <c r="A72" s="24" t="s">
        <v>35</v>
      </c>
      <c r="B72" s="25"/>
      <c r="C72" s="25"/>
      <c r="D72" s="25"/>
      <c r="E72" s="25">
        <v>22605.037152777801</v>
      </c>
      <c r="F72" s="25">
        <v>24920.606027777802</v>
      </c>
      <c r="G72" s="39">
        <v>27760.973624999999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38" x14ac:dyDescent="0.15">
      <c r="A73" s="24" t="s">
        <v>36</v>
      </c>
      <c r="B73" s="25"/>
      <c r="C73" s="25"/>
      <c r="D73" s="25"/>
      <c r="E73" s="36">
        <v>14224.588949999999</v>
      </c>
      <c r="F73" s="36">
        <v>17196.080549999999</v>
      </c>
      <c r="G73" s="60">
        <v>16884.3606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38" x14ac:dyDescent="0.15">
      <c r="A74" s="50" t="s">
        <v>37</v>
      </c>
      <c r="B74" s="25"/>
      <c r="C74" s="25"/>
      <c r="D74" s="25"/>
      <c r="E74" s="54">
        <f>SUM(E71:E73)</f>
        <v>62935.415130555593</v>
      </c>
      <c r="F74" s="54">
        <f t="shared" ref="F74:G74" si="1">SUM(F71:F73)</f>
        <v>70705.320063888896</v>
      </c>
      <c r="G74" s="57">
        <f t="shared" si="1"/>
        <v>76580.890350000001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38" x14ac:dyDescent="0.15">
      <c r="A75" s="24" t="s">
        <v>54</v>
      </c>
      <c r="B75" s="25"/>
      <c r="C75" s="25"/>
      <c r="D75" s="25"/>
      <c r="E75" s="25">
        <v>1794</v>
      </c>
      <c r="F75" s="25">
        <v>3151</v>
      </c>
      <c r="G75" s="39">
        <v>4814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38" x14ac:dyDescent="0.15">
      <c r="A76" s="24" t="s">
        <v>38</v>
      </c>
      <c r="B76" s="25"/>
      <c r="C76" s="25"/>
      <c r="D76" s="25"/>
      <c r="E76" s="19">
        <v>15110.814399999999</v>
      </c>
      <c r="F76" s="19">
        <v>18433.698951968701</v>
      </c>
      <c r="G76" s="52">
        <v>22495.184271264399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38" x14ac:dyDescent="0.15">
      <c r="A77" s="50" t="s">
        <v>55</v>
      </c>
      <c r="B77" s="25"/>
      <c r="C77" s="25"/>
      <c r="D77" s="25"/>
      <c r="E77" s="54">
        <f>SUM(E74:E76)</f>
        <v>79840.229530555589</v>
      </c>
      <c r="F77" s="54">
        <f>SUM(F74:F76)</f>
        <v>92290.019015857601</v>
      </c>
      <c r="G77" s="57">
        <f>SUM(G74:G76)</f>
        <v>103890.0746212644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38" x14ac:dyDescent="0.15">
      <c r="A78" s="24" t="s">
        <v>39</v>
      </c>
      <c r="B78" s="25"/>
      <c r="C78" s="25"/>
      <c r="D78" s="25"/>
      <c r="E78" s="55">
        <v>417376.99026388797</v>
      </c>
      <c r="F78" s="55">
        <v>458538.489215857</v>
      </c>
      <c r="G78" s="56">
        <v>488362.87757515302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38" x14ac:dyDescent="0.15">
      <c r="A79" s="50" t="s">
        <v>40</v>
      </c>
      <c r="B79" s="25"/>
      <c r="C79" s="25"/>
      <c r="D79" s="25"/>
      <c r="E79" s="54">
        <f>E77+E78</f>
        <v>497217.21979444358</v>
      </c>
      <c r="F79" s="54">
        <f>F77+F78</f>
        <v>550828.5082317146</v>
      </c>
      <c r="G79" s="57">
        <f>G77+G78</f>
        <v>592252.95219641738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 x14ac:dyDescent="0.15">
      <c r="A80" s="51"/>
      <c r="B80" s="19"/>
      <c r="C80" s="19"/>
      <c r="D80" s="19"/>
      <c r="E80" s="19"/>
      <c r="F80" s="19"/>
      <c r="G80" s="52"/>
      <c r="S80" s="32"/>
      <c r="T80" s="32"/>
      <c r="U80" s="32"/>
      <c r="V80" s="32"/>
      <c r="W80" s="32"/>
      <c r="X80" s="32"/>
      <c r="Y80" s="32"/>
      <c r="Z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:38" x14ac:dyDescent="0.15">
      <c r="G81" s="32"/>
      <c r="S81" s="32"/>
      <c r="T81" s="32"/>
      <c r="U81" s="32"/>
      <c r="V81" s="32"/>
      <c r="W81" s="32"/>
      <c r="X81" s="32"/>
      <c r="Y81" s="32"/>
      <c r="Z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38" x14ac:dyDescent="0.15">
      <c r="A82" s="48" t="s">
        <v>102</v>
      </c>
      <c r="B82" s="48"/>
      <c r="S82" s="32"/>
      <c r="T82" s="32"/>
      <c r="U82" s="32"/>
      <c r="V82" s="32"/>
      <c r="W82" s="32"/>
      <c r="X82" s="32"/>
      <c r="Y82" s="32"/>
      <c r="Z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:38" x14ac:dyDescent="0.15">
      <c r="A83" s="32" t="s">
        <v>103</v>
      </c>
      <c r="S83" s="32"/>
      <c r="T83" s="32"/>
      <c r="U83" s="32"/>
      <c r="V83" s="32"/>
      <c r="W83" s="32"/>
      <c r="X83" s="32"/>
      <c r="Y83" s="32"/>
      <c r="Z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:38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S84" s="32"/>
      <c r="T84" s="32"/>
      <c r="U84" s="32"/>
      <c r="V84" s="32"/>
      <c r="W84" s="32"/>
      <c r="X84" s="32"/>
      <c r="Y84" s="32"/>
      <c r="Z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1:38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S85" s="32"/>
      <c r="T85" s="32"/>
      <c r="U85" s="32"/>
      <c r="V85" s="32"/>
      <c r="W85" s="32"/>
      <c r="X85" s="32"/>
      <c r="Y85" s="32"/>
      <c r="Z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:38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S86" s="32"/>
      <c r="T86" s="32"/>
      <c r="U86" s="32"/>
      <c r="V86" s="32"/>
      <c r="W86" s="32"/>
      <c r="X86" s="32"/>
      <c r="Y86" s="32"/>
      <c r="Z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1:38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S87" s="32"/>
      <c r="T87" s="32"/>
      <c r="U87" s="32"/>
      <c r="V87" s="32"/>
      <c r="W87" s="32"/>
      <c r="X87" s="32"/>
      <c r="Y87" s="32"/>
      <c r="Z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1:38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S88" s="32"/>
      <c r="T88" s="32"/>
      <c r="U88" s="32"/>
      <c r="V88" s="32"/>
      <c r="W88" s="32"/>
      <c r="X88" s="32"/>
      <c r="Y88" s="32"/>
      <c r="Z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:38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S89" s="32"/>
      <c r="T89" s="32"/>
      <c r="U89" s="32"/>
      <c r="V89" s="32"/>
      <c r="W89" s="32"/>
      <c r="X89" s="32"/>
      <c r="Y89" s="32"/>
      <c r="Z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1:38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S90" s="32"/>
      <c r="T90" s="32"/>
      <c r="U90" s="32"/>
      <c r="V90" s="32"/>
      <c r="W90" s="32"/>
      <c r="X90" s="32"/>
      <c r="Y90" s="32"/>
      <c r="Z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1:38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S91" s="32"/>
      <c r="T91" s="32"/>
      <c r="U91" s="32"/>
      <c r="V91" s="32"/>
      <c r="W91" s="32"/>
      <c r="X91" s="32"/>
      <c r="Y91" s="32"/>
      <c r="Z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:38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S92" s="32"/>
      <c r="T92" s="32"/>
      <c r="U92" s="32"/>
      <c r="V92" s="32"/>
      <c r="W92" s="32"/>
      <c r="X92" s="32"/>
      <c r="Y92" s="32"/>
      <c r="Z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1:38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S93" s="32"/>
      <c r="T93" s="32"/>
      <c r="U93" s="32"/>
      <c r="V93" s="32"/>
      <c r="W93" s="32"/>
      <c r="X93" s="32"/>
      <c r="Y93" s="32"/>
      <c r="Z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1:38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S94" s="32"/>
      <c r="T94" s="32"/>
      <c r="U94" s="32"/>
      <c r="V94" s="32"/>
      <c r="W94" s="32"/>
      <c r="X94" s="32"/>
      <c r="Y94" s="32"/>
      <c r="Z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38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S95" s="32"/>
      <c r="T95" s="32"/>
      <c r="U95" s="32"/>
      <c r="V95" s="32"/>
      <c r="W95" s="32"/>
      <c r="X95" s="32"/>
      <c r="Y95" s="32"/>
      <c r="Z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1:38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S96" s="32"/>
      <c r="T96" s="32"/>
      <c r="U96" s="32"/>
      <c r="V96" s="32"/>
      <c r="W96" s="32"/>
      <c r="X96" s="32"/>
      <c r="Y96" s="32"/>
      <c r="Z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:38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S97" s="32"/>
      <c r="T97" s="32"/>
      <c r="U97" s="32"/>
      <c r="V97" s="32"/>
      <c r="W97" s="32"/>
      <c r="X97" s="32"/>
      <c r="Y97" s="32"/>
      <c r="Z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S98" s="32"/>
      <c r="T98" s="32"/>
      <c r="U98" s="32"/>
      <c r="V98" s="32"/>
      <c r="W98" s="32"/>
      <c r="X98" s="32"/>
      <c r="Y98" s="32"/>
      <c r="Z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S99" s="32"/>
      <c r="T99" s="32"/>
      <c r="U99" s="32"/>
      <c r="V99" s="32"/>
      <c r="W99" s="32"/>
      <c r="X99" s="32"/>
      <c r="Y99" s="32"/>
      <c r="Z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S100" s="32"/>
      <c r="T100" s="32"/>
      <c r="U100" s="32"/>
      <c r="V100" s="32"/>
      <c r="W100" s="32"/>
      <c r="X100" s="32"/>
      <c r="Y100" s="32"/>
      <c r="Z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 x14ac:dyDescent="0.15">
      <c r="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 ht="16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8" t="str">
        <f>$C$9</f>
        <v>Harvard Business School Publishing</v>
      </c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 x14ac:dyDescent="0.15"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x14ac:dyDescent="0.15"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 x14ac:dyDescent="0.15"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 x14ac:dyDescent="0.15"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 x14ac:dyDescent="0.15"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 x14ac:dyDescent="0.15"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 x14ac:dyDescent="0.15"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x14ac:dyDescent="0.15"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x14ac:dyDescent="0.15"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topLeftCell="A16" workbookViewId="0">
      <selection activeCell="C36" sqref="C36"/>
    </sheetView>
  </sheetViews>
  <sheetFormatPr baseColWidth="10" defaultColWidth="8.75" defaultRowHeight="11" x14ac:dyDescent="0.15"/>
  <cols>
    <col min="2" max="2" width="12.75" customWidth="1"/>
    <col min="3" max="7" width="19.75" customWidth="1"/>
    <col min="8" max="8" width="3.25" customWidth="1"/>
    <col min="9" max="9" width="19.75" customWidth="1"/>
  </cols>
  <sheetData>
    <row r="2" spans="1:9" x14ac:dyDescent="0.15">
      <c r="A2" s="31" t="s">
        <v>72</v>
      </c>
      <c r="B2" s="31" t="s">
        <v>73</v>
      </c>
    </row>
    <row r="4" spans="1:9" x14ac:dyDescent="0.15">
      <c r="C4" s="42" t="s">
        <v>46</v>
      </c>
      <c r="D4" s="42" t="s">
        <v>47</v>
      </c>
      <c r="E4" s="42" t="s">
        <v>48</v>
      </c>
      <c r="F4" s="42" t="s">
        <v>63</v>
      </c>
      <c r="G4" s="42" t="s">
        <v>49</v>
      </c>
      <c r="H4" s="43"/>
      <c r="I4" s="42" t="s">
        <v>44</v>
      </c>
    </row>
    <row r="5" spans="1:9" x14ac:dyDescent="0.15">
      <c r="A5" s="31" t="s">
        <v>8</v>
      </c>
      <c r="C5" s="71">
        <v>589747</v>
      </c>
      <c r="D5" s="71">
        <v>18080000</v>
      </c>
      <c r="E5" s="71">
        <v>4313300</v>
      </c>
      <c r="F5" s="71">
        <v>3671100</v>
      </c>
      <c r="G5" s="71">
        <v>188955</v>
      </c>
      <c r="H5" s="71"/>
      <c r="I5" s="71">
        <v>342251.25</v>
      </c>
    </row>
    <row r="6" spans="1:9" x14ac:dyDescent="0.15">
      <c r="A6" s="31" t="s">
        <v>42</v>
      </c>
      <c r="C6" s="32">
        <v>106762.82</v>
      </c>
      <c r="D6" s="32">
        <v>2505200</v>
      </c>
      <c r="E6" s="32">
        <v>721297.00000000105</v>
      </c>
      <c r="F6" s="32">
        <v>566098.99999999895</v>
      </c>
      <c r="G6" s="32">
        <v>19612.95</v>
      </c>
      <c r="I6" s="32">
        <v>63945.75</v>
      </c>
    </row>
    <row r="7" spans="1:9" x14ac:dyDescent="0.15">
      <c r="A7" s="31" t="s">
        <v>21</v>
      </c>
      <c r="C7" s="32">
        <v>119189.82</v>
      </c>
      <c r="D7" s="32">
        <v>3055200</v>
      </c>
      <c r="E7" s="32">
        <v>796496.99999999802</v>
      </c>
      <c r="F7" s="32">
        <v>610399</v>
      </c>
      <c r="G7" s="32">
        <v>23355.95</v>
      </c>
      <c r="I7" s="32">
        <v>73859.75</v>
      </c>
    </row>
    <row r="8" spans="1:9" x14ac:dyDescent="0.15">
      <c r="A8" s="31" t="s">
        <v>57</v>
      </c>
      <c r="C8" s="71">
        <v>53698.224000000002</v>
      </c>
      <c r="D8" s="71">
        <v>1416012</v>
      </c>
      <c r="E8" s="71">
        <v>412307.40000000101</v>
      </c>
      <c r="F8" s="71">
        <v>335072.99999999901</v>
      </c>
      <c r="G8" s="71">
        <v>13172.638499999999</v>
      </c>
      <c r="H8" s="71"/>
      <c r="I8" s="71">
        <v>53630.388359295597</v>
      </c>
    </row>
    <row r="9" spans="1:9" x14ac:dyDescent="0.15">
      <c r="C9" s="32"/>
    </row>
    <row r="10" spans="1:9" x14ac:dyDescent="0.15">
      <c r="A10" s="31" t="s">
        <v>64</v>
      </c>
      <c r="C10" s="71">
        <f>C16-C15</f>
        <v>21494.767647754983</v>
      </c>
      <c r="D10" s="71">
        <f>D16-D15</f>
        <v>536098.71428572014</v>
      </c>
      <c r="E10" s="71">
        <f>E16-E15</f>
        <v>21424.556208672002</v>
      </c>
      <c r="F10" s="71">
        <f>F16-F15</f>
        <v>153680.39000000001</v>
      </c>
      <c r="G10" s="71">
        <f>G16-G15</f>
        <v>242101.99999999988</v>
      </c>
      <c r="H10" s="71"/>
      <c r="I10" s="71">
        <v>230866</v>
      </c>
    </row>
    <row r="11" spans="1:9" s="31" customFormat="1" x14ac:dyDescent="0.15">
      <c r="A11" s="31" t="s">
        <v>66</v>
      </c>
      <c r="C11" s="44">
        <v>54315.698700000001</v>
      </c>
      <c r="D11" s="44">
        <v>1247520</v>
      </c>
      <c r="E11" s="44">
        <v>353690.6</v>
      </c>
      <c r="F11" s="44">
        <v>334804.32</v>
      </c>
      <c r="G11" s="44">
        <v>21219.646499999999</v>
      </c>
      <c r="I11" s="32">
        <v>32230.7035041667</v>
      </c>
    </row>
    <row r="12" spans="1:9" x14ac:dyDescent="0.15">
      <c r="A12" s="31" t="s">
        <v>58</v>
      </c>
      <c r="C12" s="45">
        <f>C13-C10-C11</f>
        <v>900802.53365224507</v>
      </c>
      <c r="D12" s="45">
        <f t="shared" ref="D12:G12" si="0">D13-D10-D11</f>
        <v>7463563.8457142804</v>
      </c>
      <c r="E12" s="45">
        <f t="shared" si="0"/>
        <v>3322837.2437913278</v>
      </c>
      <c r="F12" s="45">
        <f t="shared" si="0"/>
        <v>815303.53</v>
      </c>
      <c r="G12" s="45">
        <f t="shared" si="0"/>
        <v>68787.973500000109</v>
      </c>
      <c r="I12" s="32">
        <v>174321.42871721199</v>
      </c>
    </row>
    <row r="13" spans="1:9" x14ac:dyDescent="0.15">
      <c r="A13" s="31" t="s">
        <v>59</v>
      </c>
      <c r="C13" s="71">
        <f>C16+C17+128943</f>
        <v>976613</v>
      </c>
      <c r="D13" s="71">
        <v>9247182.5600000005</v>
      </c>
      <c r="E13" s="71">
        <v>3697952.4</v>
      </c>
      <c r="F13" s="71">
        <v>1303788.24</v>
      </c>
      <c r="G13" s="71">
        <v>332109.62</v>
      </c>
      <c r="H13" s="71"/>
      <c r="I13" s="71">
        <v>592253.02257137897</v>
      </c>
    </row>
    <row r="14" spans="1:9" s="31" customFormat="1" x14ac:dyDescent="0.15"/>
    <row r="15" spans="1:9" s="31" customFormat="1" x14ac:dyDescent="0.15">
      <c r="A15" s="31" t="s">
        <v>97</v>
      </c>
      <c r="C15" s="72">
        <v>350798.23235224502</v>
      </c>
      <c r="D15" s="72">
        <v>4437314.2857142799</v>
      </c>
      <c r="E15" s="72">
        <v>950802.443791328</v>
      </c>
      <c r="F15" s="72">
        <v>238055.61</v>
      </c>
      <c r="G15" s="72">
        <v>-64799.999999999898</v>
      </c>
      <c r="H15" s="72"/>
      <c r="I15" s="72">
        <v>-230866</v>
      </c>
    </row>
    <row r="16" spans="1:9" x14ac:dyDescent="0.15">
      <c r="A16" s="31" t="s">
        <v>65</v>
      </c>
      <c r="C16" s="44">
        <v>372293</v>
      </c>
      <c r="D16" s="44">
        <v>4973413</v>
      </c>
      <c r="E16" s="44">
        <v>972227</v>
      </c>
      <c r="F16" s="44">
        <v>391736</v>
      </c>
      <c r="G16" s="44">
        <v>177302</v>
      </c>
      <c r="H16" s="44"/>
      <c r="I16" s="44">
        <v>0</v>
      </c>
    </row>
    <row r="17" spans="1:9" x14ac:dyDescent="0.15">
      <c r="A17" s="31" t="s">
        <v>62</v>
      </c>
      <c r="C17" s="72">
        <v>475377</v>
      </c>
      <c r="D17" s="72">
        <v>3283000</v>
      </c>
      <c r="E17" s="72">
        <v>2109400</v>
      </c>
      <c r="F17" s="72">
        <v>804400</v>
      </c>
      <c r="G17" s="72">
        <v>94919</v>
      </c>
      <c r="H17" s="72"/>
      <c r="I17" s="72">
        <v>488362.87757515302</v>
      </c>
    </row>
    <row r="18" spans="1:9" s="31" customFormat="1" x14ac:dyDescent="0.15"/>
    <row r="19" spans="1:9" x14ac:dyDescent="0.15">
      <c r="A19" s="31" t="s">
        <v>60</v>
      </c>
      <c r="C19" s="32">
        <v>776427.29984086496</v>
      </c>
      <c r="D19" s="32">
        <v>13978374.9954454</v>
      </c>
      <c r="E19" s="32">
        <v>5290144.6020926703</v>
      </c>
      <c r="F19" s="32">
        <v>3962780.1386048002</v>
      </c>
      <c r="G19" s="32">
        <v>418748.79149999999</v>
      </c>
      <c r="I19" s="32">
        <v>959596.35416666698</v>
      </c>
    </row>
    <row r="20" spans="1:9" x14ac:dyDescent="0.15">
      <c r="A20" s="31" t="s">
        <v>67</v>
      </c>
      <c r="C20" s="72">
        <v>1127225.5321931101</v>
      </c>
      <c r="D20" s="72">
        <v>18415689.281159699</v>
      </c>
      <c r="E20" s="72">
        <v>6240947.0458840001</v>
      </c>
      <c r="F20" s="72">
        <v>4200835.7486047996</v>
      </c>
      <c r="G20" s="72">
        <v>353948.79149999999</v>
      </c>
      <c r="H20" s="72"/>
      <c r="I20" s="72">
        <v>728730.35416666698</v>
      </c>
    </row>
    <row r="22" spans="1:9" x14ac:dyDescent="0.15">
      <c r="A22" s="31" t="s">
        <v>61</v>
      </c>
      <c r="C22" s="31">
        <f>1.03</f>
        <v>1.03</v>
      </c>
      <c r="D22" s="31">
        <f>1.24</f>
        <v>1.24</v>
      </c>
      <c r="E22" s="31">
        <f>0.96</f>
        <v>0.96</v>
      </c>
      <c r="F22" s="31">
        <f>0.92</f>
        <v>0.92</v>
      </c>
      <c r="G22">
        <f>0.67</f>
        <v>0.67</v>
      </c>
      <c r="I22" s="34">
        <v>0.56000000000000005</v>
      </c>
    </row>
    <row r="24" spans="1:9" x14ac:dyDescent="0.15">
      <c r="A24" s="47" t="s">
        <v>43</v>
      </c>
    </row>
    <row r="25" spans="1:9" x14ac:dyDescent="0.15">
      <c r="A25" s="31" t="s">
        <v>68</v>
      </c>
      <c r="C25" s="46">
        <f>C20/C5</f>
        <v>1.9113713714408214</v>
      </c>
      <c r="D25" s="46">
        <f>D20/D5</f>
        <v>1.0185668850198948</v>
      </c>
      <c r="E25" s="46">
        <f>E20/E5</f>
        <v>1.4469077147158789</v>
      </c>
      <c r="F25" s="46">
        <f>F20/F5</f>
        <v>1.1442989154762331</v>
      </c>
      <c r="G25" s="46">
        <f>G20/G5</f>
        <v>1.8731909264110502</v>
      </c>
      <c r="H25" s="46"/>
      <c r="I25" s="46">
        <f>I20/I5</f>
        <v>2.1292262750440414</v>
      </c>
    </row>
    <row r="26" spans="1:9" x14ac:dyDescent="0.15">
      <c r="A26" s="31" t="s">
        <v>69</v>
      </c>
      <c r="C26" s="46">
        <f>C20/C6</f>
        <v>10.558221787258056</v>
      </c>
      <c r="D26" s="46">
        <f>D20/D6</f>
        <v>7.3509856622863241</v>
      </c>
      <c r="E26" s="46">
        <f>E20/E6</f>
        <v>8.6523956787342673</v>
      </c>
      <c r="F26" s="46">
        <f>F20/F6</f>
        <v>7.4206733249922845</v>
      </c>
      <c r="G26" s="46">
        <f>G20/G6</f>
        <v>18.046688106582639</v>
      </c>
      <c r="H26" s="46"/>
      <c r="I26" s="46">
        <f>I20/I6</f>
        <v>11.396071735286036</v>
      </c>
    </row>
    <row r="27" spans="1:9" x14ac:dyDescent="0.15">
      <c r="A27" s="31" t="s">
        <v>70</v>
      </c>
      <c r="C27" s="46">
        <f>C20/C7</f>
        <v>9.4573977223315726</v>
      </c>
      <c r="D27" s="46">
        <f>D20/D7</f>
        <v>6.0276542554201686</v>
      </c>
      <c r="E27" s="46">
        <f>E20/E7</f>
        <v>7.8354934744060749</v>
      </c>
      <c r="F27" s="46">
        <f>F20/F7</f>
        <v>6.8821144015714308</v>
      </c>
      <c r="G27" s="46">
        <f>G20/G7</f>
        <v>15.154544837610972</v>
      </c>
      <c r="H27" s="46"/>
      <c r="I27" s="46">
        <f>I20/I7</f>
        <v>9.8664069965937742</v>
      </c>
    </row>
    <row r="28" spans="1:9" x14ac:dyDescent="0.15">
      <c r="A28" s="31" t="s">
        <v>71</v>
      </c>
      <c r="C28" s="46">
        <f>C19/C17</f>
        <v>1.633287474658776</v>
      </c>
      <c r="D28" s="46">
        <f>D19/D17</f>
        <v>4.2578053595630214</v>
      </c>
      <c r="E28" s="46">
        <f>E19/E17</f>
        <v>2.5078906808062342</v>
      </c>
      <c r="F28" s="46">
        <f>F19/F17</f>
        <v>4.9263800828005966</v>
      </c>
      <c r="G28" s="46">
        <f>G19/G17</f>
        <v>4.4116435223717065</v>
      </c>
      <c r="H28" s="46"/>
      <c r="I28" s="46">
        <f>I19/I17</f>
        <v>1.9649248504130967</v>
      </c>
    </row>
    <row r="30" spans="1:9" x14ac:dyDescent="0.15">
      <c r="A30" s="31" t="s">
        <v>93</v>
      </c>
      <c r="C30" s="33">
        <f>C15/C19</f>
        <v>0.45181079081601583</v>
      </c>
      <c r="D30" s="33">
        <f>D15/D19</f>
        <v>0.31744135403150209</v>
      </c>
      <c r="E30" s="33">
        <f>E15/E19</f>
        <v>0.17973089873861114</v>
      </c>
      <c r="F30" s="33">
        <f>F15/F19</f>
        <v>6.0072878553341508E-2</v>
      </c>
      <c r="G30" s="33">
        <f>G15/G19</f>
        <v>-0.15474671525111708</v>
      </c>
      <c r="H30" s="33"/>
      <c r="I30" s="33">
        <f>I15/I19</f>
        <v>-0.24058657475880965</v>
      </c>
    </row>
    <row r="31" spans="1:9" x14ac:dyDescent="0.15">
      <c r="A31" s="31" t="s">
        <v>94</v>
      </c>
      <c r="C31" s="33">
        <f>C15/C20</f>
        <v>0.31120500940902057</v>
      </c>
      <c r="D31" s="33">
        <f t="shared" ref="D31:G31" si="1">D15/D20</f>
        <v>0.24095292975288771</v>
      </c>
      <c r="E31" s="33">
        <f t="shared" si="1"/>
        <v>0.15234906446104149</v>
      </c>
      <c r="F31" s="33">
        <f t="shared" si="1"/>
        <v>5.6668630778783501E-2</v>
      </c>
      <c r="G31" s="33">
        <f t="shared" si="1"/>
        <v>-0.18307733083473432</v>
      </c>
      <c r="I31" s="33">
        <f>I15/I20</f>
        <v>-0.3168057961082254</v>
      </c>
    </row>
    <row r="32" spans="1:9" x14ac:dyDescent="0.15">
      <c r="A32" s="70"/>
    </row>
    <row r="33" spans="1:3" x14ac:dyDescent="0.15">
      <c r="A33" s="31" t="s">
        <v>101</v>
      </c>
      <c r="B33" s="68"/>
    </row>
    <row r="34" spans="1:3" x14ac:dyDescent="0.15">
      <c r="A34" s="69" t="s">
        <v>98</v>
      </c>
    </row>
    <row r="36" spans="1:3" x14ac:dyDescent="0.15">
      <c r="C36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3" sqref="A23"/>
    </sheetView>
  </sheetViews>
  <sheetFormatPr baseColWidth="10" defaultColWidth="8.75" defaultRowHeight="11" x14ac:dyDescent="0.15"/>
  <cols>
    <col min="1" max="1" width="11.5" customWidth="1"/>
  </cols>
  <sheetData>
    <row r="1" spans="1:4" x14ac:dyDescent="0.15">
      <c r="A1" s="31" t="s">
        <v>74</v>
      </c>
      <c r="B1" s="31" t="s">
        <v>99</v>
      </c>
    </row>
    <row r="3" spans="1:4" x14ac:dyDescent="0.15">
      <c r="A3" s="31" t="s">
        <v>75</v>
      </c>
    </row>
    <row r="4" spans="1:4" x14ac:dyDescent="0.15">
      <c r="A4" s="31" t="s">
        <v>80</v>
      </c>
    </row>
    <row r="5" spans="1:4" x14ac:dyDescent="0.15">
      <c r="A5" s="31" t="s">
        <v>76</v>
      </c>
      <c r="B5" s="37">
        <v>4.5499999999999999E-2</v>
      </c>
    </row>
    <row r="6" spans="1:4" x14ac:dyDescent="0.15">
      <c r="A6" s="31" t="s">
        <v>100</v>
      </c>
      <c r="B6" s="37">
        <v>4.7300000000000002E-2</v>
      </c>
    </row>
    <row r="7" spans="1:4" x14ac:dyDescent="0.15">
      <c r="A7" s="31" t="s">
        <v>77</v>
      </c>
      <c r="B7" s="37">
        <v>4.9099999999999998E-2</v>
      </c>
    </row>
    <row r="8" spans="1:4" x14ac:dyDescent="0.15">
      <c r="A8" s="31" t="s">
        <v>78</v>
      </c>
      <c r="B8" s="37">
        <v>4.9000000000000002E-2</v>
      </c>
    </row>
    <row r="9" spans="1:4" x14ac:dyDescent="0.15">
      <c r="A9" s="31" t="s">
        <v>79</v>
      </c>
      <c r="B9" s="37">
        <v>4.9099999999999998E-2</v>
      </c>
    </row>
    <row r="10" spans="1:4" x14ac:dyDescent="0.15">
      <c r="A10" s="31" t="s">
        <v>81</v>
      </c>
      <c r="B10" s="37">
        <v>5.0200000000000002E-2</v>
      </c>
    </row>
    <row r="11" spans="1:4" x14ac:dyDescent="0.15">
      <c r="A11" s="31" t="s">
        <v>82</v>
      </c>
      <c r="B11" s="37">
        <v>5.2600000000000001E-2</v>
      </c>
    </row>
    <row r="12" spans="1:4" x14ac:dyDescent="0.15">
      <c r="A12" s="31" t="s">
        <v>83</v>
      </c>
      <c r="B12" s="37">
        <v>5.0999999999999997E-2</v>
      </c>
    </row>
    <row r="14" spans="1:4" x14ac:dyDescent="0.15">
      <c r="A14" s="31" t="s">
        <v>90</v>
      </c>
      <c r="D14" s="31" t="s">
        <v>86</v>
      </c>
    </row>
    <row r="15" spans="1:4" x14ac:dyDescent="0.15">
      <c r="A15" s="31" t="s">
        <v>84</v>
      </c>
      <c r="B15" s="37">
        <v>5.8799999999999998E-2</v>
      </c>
      <c r="D15" s="33">
        <f>B15-$B$10</f>
        <v>8.5999999999999965E-3</v>
      </c>
    </row>
    <row r="16" spans="1:4" x14ac:dyDescent="0.15">
      <c r="A16" s="31" t="s">
        <v>87</v>
      </c>
      <c r="B16" s="33">
        <f>$B$10+D16</f>
        <v>6.0400000000000002E-2</v>
      </c>
      <c r="D16" s="33">
        <v>1.0200000000000001E-2</v>
      </c>
    </row>
    <row r="17" spans="1:4" x14ac:dyDescent="0.15">
      <c r="A17" s="31" t="s">
        <v>41</v>
      </c>
      <c r="B17" s="33">
        <f>$B$10+D17</f>
        <v>6.3500000000000001E-2</v>
      </c>
      <c r="D17" s="33">
        <v>1.3299999999999999E-2</v>
      </c>
    </row>
    <row r="18" spans="1:4" x14ac:dyDescent="0.15">
      <c r="A18" s="31" t="s">
        <v>85</v>
      </c>
      <c r="B18" s="33">
        <f t="shared" ref="B18:B20" ca="1" si="0">$B$10+D18</f>
        <v>6.7199999999999996E-2</v>
      </c>
      <c r="D18" s="33">
        <f t="shared" ref="D18" ca="1" si="1">B18-$B$10</f>
        <v>1.6999999999999994E-2</v>
      </c>
    </row>
    <row r="19" spans="1:4" x14ac:dyDescent="0.15">
      <c r="A19" s="31" t="s">
        <v>88</v>
      </c>
      <c r="B19" s="33">
        <f t="shared" si="0"/>
        <v>7.8800000000000009E-2</v>
      </c>
      <c r="D19" s="33">
        <v>2.86E-2</v>
      </c>
    </row>
    <row r="20" spans="1:4" x14ac:dyDescent="0.15">
      <c r="A20" s="31" t="s">
        <v>89</v>
      </c>
      <c r="B20" s="33">
        <f t="shared" si="0"/>
        <v>8.9400000000000007E-2</v>
      </c>
      <c r="D20" s="33">
        <v>3.9199999999999999E-2</v>
      </c>
    </row>
    <row r="21" spans="1:4" x14ac:dyDescent="0.15">
      <c r="A21" s="31"/>
    </row>
    <row r="23" spans="1:4" x14ac:dyDescent="0.15">
      <c r="A2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1</vt:lpstr>
      <vt:lpstr>Exhibit 2</vt:lpstr>
      <vt:lpstr>Exhibit 3</vt:lpstr>
      <vt:lpstr>Exhibit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Microsoft Office User</cp:lastModifiedBy>
  <cp:lastPrinted>2009-09-08T19:04:44Z</cp:lastPrinted>
  <dcterms:created xsi:type="dcterms:W3CDTF">2009-08-06T18:32:29Z</dcterms:created>
  <dcterms:modified xsi:type="dcterms:W3CDTF">2018-03-30T19:47:57Z</dcterms:modified>
</cp:coreProperties>
</file>