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3/"/>
    </mc:Choice>
  </mc:AlternateContent>
  <bookViews>
    <workbookView xWindow="40" yWindow="460" windowWidth="25500" windowHeight="14500" activeTab="4"/>
  </bookViews>
  <sheets>
    <sheet name="Parameters" sheetId="3" r:id="rId1"/>
    <sheet name="Comps" sheetId="4" r:id="rId2"/>
    <sheet name="Q2" sheetId="1" r:id="rId3"/>
    <sheet name="Q4" sheetId="2" r:id="rId4"/>
    <sheet name="Q5" sheetId="6" r:id="rId5"/>
    <sheet name="Q6" sheetId="5" r:id="rId6"/>
  </sheets>
  <definedNames>
    <definedName name="mrp">Parameters!$C$3</definedName>
    <definedName name="mve">Parameters!$C$8</definedName>
    <definedName name="rf">Parameters!$C$2</definedName>
    <definedName name="tax">Parameters!$C$4</definedName>
  </definedNames>
  <calcPr calcId="150001" calcMode="autoNoTable" iterate="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J5" i="6"/>
  <c r="N4" i="6"/>
  <c r="N3" i="6"/>
  <c r="N2" i="6"/>
  <c r="M4" i="6"/>
  <c r="M3" i="6"/>
  <c r="M2" i="6"/>
  <c r="I4" i="6"/>
  <c r="I3" i="6"/>
  <c r="I2" i="6"/>
  <c r="H4" i="6"/>
  <c r="H3" i="6"/>
  <c r="H2" i="6"/>
  <c r="D2" i="6"/>
  <c r="C2" i="6"/>
  <c r="D4" i="6"/>
  <c r="D3" i="6"/>
  <c r="D12" i="5"/>
  <c r="D11" i="5"/>
  <c r="C11" i="5"/>
  <c r="B11" i="5"/>
  <c r="E12" i="5"/>
  <c r="C12" i="5"/>
  <c r="B12" i="5"/>
  <c r="D10" i="5"/>
  <c r="B4" i="5"/>
  <c r="B3" i="5"/>
  <c r="B2" i="5"/>
  <c r="B9" i="1"/>
  <c r="B26" i="1"/>
  <c r="C8" i="3"/>
  <c r="C10" i="5"/>
  <c r="B10" i="5"/>
  <c r="C9" i="5"/>
  <c r="B9" i="5"/>
  <c r="L62" i="4"/>
  <c r="L72" i="4"/>
  <c r="L71" i="4"/>
  <c r="L70" i="4"/>
  <c r="L69" i="4"/>
  <c r="L68" i="4"/>
  <c r="L67" i="4"/>
  <c r="L66" i="4"/>
  <c r="L65" i="4"/>
  <c r="L61" i="4"/>
  <c r="L60" i="4"/>
  <c r="L59" i="4"/>
  <c r="L58" i="4"/>
  <c r="K71" i="4"/>
  <c r="K70" i="4"/>
  <c r="K69" i="4"/>
  <c r="K68" i="4"/>
  <c r="K67" i="4"/>
  <c r="K66" i="4"/>
  <c r="K65" i="4"/>
  <c r="K59" i="4"/>
  <c r="K60" i="4"/>
  <c r="K61" i="4"/>
  <c r="K58" i="4"/>
  <c r="R102" i="4"/>
  <c r="H72" i="4"/>
  <c r="G72" i="4"/>
  <c r="H62" i="4"/>
  <c r="G62" i="4"/>
  <c r="R52" i="4"/>
  <c r="I52" i="4"/>
  <c r="A52" i="4"/>
  <c r="R51" i="4"/>
  <c r="R1" i="4"/>
  <c r="I1" i="4"/>
  <c r="A1" i="4"/>
  <c r="G10" i="2"/>
  <c r="B10" i="2"/>
  <c r="G9" i="2"/>
  <c r="B9" i="2"/>
  <c r="I8" i="2"/>
  <c r="D8" i="2"/>
  <c r="I5" i="2"/>
  <c r="G5" i="2"/>
  <c r="I3" i="2"/>
  <c r="I6" i="2"/>
  <c r="G3" i="2"/>
  <c r="G6" i="2"/>
  <c r="B6" i="2"/>
  <c r="D6" i="2"/>
  <c r="D5" i="2"/>
  <c r="B5" i="2"/>
  <c r="D3" i="2"/>
  <c r="B3" i="2"/>
  <c r="B37" i="1"/>
  <c r="B29" i="1"/>
  <c r="B35" i="1"/>
  <c r="B21" i="1"/>
  <c r="B19" i="1"/>
  <c r="B15" i="1"/>
  <c r="B13" i="1"/>
  <c r="B36" i="1"/>
  <c r="B38" i="1"/>
  <c r="B34" i="1"/>
  <c r="B28" i="1"/>
  <c r="B27" i="1"/>
  <c r="B25" i="1"/>
  <c r="B22" i="1"/>
  <c r="B16" i="1"/>
  <c r="B10" i="1"/>
  <c r="B8" i="1"/>
  <c r="B30" i="1"/>
  <c r="B5" i="1"/>
</calcChain>
</file>

<file path=xl/sharedStrings.xml><?xml version="1.0" encoding="utf-8"?>
<sst xmlns="http://schemas.openxmlformats.org/spreadsheetml/2006/main" count="139" uniqueCount="83">
  <si>
    <t>Cash &amp; Cash equivalents</t>
  </si>
  <si>
    <t>Current Portion of Long Term Debt</t>
  </si>
  <si>
    <t>Long Term Debt</t>
  </si>
  <si>
    <t>Net Debt</t>
    <phoneticPr fontId="1" type="noConversion"/>
  </si>
  <si>
    <t>Market Leverage</t>
    <phoneticPr fontId="1" type="noConversion"/>
  </si>
  <si>
    <t>Market Leverage(D/E)</t>
    <phoneticPr fontId="1" type="noConversion"/>
  </si>
  <si>
    <t>Cost of Equity</t>
    <phoneticPr fontId="1" type="noConversion"/>
  </si>
  <si>
    <t>Risk-Free rate</t>
    <phoneticPr fontId="1" type="noConversion"/>
  </si>
  <si>
    <t>Equity Beta</t>
    <phoneticPr fontId="1" type="noConversion"/>
  </si>
  <si>
    <t>Market Premium</t>
    <phoneticPr fontId="1" type="noConversion"/>
  </si>
  <si>
    <t>Cost of Debt</t>
    <phoneticPr fontId="1" type="noConversion"/>
  </si>
  <si>
    <t>Debt Beta</t>
    <phoneticPr fontId="1" type="noConversion"/>
  </si>
  <si>
    <t>WACC</t>
    <phoneticPr fontId="1" type="noConversion"/>
  </si>
  <si>
    <t>D / (D + E)</t>
    <phoneticPr fontId="1" type="noConversion"/>
  </si>
  <si>
    <t>E / (D + E)</t>
    <phoneticPr fontId="1" type="noConversion"/>
  </si>
  <si>
    <t>Tax Rate</t>
    <phoneticPr fontId="1" type="noConversion"/>
  </si>
  <si>
    <t>WACC(Target Leverage: 42.2%)</t>
    <phoneticPr fontId="1" type="noConversion"/>
  </si>
  <si>
    <t>(30-year treasury plus spread)</t>
    <phoneticPr fontId="1" type="noConversion"/>
  </si>
  <si>
    <t>E&amp;P</t>
    <phoneticPr fontId="1" type="noConversion"/>
  </si>
  <si>
    <t>D/V</t>
    <phoneticPr fontId="1" type="noConversion"/>
  </si>
  <si>
    <t>E/V</t>
    <phoneticPr fontId="1" type="noConversion"/>
  </si>
  <si>
    <t>Risk-free rate</t>
    <phoneticPr fontId="1" type="noConversion"/>
  </si>
  <si>
    <t>Risk-Free Rate(30-year treasury rate)</t>
    <phoneticPr fontId="1" type="noConversion"/>
  </si>
  <si>
    <t>Market risk premium</t>
    <phoneticPr fontId="1" type="noConversion"/>
  </si>
  <si>
    <t>R&amp;M</t>
    <phoneticPr fontId="1" type="noConversion"/>
  </si>
  <si>
    <t>Key Driver: Captial Structure</t>
    <phoneticPr fontId="1" type="noConversion"/>
  </si>
  <si>
    <t>Project:</t>
  </si>
  <si>
    <t>MIDLAND ENERGY RESOURCES</t>
  </si>
  <si>
    <t>Analysis:</t>
  </si>
  <si>
    <t>Comparable Companies</t>
  </si>
  <si>
    <t>Draft:</t>
  </si>
  <si>
    <t>N</t>
  </si>
  <si>
    <t>Footer:</t>
  </si>
  <si>
    <t>Harvard Business Publishing</t>
  </si>
  <si>
    <t>Equity</t>
  </si>
  <si>
    <t>Net</t>
  </si>
  <si>
    <t>LTM</t>
  </si>
  <si>
    <t>Exploration &amp; Production:</t>
  </si>
  <si>
    <t>Market Value</t>
  </si>
  <si>
    <t>Debt</t>
  </si>
  <si>
    <t>D/E</t>
  </si>
  <si>
    <t>Beta</t>
  </si>
  <si>
    <t>Revenue</t>
  </si>
  <si>
    <t>Earnings</t>
  </si>
  <si>
    <t>Jackson Energy, Inc.</t>
  </si>
  <si>
    <t>Wide Palin Petroleum</t>
  </si>
  <si>
    <t xml:space="preserve">Corsicana Energy Corp. </t>
  </si>
  <si>
    <t>Worthington Petroleum</t>
  </si>
  <si>
    <t>Average</t>
  </si>
  <si>
    <t>Refining &amp; Marketing:</t>
  </si>
  <si>
    <t xml:space="preserve">Bexar Energy, Inc. </t>
  </si>
  <si>
    <t>Kirk Corp.</t>
  </si>
  <si>
    <t>White Point Energy</t>
  </si>
  <si>
    <t>Petrarch Fuel Services</t>
  </si>
  <si>
    <t xml:space="preserve">Arkana Petroleum Corp. </t>
  </si>
  <si>
    <t xml:space="preserve">Beaumont Energy, Inc. </t>
  </si>
  <si>
    <t>Dameron Fuel Services</t>
  </si>
  <si>
    <t>Midland Energy Resources</t>
  </si>
  <si>
    <t>Enterprise Value</t>
    <phoneticPr fontId="1" type="noConversion"/>
  </si>
  <si>
    <t>EV / Revenue</t>
    <phoneticPr fontId="1" type="noConversion"/>
  </si>
  <si>
    <t>Using Comps, estimate EV of each division</t>
    <phoneticPr fontId="1" type="noConversion"/>
  </si>
  <si>
    <t>Operating Revenue</t>
    <phoneticPr fontId="1" type="noConversion"/>
  </si>
  <si>
    <t>Petrochemicals</t>
    <phoneticPr fontId="1" type="noConversion"/>
  </si>
  <si>
    <t>Estimated Enterprise Value</t>
    <phoneticPr fontId="1" type="noConversion"/>
  </si>
  <si>
    <t>Whole</t>
    <phoneticPr fontId="1" type="noConversion"/>
  </si>
  <si>
    <t>Current Stock Price</t>
    <phoneticPr fontId="1" type="noConversion"/>
  </si>
  <si>
    <t>Shares Outstanding</t>
    <phoneticPr fontId="1" type="noConversion"/>
  </si>
  <si>
    <t>Market Value of Equity</t>
    <phoneticPr fontId="1" type="noConversion"/>
  </si>
  <si>
    <t>Weight</t>
    <phoneticPr fontId="1" type="noConversion"/>
  </si>
  <si>
    <t>ExxonMobil</t>
  </si>
  <si>
    <t>Chevron Phillips Chemical</t>
  </si>
  <si>
    <t>Equity Market Value</t>
  </si>
  <si>
    <t>Net Debt</t>
  </si>
  <si>
    <t>Equity Beta</t>
  </si>
  <si>
    <t>LTM Revenue</t>
  </si>
  <si>
    <t>LTM Earnings</t>
  </si>
  <si>
    <t>Share Price</t>
  </si>
  <si>
    <t>Outstanding Shares</t>
  </si>
  <si>
    <t>Cash</t>
  </si>
  <si>
    <t>Baker Hughes</t>
  </si>
  <si>
    <t>Short Term Debt</t>
  </si>
  <si>
    <t>Enterprise Value</t>
  </si>
  <si>
    <t>EV 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</si>
</sst>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\(0\)"/>
    <numFmt numFmtId="165" formatCode="0.0%"/>
    <numFmt numFmtId="166" formatCode="#,##0.000_);\(#,##0.000\)"/>
    <numFmt numFmtId="167" formatCode="0.00_ "/>
    <numFmt numFmtId="168" formatCode="#,##0_ "/>
  </numFmts>
  <fonts count="24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8"/>
      <color indexed="8"/>
      <name val="Times New Roman"/>
      <family val="2"/>
    </font>
    <font>
      <u/>
      <sz val="8"/>
      <color indexed="8"/>
      <name val="Times New Roman"/>
      <family val="2"/>
    </font>
    <font>
      <b/>
      <sz val="8"/>
      <color indexed="8"/>
      <name val="Times New Roman"/>
      <family val="1"/>
    </font>
    <font>
      <b/>
      <i/>
      <u/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29"/>
      <scheme val="minor"/>
    </font>
    <font>
      <b/>
      <i/>
      <u/>
      <sz val="12"/>
      <color theme="1"/>
      <name val="맑은 고딕 (본문)"/>
      <charset val="129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i/>
      <u/>
      <sz val="12"/>
      <color indexed="8"/>
      <name val="Times New Roman"/>
      <family val="1"/>
    </font>
    <font>
      <b/>
      <u/>
      <sz val="12"/>
      <color theme="1"/>
      <name val="Calibri"/>
      <family val="2"/>
      <charset val="129"/>
      <scheme val="minor"/>
    </font>
    <font>
      <b/>
      <i/>
      <u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charset val="129"/>
      <scheme val="minor"/>
    </font>
    <font>
      <b/>
      <sz val="14"/>
      <color indexed="8"/>
      <name val="Times New Roman"/>
      <family val="2"/>
    </font>
    <font>
      <i/>
      <sz val="12"/>
      <color indexed="8"/>
      <name val="Times New Roman"/>
      <family val="2"/>
    </font>
    <font>
      <sz val="8"/>
      <color indexed="12"/>
      <name val="Times New Roman"/>
      <family val="2"/>
    </font>
    <font>
      <i/>
      <sz val="12"/>
      <color indexed="20"/>
      <name val="Times New Roman"/>
      <family val="2"/>
    </font>
    <font>
      <sz val="8"/>
      <color theme="1"/>
      <name val="Times New Roman"/>
      <family val="2"/>
    </font>
    <font>
      <b/>
      <sz val="12"/>
      <color indexed="8"/>
      <name val="Times New Roman"/>
      <family val="2"/>
    </font>
    <font>
      <u/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37" fontId="0" fillId="0" borderId="0" xfId="0" applyNumberFormat="1" applyAlignment="1"/>
    <xf numFmtId="37" fontId="3" fillId="0" borderId="0" xfId="0" applyNumberFormat="1" applyFont="1" applyAlignment="1"/>
    <xf numFmtId="37" fontId="4" fillId="0" borderId="0" xfId="0" applyNumberFormat="1" applyFont="1" applyAlignment="1"/>
    <xf numFmtId="37" fontId="0" fillId="0" borderId="0" xfId="0" applyNumberFormat="1" applyFill="1" applyBorder="1" applyAlignment="1"/>
    <xf numFmtId="164" fontId="2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37" fontId="5" fillId="0" borderId="0" xfId="0" applyNumberFormat="1" applyFont="1" applyAlignment="1"/>
    <xf numFmtId="37" fontId="6" fillId="0" borderId="0" xfId="0" applyNumberFormat="1" applyFont="1" applyAlignment="1"/>
    <xf numFmtId="10" fontId="0" fillId="0" borderId="0" xfId="0" applyNumberFormat="1" applyAlignment="1"/>
    <xf numFmtId="10" fontId="0" fillId="2" borderId="0" xfId="0" applyNumberFormat="1" applyFill="1" applyAlignment="1"/>
    <xf numFmtId="38" fontId="6" fillId="0" borderId="0" xfId="0" applyNumberFormat="1" applyFont="1" applyAlignment="1"/>
    <xf numFmtId="38" fontId="6" fillId="2" borderId="0" xfId="0" applyNumberFormat="1" applyFont="1" applyFill="1">
      <alignment vertical="center"/>
    </xf>
    <xf numFmtId="38" fontId="0" fillId="0" borderId="0" xfId="0" applyNumberFormat="1" applyAlignment="1"/>
    <xf numFmtId="38" fontId="0" fillId="0" borderId="0" xfId="0" applyNumberFormat="1">
      <alignment vertical="center"/>
    </xf>
    <xf numFmtId="38" fontId="6" fillId="0" borderId="0" xfId="0" applyNumberFormat="1" applyFont="1" applyFill="1">
      <alignment vertical="center"/>
    </xf>
    <xf numFmtId="38" fontId="0" fillId="0" borderId="0" xfId="0" applyNumberFormat="1" applyFont="1" applyAlignment="1"/>
    <xf numFmtId="38" fontId="0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10" fontId="6" fillId="2" borderId="0" xfId="0" applyNumberFormat="1" applyFont="1" applyFill="1" applyAlignment="1"/>
    <xf numFmtId="0" fontId="8" fillId="0" borderId="0" xfId="0" applyFont="1">
      <alignment vertical="center"/>
    </xf>
    <xf numFmtId="37" fontId="9" fillId="0" borderId="0" xfId="0" applyNumberFormat="1" applyFont="1" applyAlignment="1"/>
    <xf numFmtId="37" fontId="11" fillId="0" borderId="0" xfId="0" applyNumberFormat="1" applyFont="1" applyAlignment="1"/>
    <xf numFmtId="37" fontId="12" fillId="0" borderId="0" xfId="0" applyNumberFormat="1" applyFont="1" applyAlignment="1"/>
    <xf numFmtId="37" fontId="10" fillId="0" borderId="0" xfId="0" applyNumberFormat="1" applyFont="1" applyAlignment="1"/>
    <xf numFmtId="39" fontId="0" fillId="0" borderId="0" xfId="0" applyNumberFormat="1" applyAlignment="1"/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37" fontId="14" fillId="0" borderId="0" xfId="0" applyNumberFormat="1" applyFont="1" applyAlignment="1"/>
    <xf numFmtId="37" fontId="0" fillId="0" borderId="0" xfId="0" applyNumberFormat="1" applyFont="1" applyAlignment="1"/>
    <xf numFmtId="37" fontId="15" fillId="0" borderId="0" xfId="0" applyNumberFormat="1" applyFont="1" applyAlignment="1"/>
    <xf numFmtId="9" fontId="0" fillId="0" borderId="0" xfId="0" applyNumberFormat="1">
      <alignment vertical="center"/>
    </xf>
    <xf numFmtId="10" fontId="15" fillId="0" borderId="0" xfId="0" applyNumberFormat="1" applyFont="1" applyAlignment="1"/>
    <xf numFmtId="10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37" fontId="16" fillId="0" borderId="0" xfId="0" applyNumberFormat="1" applyFont="1" applyAlignment="1"/>
    <xf numFmtId="37" fontId="16" fillId="0" borderId="0" xfId="0" applyNumberFormat="1" applyFont="1" applyAlignment="1">
      <alignment horizontal="right"/>
    </xf>
    <xf numFmtId="37" fontId="0" fillId="3" borderId="0" xfId="0" applyNumberFormat="1" applyFill="1" applyAlignment="1"/>
    <xf numFmtId="37" fontId="0" fillId="3" borderId="0" xfId="0" applyNumberFormat="1" applyFill="1" applyAlignment="1">
      <alignment horizontal="right"/>
    </xf>
    <xf numFmtId="37" fontId="17" fillId="0" borderId="0" xfId="0" applyNumberFormat="1" applyFont="1" applyAlignment="1"/>
    <xf numFmtId="37" fontId="17" fillId="0" borderId="0" xfId="0" applyNumberFormat="1" applyFont="1" applyAlignment="1">
      <alignment horizontal="right"/>
    </xf>
    <xf numFmtId="37" fontId="18" fillId="0" borderId="0" xfId="0" applyNumberFormat="1" applyFont="1" applyAlignment="1"/>
    <xf numFmtId="37" fontId="0" fillId="0" borderId="1" xfId="0" applyNumberFormat="1" applyBorder="1" applyAlignment="1"/>
    <xf numFmtId="37" fontId="19" fillId="0" borderId="1" xfId="0" applyNumberFormat="1" applyFont="1" applyBorder="1" applyAlignment="1">
      <alignment horizontal="right"/>
    </xf>
    <xf numFmtId="165" fontId="0" fillId="0" borderId="0" xfId="0" applyNumberFormat="1" applyAlignment="1"/>
    <xf numFmtId="10" fontId="20" fillId="0" borderId="0" xfId="1" applyNumberFormat="1" applyFont="1" applyAlignment="1"/>
    <xf numFmtId="165" fontId="4" fillId="0" borderId="0" xfId="0" applyNumberFormat="1" applyFont="1" applyAlignment="1"/>
    <xf numFmtId="166" fontId="0" fillId="0" borderId="0" xfId="0" applyNumberFormat="1" applyAlignment="1"/>
    <xf numFmtId="37" fontId="0" fillId="0" borderId="0" xfId="0" applyNumberFormat="1" applyAlignment="1">
      <alignment horizontal="right"/>
    </xf>
    <xf numFmtId="37" fontId="21" fillId="4" borderId="2" xfId="0" applyNumberFormat="1" applyFont="1" applyFill="1" applyBorder="1" applyAlignment="1">
      <alignment horizontal="right"/>
    </xf>
    <xf numFmtId="37" fontId="21" fillId="4" borderId="3" xfId="0" applyNumberFormat="1" applyFont="1" applyFill="1" applyBorder="1" applyAlignment="1">
      <alignment horizontal="right"/>
    </xf>
    <xf numFmtId="37" fontId="21" fillId="4" borderId="4" xfId="0" applyNumberFormat="1" applyFont="1" applyFill="1" applyBorder="1" applyAlignment="1">
      <alignment horizontal="right"/>
    </xf>
    <xf numFmtId="37" fontId="21" fillId="4" borderId="5" xfId="0" applyNumberFormat="1" applyFont="1" applyFill="1" applyBorder="1" applyAlignment="1">
      <alignment horizontal="right"/>
    </xf>
    <xf numFmtId="37" fontId="21" fillId="4" borderId="1" xfId="0" applyNumberFormat="1" applyFont="1" applyFill="1" applyBorder="1" applyAlignment="1">
      <alignment horizontal="right"/>
    </xf>
    <xf numFmtId="37" fontId="21" fillId="4" borderId="6" xfId="0" applyNumberFormat="1" applyFont="1" applyFill="1" applyBorder="1" applyAlignment="1">
      <alignment horizontal="right"/>
    </xf>
    <xf numFmtId="165" fontId="0" fillId="0" borderId="0" xfId="0" applyNumberFormat="1" applyFont="1" applyAlignment="1"/>
    <xf numFmtId="39" fontId="0" fillId="0" borderId="0" xfId="0" applyNumberFormat="1" applyFont="1" applyAlignment="1"/>
    <xf numFmtId="167" fontId="0" fillId="0" borderId="0" xfId="0" applyNumberFormat="1" applyFont="1" applyAlignment="1"/>
    <xf numFmtId="165" fontId="22" fillId="0" borderId="0" xfId="0" applyNumberFormat="1" applyFont="1" applyAlignment="1"/>
    <xf numFmtId="39" fontId="22" fillId="0" borderId="0" xfId="0" applyNumberFormat="1" applyFont="1" applyAlignment="1"/>
    <xf numFmtId="37" fontId="23" fillId="0" borderId="0" xfId="0" applyNumberFormat="1" applyFont="1" applyAlignment="1"/>
    <xf numFmtId="165" fontId="23" fillId="0" borderId="0" xfId="0" applyNumberFormat="1" applyFont="1" applyAlignment="1"/>
    <xf numFmtId="39" fontId="23" fillId="0" borderId="0" xfId="0" applyNumberFormat="1" applyFont="1" applyAlignment="1"/>
    <xf numFmtId="165" fontId="9" fillId="0" borderId="0" xfId="0" applyNumberFormat="1" applyFont="1" applyAlignment="1"/>
    <xf numFmtId="39" fontId="9" fillId="0" borderId="0" xfId="0" applyNumberFormat="1" applyFont="1" applyAlignment="1"/>
    <xf numFmtId="39" fontId="0" fillId="0" borderId="0" xfId="0" applyNumberFormat="1">
      <alignment vertical="center"/>
    </xf>
    <xf numFmtId="16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baseColWidth="10" defaultRowHeight="16" x14ac:dyDescent="0.2"/>
  <cols>
    <col min="2" max="2" width="31.1640625" bestFit="1" customWidth="1"/>
  </cols>
  <sheetData>
    <row r="2" spans="2:3" x14ac:dyDescent="0.2">
      <c r="B2" t="s">
        <v>22</v>
      </c>
      <c r="C2" s="26">
        <v>4.9799999999999997E-2</v>
      </c>
    </row>
    <row r="3" spans="2:3" x14ac:dyDescent="0.2">
      <c r="B3" t="s">
        <v>23</v>
      </c>
      <c r="C3" s="31">
        <v>0.05</v>
      </c>
    </row>
    <row r="4" spans="2:3" x14ac:dyDescent="0.2">
      <c r="B4" t="s">
        <v>15</v>
      </c>
      <c r="C4" s="31">
        <v>0.4</v>
      </c>
    </row>
    <row r="6" spans="2:3" x14ac:dyDescent="0.2">
      <c r="B6" t="s">
        <v>65</v>
      </c>
      <c r="C6">
        <v>44.11</v>
      </c>
    </row>
    <row r="7" spans="2:3" x14ac:dyDescent="0.2">
      <c r="B7" t="s">
        <v>66</v>
      </c>
      <c r="C7" s="1">
        <v>2951</v>
      </c>
    </row>
    <row r="8" spans="2:3" x14ac:dyDescent="0.2">
      <c r="B8" t="s">
        <v>67</v>
      </c>
      <c r="C8">
        <f>C6 * C7</f>
        <v>130168.61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48" workbookViewId="0">
      <selection activeCell="G62" sqref="G62"/>
    </sheetView>
  </sheetViews>
  <sheetFormatPr baseColWidth="10" defaultColWidth="5.33203125" defaultRowHeight="16" x14ac:dyDescent="0.2"/>
  <cols>
    <col min="1" max="4" width="5.33203125" style="1"/>
    <col min="5" max="5" width="7.33203125" style="1" customWidth="1"/>
    <col min="6" max="6" width="7.83203125" style="1" bestFit="1" customWidth="1"/>
    <col min="7" max="7" width="7.33203125" style="1" bestFit="1" customWidth="1"/>
    <col min="8" max="8" width="6.1640625" style="1" customWidth="1"/>
    <col min="9" max="9" width="8.83203125" style="1" bestFit="1" customWidth="1"/>
    <col min="10" max="10" width="7" style="1" bestFit="1" customWidth="1"/>
    <col min="11" max="11" width="14.1640625" style="1" bestFit="1" customWidth="1"/>
    <col min="12" max="12" width="12.1640625" style="1" bestFit="1" customWidth="1"/>
    <col min="13" max="260" width="5.33203125" style="1"/>
    <col min="261" max="261" width="7.33203125" style="1" customWidth="1"/>
    <col min="262" max="262" width="5.33203125" style="1"/>
    <col min="263" max="263" width="5.83203125" style="1" bestFit="1" customWidth="1"/>
    <col min="264" max="264" width="6.1640625" style="1" customWidth="1"/>
    <col min="265" max="265" width="5.5" style="1" bestFit="1" customWidth="1"/>
    <col min="266" max="516" width="5.33203125" style="1"/>
    <col min="517" max="517" width="7.33203125" style="1" customWidth="1"/>
    <col min="518" max="518" width="5.33203125" style="1"/>
    <col min="519" max="519" width="5.83203125" style="1" bestFit="1" customWidth="1"/>
    <col min="520" max="520" width="6.1640625" style="1" customWidth="1"/>
    <col min="521" max="521" width="5.5" style="1" bestFit="1" customWidth="1"/>
    <col min="522" max="772" width="5.33203125" style="1"/>
    <col min="773" max="773" width="7.33203125" style="1" customWidth="1"/>
    <col min="774" max="774" width="5.33203125" style="1"/>
    <col min="775" max="775" width="5.83203125" style="1" bestFit="1" customWidth="1"/>
    <col min="776" max="776" width="6.1640625" style="1" customWidth="1"/>
    <col min="777" max="777" width="5.5" style="1" bestFit="1" customWidth="1"/>
    <col min="778" max="1028" width="5.33203125" style="1"/>
    <col min="1029" max="1029" width="7.33203125" style="1" customWidth="1"/>
    <col min="1030" max="1030" width="5.33203125" style="1"/>
    <col min="1031" max="1031" width="5.83203125" style="1" bestFit="1" customWidth="1"/>
    <col min="1032" max="1032" width="6.1640625" style="1" customWidth="1"/>
    <col min="1033" max="1033" width="5.5" style="1" bestFit="1" customWidth="1"/>
    <col min="1034" max="1284" width="5.33203125" style="1"/>
    <col min="1285" max="1285" width="7.33203125" style="1" customWidth="1"/>
    <col min="1286" max="1286" width="5.33203125" style="1"/>
    <col min="1287" max="1287" width="5.83203125" style="1" bestFit="1" customWidth="1"/>
    <col min="1288" max="1288" width="6.1640625" style="1" customWidth="1"/>
    <col min="1289" max="1289" width="5.5" style="1" bestFit="1" customWidth="1"/>
    <col min="1290" max="1540" width="5.33203125" style="1"/>
    <col min="1541" max="1541" width="7.33203125" style="1" customWidth="1"/>
    <col min="1542" max="1542" width="5.33203125" style="1"/>
    <col min="1543" max="1543" width="5.83203125" style="1" bestFit="1" customWidth="1"/>
    <col min="1544" max="1544" width="6.1640625" style="1" customWidth="1"/>
    <col min="1545" max="1545" width="5.5" style="1" bestFit="1" customWidth="1"/>
    <col min="1546" max="1796" width="5.33203125" style="1"/>
    <col min="1797" max="1797" width="7.33203125" style="1" customWidth="1"/>
    <col min="1798" max="1798" width="5.33203125" style="1"/>
    <col min="1799" max="1799" width="5.83203125" style="1" bestFit="1" customWidth="1"/>
    <col min="1800" max="1800" width="6.1640625" style="1" customWidth="1"/>
    <col min="1801" max="1801" width="5.5" style="1" bestFit="1" customWidth="1"/>
    <col min="1802" max="2052" width="5.33203125" style="1"/>
    <col min="2053" max="2053" width="7.33203125" style="1" customWidth="1"/>
    <col min="2054" max="2054" width="5.33203125" style="1"/>
    <col min="2055" max="2055" width="5.83203125" style="1" bestFit="1" customWidth="1"/>
    <col min="2056" max="2056" width="6.1640625" style="1" customWidth="1"/>
    <col min="2057" max="2057" width="5.5" style="1" bestFit="1" customWidth="1"/>
    <col min="2058" max="2308" width="5.33203125" style="1"/>
    <col min="2309" max="2309" width="7.33203125" style="1" customWidth="1"/>
    <col min="2310" max="2310" width="5.33203125" style="1"/>
    <col min="2311" max="2311" width="5.83203125" style="1" bestFit="1" customWidth="1"/>
    <col min="2312" max="2312" width="6.1640625" style="1" customWidth="1"/>
    <col min="2313" max="2313" width="5.5" style="1" bestFit="1" customWidth="1"/>
    <col min="2314" max="2564" width="5.33203125" style="1"/>
    <col min="2565" max="2565" width="7.33203125" style="1" customWidth="1"/>
    <col min="2566" max="2566" width="5.33203125" style="1"/>
    <col min="2567" max="2567" width="5.83203125" style="1" bestFit="1" customWidth="1"/>
    <col min="2568" max="2568" width="6.1640625" style="1" customWidth="1"/>
    <col min="2569" max="2569" width="5.5" style="1" bestFit="1" customWidth="1"/>
    <col min="2570" max="2820" width="5.33203125" style="1"/>
    <col min="2821" max="2821" width="7.33203125" style="1" customWidth="1"/>
    <col min="2822" max="2822" width="5.33203125" style="1"/>
    <col min="2823" max="2823" width="5.83203125" style="1" bestFit="1" customWidth="1"/>
    <col min="2824" max="2824" width="6.1640625" style="1" customWidth="1"/>
    <col min="2825" max="2825" width="5.5" style="1" bestFit="1" customWidth="1"/>
    <col min="2826" max="3076" width="5.33203125" style="1"/>
    <col min="3077" max="3077" width="7.33203125" style="1" customWidth="1"/>
    <col min="3078" max="3078" width="5.33203125" style="1"/>
    <col min="3079" max="3079" width="5.83203125" style="1" bestFit="1" customWidth="1"/>
    <col min="3080" max="3080" width="6.1640625" style="1" customWidth="1"/>
    <col min="3081" max="3081" width="5.5" style="1" bestFit="1" customWidth="1"/>
    <col min="3082" max="3332" width="5.33203125" style="1"/>
    <col min="3333" max="3333" width="7.33203125" style="1" customWidth="1"/>
    <col min="3334" max="3334" width="5.33203125" style="1"/>
    <col min="3335" max="3335" width="5.83203125" style="1" bestFit="1" customWidth="1"/>
    <col min="3336" max="3336" width="6.1640625" style="1" customWidth="1"/>
    <col min="3337" max="3337" width="5.5" style="1" bestFit="1" customWidth="1"/>
    <col min="3338" max="3588" width="5.33203125" style="1"/>
    <col min="3589" max="3589" width="7.33203125" style="1" customWidth="1"/>
    <col min="3590" max="3590" width="5.33203125" style="1"/>
    <col min="3591" max="3591" width="5.83203125" style="1" bestFit="1" customWidth="1"/>
    <col min="3592" max="3592" width="6.1640625" style="1" customWidth="1"/>
    <col min="3593" max="3593" width="5.5" style="1" bestFit="1" customWidth="1"/>
    <col min="3594" max="3844" width="5.33203125" style="1"/>
    <col min="3845" max="3845" width="7.33203125" style="1" customWidth="1"/>
    <col min="3846" max="3846" width="5.33203125" style="1"/>
    <col min="3847" max="3847" width="5.83203125" style="1" bestFit="1" customWidth="1"/>
    <col min="3848" max="3848" width="6.1640625" style="1" customWidth="1"/>
    <col min="3849" max="3849" width="5.5" style="1" bestFit="1" customWidth="1"/>
    <col min="3850" max="4100" width="5.33203125" style="1"/>
    <col min="4101" max="4101" width="7.33203125" style="1" customWidth="1"/>
    <col min="4102" max="4102" width="5.33203125" style="1"/>
    <col min="4103" max="4103" width="5.83203125" style="1" bestFit="1" customWidth="1"/>
    <col min="4104" max="4104" width="6.1640625" style="1" customWidth="1"/>
    <col min="4105" max="4105" width="5.5" style="1" bestFit="1" customWidth="1"/>
    <col min="4106" max="4356" width="5.33203125" style="1"/>
    <col min="4357" max="4357" width="7.33203125" style="1" customWidth="1"/>
    <col min="4358" max="4358" width="5.33203125" style="1"/>
    <col min="4359" max="4359" width="5.83203125" style="1" bestFit="1" customWidth="1"/>
    <col min="4360" max="4360" width="6.1640625" style="1" customWidth="1"/>
    <col min="4361" max="4361" width="5.5" style="1" bestFit="1" customWidth="1"/>
    <col min="4362" max="4612" width="5.33203125" style="1"/>
    <col min="4613" max="4613" width="7.33203125" style="1" customWidth="1"/>
    <col min="4614" max="4614" width="5.33203125" style="1"/>
    <col min="4615" max="4615" width="5.83203125" style="1" bestFit="1" customWidth="1"/>
    <col min="4616" max="4616" width="6.1640625" style="1" customWidth="1"/>
    <col min="4617" max="4617" width="5.5" style="1" bestFit="1" customWidth="1"/>
    <col min="4618" max="4868" width="5.33203125" style="1"/>
    <col min="4869" max="4869" width="7.33203125" style="1" customWidth="1"/>
    <col min="4870" max="4870" width="5.33203125" style="1"/>
    <col min="4871" max="4871" width="5.83203125" style="1" bestFit="1" customWidth="1"/>
    <col min="4872" max="4872" width="6.1640625" style="1" customWidth="1"/>
    <col min="4873" max="4873" width="5.5" style="1" bestFit="1" customWidth="1"/>
    <col min="4874" max="5124" width="5.33203125" style="1"/>
    <col min="5125" max="5125" width="7.33203125" style="1" customWidth="1"/>
    <col min="5126" max="5126" width="5.33203125" style="1"/>
    <col min="5127" max="5127" width="5.83203125" style="1" bestFit="1" customWidth="1"/>
    <col min="5128" max="5128" width="6.1640625" style="1" customWidth="1"/>
    <col min="5129" max="5129" width="5.5" style="1" bestFit="1" customWidth="1"/>
    <col min="5130" max="5380" width="5.33203125" style="1"/>
    <col min="5381" max="5381" width="7.33203125" style="1" customWidth="1"/>
    <col min="5382" max="5382" width="5.33203125" style="1"/>
    <col min="5383" max="5383" width="5.83203125" style="1" bestFit="1" customWidth="1"/>
    <col min="5384" max="5384" width="6.1640625" style="1" customWidth="1"/>
    <col min="5385" max="5385" width="5.5" style="1" bestFit="1" customWidth="1"/>
    <col min="5386" max="5636" width="5.33203125" style="1"/>
    <col min="5637" max="5637" width="7.33203125" style="1" customWidth="1"/>
    <col min="5638" max="5638" width="5.33203125" style="1"/>
    <col min="5639" max="5639" width="5.83203125" style="1" bestFit="1" customWidth="1"/>
    <col min="5640" max="5640" width="6.1640625" style="1" customWidth="1"/>
    <col min="5641" max="5641" width="5.5" style="1" bestFit="1" customWidth="1"/>
    <col min="5642" max="5892" width="5.33203125" style="1"/>
    <col min="5893" max="5893" width="7.33203125" style="1" customWidth="1"/>
    <col min="5894" max="5894" width="5.33203125" style="1"/>
    <col min="5895" max="5895" width="5.83203125" style="1" bestFit="1" customWidth="1"/>
    <col min="5896" max="5896" width="6.1640625" style="1" customWidth="1"/>
    <col min="5897" max="5897" width="5.5" style="1" bestFit="1" customWidth="1"/>
    <col min="5898" max="6148" width="5.33203125" style="1"/>
    <col min="6149" max="6149" width="7.33203125" style="1" customWidth="1"/>
    <col min="6150" max="6150" width="5.33203125" style="1"/>
    <col min="6151" max="6151" width="5.83203125" style="1" bestFit="1" customWidth="1"/>
    <col min="6152" max="6152" width="6.1640625" style="1" customWidth="1"/>
    <col min="6153" max="6153" width="5.5" style="1" bestFit="1" customWidth="1"/>
    <col min="6154" max="6404" width="5.33203125" style="1"/>
    <col min="6405" max="6405" width="7.33203125" style="1" customWidth="1"/>
    <col min="6406" max="6406" width="5.33203125" style="1"/>
    <col min="6407" max="6407" width="5.83203125" style="1" bestFit="1" customWidth="1"/>
    <col min="6408" max="6408" width="6.1640625" style="1" customWidth="1"/>
    <col min="6409" max="6409" width="5.5" style="1" bestFit="1" customWidth="1"/>
    <col min="6410" max="6660" width="5.33203125" style="1"/>
    <col min="6661" max="6661" width="7.33203125" style="1" customWidth="1"/>
    <col min="6662" max="6662" width="5.33203125" style="1"/>
    <col min="6663" max="6663" width="5.83203125" style="1" bestFit="1" customWidth="1"/>
    <col min="6664" max="6664" width="6.1640625" style="1" customWidth="1"/>
    <col min="6665" max="6665" width="5.5" style="1" bestFit="1" customWidth="1"/>
    <col min="6666" max="6916" width="5.33203125" style="1"/>
    <col min="6917" max="6917" width="7.33203125" style="1" customWidth="1"/>
    <col min="6918" max="6918" width="5.33203125" style="1"/>
    <col min="6919" max="6919" width="5.83203125" style="1" bestFit="1" customWidth="1"/>
    <col min="6920" max="6920" width="6.1640625" style="1" customWidth="1"/>
    <col min="6921" max="6921" width="5.5" style="1" bestFit="1" customWidth="1"/>
    <col min="6922" max="7172" width="5.33203125" style="1"/>
    <col min="7173" max="7173" width="7.33203125" style="1" customWidth="1"/>
    <col min="7174" max="7174" width="5.33203125" style="1"/>
    <col min="7175" max="7175" width="5.83203125" style="1" bestFit="1" customWidth="1"/>
    <col min="7176" max="7176" width="6.1640625" style="1" customWidth="1"/>
    <col min="7177" max="7177" width="5.5" style="1" bestFit="1" customWidth="1"/>
    <col min="7178" max="7428" width="5.33203125" style="1"/>
    <col min="7429" max="7429" width="7.33203125" style="1" customWidth="1"/>
    <col min="7430" max="7430" width="5.33203125" style="1"/>
    <col min="7431" max="7431" width="5.83203125" style="1" bestFit="1" customWidth="1"/>
    <col min="7432" max="7432" width="6.1640625" style="1" customWidth="1"/>
    <col min="7433" max="7433" width="5.5" style="1" bestFit="1" customWidth="1"/>
    <col min="7434" max="7684" width="5.33203125" style="1"/>
    <col min="7685" max="7685" width="7.33203125" style="1" customWidth="1"/>
    <col min="7686" max="7686" width="5.33203125" style="1"/>
    <col min="7687" max="7687" width="5.83203125" style="1" bestFit="1" customWidth="1"/>
    <col min="7688" max="7688" width="6.1640625" style="1" customWidth="1"/>
    <col min="7689" max="7689" width="5.5" style="1" bestFit="1" customWidth="1"/>
    <col min="7690" max="7940" width="5.33203125" style="1"/>
    <col min="7941" max="7941" width="7.33203125" style="1" customWidth="1"/>
    <col min="7942" max="7942" width="5.33203125" style="1"/>
    <col min="7943" max="7943" width="5.83203125" style="1" bestFit="1" customWidth="1"/>
    <col min="7944" max="7944" width="6.1640625" style="1" customWidth="1"/>
    <col min="7945" max="7945" width="5.5" style="1" bestFit="1" customWidth="1"/>
    <col min="7946" max="8196" width="5.33203125" style="1"/>
    <col min="8197" max="8197" width="7.33203125" style="1" customWidth="1"/>
    <col min="8198" max="8198" width="5.33203125" style="1"/>
    <col min="8199" max="8199" width="5.83203125" style="1" bestFit="1" customWidth="1"/>
    <col min="8200" max="8200" width="6.1640625" style="1" customWidth="1"/>
    <col min="8201" max="8201" width="5.5" style="1" bestFit="1" customWidth="1"/>
    <col min="8202" max="8452" width="5.33203125" style="1"/>
    <col min="8453" max="8453" width="7.33203125" style="1" customWidth="1"/>
    <col min="8454" max="8454" width="5.33203125" style="1"/>
    <col min="8455" max="8455" width="5.83203125" style="1" bestFit="1" customWidth="1"/>
    <col min="8456" max="8456" width="6.1640625" style="1" customWidth="1"/>
    <col min="8457" max="8457" width="5.5" style="1" bestFit="1" customWidth="1"/>
    <col min="8458" max="8708" width="5.33203125" style="1"/>
    <col min="8709" max="8709" width="7.33203125" style="1" customWidth="1"/>
    <col min="8710" max="8710" width="5.33203125" style="1"/>
    <col min="8711" max="8711" width="5.83203125" style="1" bestFit="1" customWidth="1"/>
    <col min="8712" max="8712" width="6.1640625" style="1" customWidth="1"/>
    <col min="8713" max="8713" width="5.5" style="1" bestFit="1" customWidth="1"/>
    <col min="8714" max="8964" width="5.33203125" style="1"/>
    <col min="8965" max="8965" width="7.33203125" style="1" customWidth="1"/>
    <col min="8966" max="8966" width="5.33203125" style="1"/>
    <col min="8967" max="8967" width="5.83203125" style="1" bestFit="1" customWidth="1"/>
    <col min="8968" max="8968" width="6.1640625" style="1" customWidth="1"/>
    <col min="8969" max="8969" width="5.5" style="1" bestFit="1" customWidth="1"/>
    <col min="8970" max="9220" width="5.33203125" style="1"/>
    <col min="9221" max="9221" width="7.33203125" style="1" customWidth="1"/>
    <col min="9222" max="9222" width="5.33203125" style="1"/>
    <col min="9223" max="9223" width="5.83203125" style="1" bestFit="1" customWidth="1"/>
    <col min="9224" max="9224" width="6.1640625" style="1" customWidth="1"/>
    <col min="9225" max="9225" width="5.5" style="1" bestFit="1" customWidth="1"/>
    <col min="9226" max="9476" width="5.33203125" style="1"/>
    <col min="9477" max="9477" width="7.33203125" style="1" customWidth="1"/>
    <col min="9478" max="9478" width="5.33203125" style="1"/>
    <col min="9479" max="9479" width="5.83203125" style="1" bestFit="1" customWidth="1"/>
    <col min="9480" max="9480" width="6.1640625" style="1" customWidth="1"/>
    <col min="9481" max="9481" width="5.5" style="1" bestFit="1" customWidth="1"/>
    <col min="9482" max="9732" width="5.33203125" style="1"/>
    <col min="9733" max="9733" width="7.33203125" style="1" customWidth="1"/>
    <col min="9734" max="9734" width="5.33203125" style="1"/>
    <col min="9735" max="9735" width="5.83203125" style="1" bestFit="1" customWidth="1"/>
    <col min="9736" max="9736" width="6.1640625" style="1" customWidth="1"/>
    <col min="9737" max="9737" width="5.5" style="1" bestFit="1" customWidth="1"/>
    <col min="9738" max="9988" width="5.33203125" style="1"/>
    <col min="9989" max="9989" width="7.33203125" style="1" customWidth="1"/>
    <col min="9990" max="9990" width="5.33203125" style="1"/>
    <col min="9991" max="9991" width="5.83203125" style="1" bestFit="1" customWidth="1"/>
    <col min="9992" max="9992" width="6.1640625" style="1" customWidth="1"/>
    <col min="9993" max="9993" width="5.5" style="1" bestFit="1" customWidth="1"/>
    <col min="9994" max="10244" width="5.33203125" style="1"/>
    <col min="10245" max="10245" width="7.33203125" style="1" customWidth="1"/>
    <col min="10246" max="10246" width="5.33203125" style="1"/>
    <col min="10247" max="10247" width="5.83203125" style="1" bestFit="1" customWidth="1"/>
    <col min="10248" max="10248" width="6.1640625" style="1" customWidth="1"/>
    <col min="10249" max="10249" width="5.5" style="1" bestFit="1" customWidth="1"/>
    <col min="10250" max="10500" width="5.33203125" style="1"/>
    <col min="10501" max="10501" width="7.33203125" style="1" customWidth="1"/>
    <col min="10502" max="10502" width="5.33203125" style="1"/>
    <col min="10503" max="10503" width="5.83203125" style="1" bestFit="1" customWidth="1"/>
    <col min="10504" max="10504" width="6.1640625" style="1" customWidth="1"/>
    <col min="10505" max="10505" width="5.5" style="1" bestFit="1" customWidth="1"/>
    <col min="10506" max="10756" width="5.33203125" style="1"/>
    <col min="10757" max="10757" width="7.33203125" style="1" customWidth="1"/>
    <col min="10758" max="10758" width="5.33203125" style="1"/>
    <col min="10759" max="10759" width="5.83203125" style="1" bestFit="1" customWidth="1"/>
    <col min="10760" max="10760" width="6.1640625" style="1" customWidth="1"/>
    <col min="10761" max="10761" width="5.5" style="1" bestFit="1" customWidth="1"/>
    <col min="10762" max="11012" width="5.33203125" style="1"/>
    <col min="11013" max="11013" width="7.33203125" style="1" customWidth="1"/>
    <col min="11014" max="11014" width="5.33203125" style="1"/>
    <col min="11015" max="11015" width="5.83203125" style="1" bestFit="1" customWidth="1"/>
    <col min="11016" max="11016" width="6.1640625" style="1" customWidth="1"/>
    <col min="11017" max="11017" width="5.5" style="1" bestFit="1" customWidth="1"/>
    <col min="11018" max="11268" width="5.33203125" style="1"/>
    <col min="11269" max="11269" width="7.33203125" style="1" customWidth="1"/>
    <col min="11270" max="11270" width="5.33203125" style="1"/>
    <col min="11271" max="11271" width="5.83203125" style="1" bestFit="1" customWidth="1"/>
    <col min="11272" max="11272" width="6.1640625" style="1" customWidth="1"/>
    <col min="11273" max="11273" width="5.5" style="1" bestFit="1" customWidth="1"/>
    <col min="11274" max="11524" width="5.33203125" style="1"/>
    <col min="11525" max="11525" width="7.33203125" style="1" customWidth="1"/>
    <col min="11526" max="11526" width="5.33203125" style="1"/>
    <col min="11527" max="11527" width="5.83203125" style="1" bestFit="1" customWidth="1"/>
    <col min="11528" max="11528" width="6.1640625" style="1" customWidth="1"/>
    <col min="11529" max="11529" width="5.5" style="1" bestFit="1" customWidth="1"/>
    <col min="11530" max="11780" width="5.33203125" style="1"/>
    <col min="11781" max="11781" width="7.33203125" style="1" customWidth="1"/>
    <col min="11782" max="11782" width="5.33203125" style="1"/>
    <col min="11783" max="11783" width="5.83203125" style="1" bestFit="1" customWidth="1"/>
    <col min="11784" max="11784" width="6.1640625" style="1" customWidth="1"/>
    <col min="11785" max="11785" width="5.5" style="1" bestFit="1" customWidth="1"/>
    <col min="11786" max="12036" width="5.33203125" style="1"/>
    <col min="12037" max="12037" width="7.33203125" style="1" customWidth="1"/>
    <col min="12038" max="12038" width="5.33203125" style="1"/>
    <col min="12039" max="12039" width="5.83203125" style="1" bestFit="1" customWidth="1"/>
    <col min="12040" max="12040" width="6.1640625" style="1" customWidth="1"/>
    <col min="12041" max="12041" width="5.5" style="1" bestFit="1" customWidth="1"/>
    <col min="12042" max="12292" width="5.33203125" style="1"/>
    <col min="12293" max="12293" width="7.33203125" style="1" customWidth="1"/>
    <col min="12294" max="12294" width="5.33203125" style="1"/>
    <col min="12295" max="12295" width="5.83203125" style="1" bestFit="1" customWidth="1"/>
    <col min="12296" max="12296" width="6.1640625" style="1" customWidth="1"/>
    <col min="12297" max="12297" width="5.5" style="1" bestFit="1" customWidth="1"/>
    <col min="12298" max="12548" width="5.33203125" style="1"/>
    <col min="12549" max="12549" width="7.33203125" style="1" customWidth="1"/>
    <col min="12550" max="12550" width="5.33203125" style="1"/>
    <col min="12551" max="12551" width="5.83203125" style="1" bestFit="1" customWidth="1"/>
    <col min="12552" max="12552" width="6.1640625" style="1" customWidth="1"/>
    <col min="12553" max="12553" width="5.5" style="1" bestFit="1" customWidth="1"/>
    <col min="12554" max="12804" width="5.33203125" style="1"/>
    <col min="12805" max="12805" width="7.33203125" style="1" customWidth="1"/>
    <col min="12806" max="12806" width="5.33203125" style="1"/>
    <col min="12807" max="12807" width="5.83203125" style="1" bestFit="1" customWidth="1"/>
    <col min="12808" max="12808" width="6.1640625" style="1" customWidth="1"/>
    <col min="12809" max="12809" width="5.5" style="1" bestFit="1" customWidth="1"/>
    <col min="12810" max="13060" width="5.33203125" style="1"/>
    <col min="13061" max="13061" width="7.33203125" style="1" customWidth="1"/>
    <col min="13062" max="13062" width="5.33203125" style="1"/>
    <col min="13063" max="13063" width="5.83203125" style="1" bestFit="1" customWidth="1"/>
    <col min="13064" max="13064" width="6.1640625" style="1" customWidth="1"/>
    <col min="13065" max="13065" width="5.5" style="1" bestFit="1" customWidth="1"/>
    <col min="13066" max="13316" width="5.33203125" style="1"/>
    <col min="13317" max="13317" width="7.33203125" style="1" customWidth="1"/>
    <col min="13318" max="13318" width="5.33203125" style="1"/>
    <col min="13319" max="13319" width="5.83203125" style="1" bestFit="1" customWidth="1"/>
    <col min="13320" max="13320" width="6.1640625" style="1" customWidth="1"/>
    <col min="13321" max="13321" width="5.5" style="1" bestFit="1" customWidth="1"/>
    <col min="13322" max="13572" width="5.33203125" style="1"/>
    <col min="13573" max="13573" width="7.33203125" style="1" customWidth="1"/>
    <col min="13574" max="13574" width="5.33203125" style="1"/>
    <col min="13575" max="13575" width="5.83203125" style="1" bestFit="1" customWidth="1"/>
    <col min="13576" max="13576" width="6.1640625" style="1" customWidth="1"/>
    <col min="13577" max="13577" width="5.5" style="1" bestFit="1" customWidth="1"/>
    <col min="13578" max="13828" width="5.33203125" style="1"/>
    <col min="13829" max="13829" width="7.33203125" style="1" customWidth="1"/>
    <col min="13830" max="13830" width="5.33203125" style="1"/>
    <col min="13831" max="13831" width="5.83203125" style="1" bestFit="1" customWidth="1"/>
    <col min="13832" max="13832" width="6.1640625" style="1" customWidth="1"/>
    <col min="13833" max="13833" width="5.5" style="1" bestFit="1" customWidth="1"/>
    <col min="13834" max="14084" width="5.33203125" style="1"/>
    <col min="14085" max="14085" width="7.33203125" style="1" customWidth="1"/>
    <col min="14086" max="14086" width="5.33203125" style="1"/>
    <col min="14087" max="14087" width="5.83203125" style="1" bestFit="1" customWidth="1"/>
    <col min="14088" max="14088" width="6.1640625" style="1" customWidth="1"/>
    <col min="14089" max="14089" width="5.5" style="1" bestFit="1" customWidth="1"/>
    <col min="14090" max="14340" width="5.33203125" style="1"/>
    <col min="14341" max="14341" width="7.33203125" style="1" customWidth="1"/>
    <col min="14342" max="14342" width="5.33203125" style="1"/>
    <col min="14343" max="14343" width="5.83203125" style="1" bestFit="1" customWidth="1"/>
    <col min="14344" max="14344" width="6.1640625" style="1" customWidth="1"/>
    <col min="14345" max="14345" width="5.5" style="1" bestFit="1" customWidth="1"/>
    <col min="14346" max="14596" width="5.33203125" style="1"/>
    <col min="14597" max="14597" width="7.33203125" style="1" customWidth="1"/>
    <col min="14598" max="14598" width="5.33203125" style="1"/>
    <col min="14599" max="14599" width="5.83203125" style="1" bestFit="1" customWidth="1"/>
    <col min="14600" max="14600" width="6.1640625" style="1" customWidth="1"/>
    <col min="14601" max="14601" width="5.5" style="1" bestFit="1" customWidth="1"/>
    <col min="14602" max="14852" width="5.33203125" style="1"/>
    <col min="14853" max="14853" width="7.33203125" style="1" customWidth="1"/>
    <col min="14854" max="14854" width="5.33203125" style="1"/>
    <col min="14855" max="14855" width="5.83203125" style="1" bestFit="1" customWidth="1"/>
    <col min="14856" max="14856" width="6.1640625" style="1" customWidth="1"/>
    <col min="14857" max="14857" width="5.5" style="1" bestFit="1" customWidth="1"/>
    <col min="14858" max="15108" width="5.33203125" style="1"/>
    <col min="15109" max="15109" width="7.33203125" style="1" customWidth="1"/>
    <col min="15110" max="15110" width="5.33203125" style="1"/>
    <col min="15111" max="15111" width="5.83203125" style="1" bestFit="1" customWidth="1"/>
    <col min="15112" max="15112" width="6.1640625" style="1" customWidth="1"/>
    <col min="15113" max="15113" width="5.5" style="1" bestFit="1" customWidth="1"/>
    <col min="15114" max="15364" width="5.33203125" style="1"/>
    <col min="15365" max="15365" width="7.33203125" style="1" customWidth="1"/>
    <col min="15366" max="15366" width="5.33203125" style="1"/>
    <col min="15367" max="15367" width="5.83203125" style="1" bestFit="1" customWidth="1"/>
    <col min="15368" max="15368" width="6.1640625" style="1" customWidth="1"/>
    <col min="15369" max="15369" width="5.5" style="1" bestFit="1" customWidth="1"/>
    <col min="15370" max="15620" width="5.33203125" style="1"/>
    <col min="15621" max="15621" width="7.33203125" style="1" customWidth="1"/>
    <col min="15622" max="15622" width="5.33203125" style="1"/>
    <col min="15623" max="15623" width="5.83203125" style="1" bestFit="1" customWidth="1"/>
    <col min="15624" max="15624" width="6.1640625" style="1" customWidth="1"/>
    <col min="15625" max="15625" width="5.5" style="1" bestFit="1" customWidth="1"/>
    <col min="15626" max="15876" width="5.33203125" style="1"/>
    <col min="15877" max="15877" width="7.33203125" style="1" customWidth="1"/>
    <col min="15878" max="15878" width="5.33203125" style="1"/>
    <col min="15879" max="15879" width="5.83203125" style="1" bestFit="1" customWidth="1"/>
    <col min="15880" max="15880" width="6.1640625" style="1" customWidth="1"/>
    <col min="15881" max="15881" width="5.5" style="1" bestFit="1" customWidth="1"/>
    <col min="15882" max="16132" width="5.33203125" style="1"/>
    <col min="16133" max="16133" width="7.33203125" style="1" customWidth="1"/>
    <col min="16134" max="16134" width="5.33203125" style="1"/>
    <col min="16135" max="16135" width="5.83203125" style="1" bestFit="1" customWidth="1"/>
    <col min="16136" max="16136" width="6.1640625" style="1" customWidth="1"/>
    <col min="16137" max="16137" width="5.5" style="1" bestFit="1" customWidth="1"/>
    <col min="16138" max="16384" width="5.33203125" style="1"/>
  </cols>
  <sheetData>
    <row r="1" spans="1:18" s="36" customFormat="1" ht="18" x14ac:dyDescent="0.2">
      <c r="A1" s="36" t="str">
        <f>$C$6</f>
        <v>MIDLAND ENERGY RESOURCES</v>
      </c>
      <c r="I1" s="36" t="str">
        <f>IF($C$8="Y","Draft","")</f>
        <v/>
      </c>
      <c r="R1" s="37" t="str">
        <f>$C$7</f>
        <v>Comparable Companies</v>
      </c>
    </row>
    <row r="2" spans="1:18" s="38" customFormat="1" ht="2" customHeight="1" x14ac:dyDescent="0.2">
      <c r="R2" s="39"/>
    </row>
    <row r="3" spans="1:18" s="40" customFormat="1" x14ac:dyDescent="0.2">
      <c r="R3" s="41"/>
    </row>
    <row r="6" spans="1:18" x14ac:dyDescent="0.2">
      <c r="A6" s="1" t="s">
        <v>26</v>
      </c>
      <c r="C6" s="42" t="s">
        <v>27</v>
      </c>
    </row>
    <row r="7" spans="1:18" x14ac:dyDescent="0.2">
      <c r="A7" s="1" t="s">
        <v>28</v>
      </c>
      <c r="C7" s="42" t="s">
        <v>29</v>
      </c>
    </row>
    <row r="8" spans="1:18" x14ac:dyDescent="0.2">
      <c r="A8" s="1" t="s">
        <v>30</v>
      </c>
      <c r="C8" s="42" t="s">
        <v>31</v>
      </c>
    </row>
    <row r="9" spans="1:18" x14ac:dyDescent="0.2">
      <c r="A9" s="1" t="s">
        <v>32</v>
      </c>
      <c r="C9" s="42" t="s">
        <v>33</v>
      </c>
    </row>
    <row r="51" spans="1:18" s="43" customFormat="1" x14ac:dyDescent="0.2">
      <c r="R51" s="44" t="str">
        <f>$C$9</f>
        <v>Harvard Business Publishing</v>
      </c>
    </row>
    <row r="52" spans="1:18" ht="18" x14ac:dyDescent="0.2">
      <c r="A52" s="36" t="str">
        <f>$C$6</f>
        <v>MIDLAND ENERGY RESOURCES</v>
      </c>
      <c r="B52" s="36"/>
      <c r="C52" s="36"/>
      <c r="D52" s="36"/>
      <c r="E52" s="36"/>
      <c r="F52" s="36"/>
      <c r="G52" s="36"/>
      <c r="H52" s="36"/>
      <c r="I52" s="36" t="str">
        <f>IF($C$8="Y","Draft","")</f>
        <v/>
      </c>
      <c r="J52" s="36"/>
      <c r="K52" s="36"/>
      <c r="L52" s="36"/>
      <c r="M52" s="36"/>
      <c r="N52" s="36"/>
      <c r="O52" s="36"/>
      <c r="P52" s="36"/>
      <c r="Q52" s="36"/>
      <c r="R52" s="37" t="str">
        <f>$C$7</f>
        <v>Comparable Companies</v>
      </c>
    </row>
    <row r="53" spans="1:18" ht="2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9"/>
    </row>
    <row r="54" spans="1:18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</row>
    <row r="56" spans="1:18" x14ac:dyDescent="0.2">
      <c r="A56" s="29"/>
      <c r="B56" s="29"/>
      <c r="C56" s="29"/>
      <c r="D56" s="29"/>
      <c r="E56" s="50" t="s">
        <v>34</v>
      </c>
      <c r="F56" s="51" t="s">
        <v>35</v>
      </c>
      <c r="G56" s="51"/>
      <c r="H56" s="51" t="s">
        <v>34</v>
      </c>
      <c r="I56" s="51" t="s">
        <v>36</v>
      </c>
      <c r="J56" s="52" t="s">
        <v>36</v>
      </c>
      <c r="K56" s="29"/>
      <c r="L56" s="29"/>
    </row>
    <row r="57" spans="1:18" x14ac:dyDescent="0.2">
      <c r="A57" s="23" t="s">
        <v>37</v>
      </c>
      <c r="B57" s="29"/>
      <c r="C57" s="29"/>
      <c r="D57" s="29"/>
      <c r="E57" s="53" t="s">
        <v>38</v>
      </c>
      <c r="F57" s="54" t="s">
        <v>39</v>
      </c>
      <c r="G57" s="54" t="s">
        <v>40</v>
      </c>
      <c r="H57" s="54" t="s">
        <v>41</v>
      </c>
      <c r="I57" s="54" t="s">
        <v>42</v>
      </c>
      <c r="J57" s="55" t="s">
        <v>43</v>
      </c>
      <c r="K57" s="29" t="s">
        <v>58</v>
      </c>
      <c r="L57" s="29" t="s">
        <v>59</v>
      </c>
    </row>
    <row r="58" spans="1:18" x14ac:dyDescent="0.2">
      <c r="A58" s="29" t="s">
        <v>44</v>
      </c>
      <c r="B58" s="29"/>
      <c r="C58" s="29"/>
      <c r="D58" s="29"/>
      <c r="E58" s="29">
        <v>57931.110736939998</v>
      </c>
      <c r="F58" s="29">
        <v>6480.25</v>
      </c>
      <c r="G58" s="56">
        <v>0.111861311091138</v>
      </c>
      <c r="H58" s="57">
        <v>0.89</v>
      </c>
      <c r="I58" s="29">
        <v>18511.5</v>
      </c>
      <c r="J58" s="29">
        <v>4980.5</v>
      </c>
      <c r="K58" s="29">
        <f>E58 + F58</f>
        <v>64411.360736939998</v>
      </c>
      <c r="L58" s="58">
        <f>K58 / I58</f>
        <v>3.4795322225070899</v>
      </c>
      <c r="M58" s="46"/>
    </row>
    <row r="59" spans="1:18" x14ac:dyDescent="0.2">
      <c r="A59" s="29" t="s">
        <v>45</v>
      </c>
      <c r="B59" s="29"/>
      <c r="C59" s="29"/>
      <c r="D59" s="29"/>
      <c r="E59" s="29">
        <v>46088.704343605001</v>
      </c>
      <c r="F59" s="29">
        <v>39375</v>
      </c>
      <c r="G59" s="56">
        <v>0.85433080753252799</v>
      </c>
      <c r="H59" s="57">
        <v>1.21</v>
      </c>
      <c r="I59" s="29">
        <v>17827.25</v>
      </c>
      <c r="J59" s="29">
        <v>8494.5</v>
      </c>
      <c r="K59" s="29">
        <f t="shared" ref="K59:K61" si="0">E59 + F59</f>
        <v>85463.704343605001</v>
      </c>
      <c r="L59" s="58">
        <f>K59 / I59</f>
        <v>4.7939925868322373</v>
      </c>
    </row>
    <row r="60" spans="1:18" x14ac:dyDescent="0.2">
      <c r="A60" s="29" t="s">
        <v>46</v>
      </c>
      <c r="B60" s="29"/>
      <c r="C60" s="29"/>
      <c r="D60" s="29"/>
      <c r="E60" s="29">
        <v>42262.564498017498</v>
      </c>
      <c r="F60" s="29">
        <v>6442.4517500000002</v>
      </c>
      <c r="G60" s="56">
        <v>0.15243873216217699</v>
      </c>
      <c r="H60" s="57">
        <v>1.1100000000000001</v>
      </c>
      <c r="I60" s="29">
        <v>14505.36325</v>
      </c>
      <c r="J60" s="29">
        <v>4466.7892499999998</v>
      </c>
      <c r="K60" s="29">
        <f t="shared" si="0"/>
        <v>48705.016248017499</v>
      </c>
      <c r="L60" s="58">
        <f>K60 / I60</f>
        <v>3.35772468490353</v>
      </c>
    </row>
    <row r="61" spans="1:18" x14ac:dyDescent="0.2">
      <c r="A61" s="29" t="s">
        <v>47</v>
      </c>
      <c r="B61" s="29"/>
      <c r="C61" s="29"/>
      <c r="D61" s="29"/>
      <c r="E61" s="29">
        <v>27591.437065902501</v>
      </c>
      <c r="F61" s="29">
        <v>13098.1865</v>
      </c>
      <c r="G61" s="59">
        <v>0.474719256873602</v>
      </c>
      <c r="H61" s="60">
        <v>1.39</v>
      </c>
      <c r="I61" s="29">
        <v>12819.79125</v>
      </c>
      <c r="J61" s="29">
        <v>3505.8152500000001</v>
      </c>
      <c r="K61" s="29">
        <f t="shared" si="0"/>
        <v>40689.623565902497</v>
      </c>
      <c r="L61" s="58">
        <f>K61 / I61</f>
        <v>3.1739692770662313</v>
      </c>
    </row>
    <row r="62" spans="1:18" x14ac:dyDescent="0.2">
      <c r="A62" s="61" t="s">
        <v>48</v>
      </c>
      <c r="B62" s="61"/>
      <c r="C62" s="61"/>
      <c r="D62" s="61"/>
      <c r="E62" s="61"/>
      <c r="F62" s="61"/>
      <c r="G62" s="62">
        <f>AVERAGE(G58:G61)</f>
        <v>0.39833752691486124</v>
      </c>
      <c r="H62" s="63">
        <f>AVERAGE(H58:H61)</f>
        <v>1.1499999999999999</v>
      </c>
      <c r="I62" s="61"/>
      <c r="J62" s="61"/>
      <c r="K62" s="29"/>
      <c r="L62" s="57">
        <f>AVERAGE(L55:L61)</f>
        <v>3.7013046928272724</v>
      </c>
    </row>
    <row r="63" spans="1:1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8" x14ac:dyDescent="0.2">
      <c r="A64" s="23" t="s">
        <v>49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x14ac:dyDescent="0.2">
      <c r="A65" s="29" t="s">
        <v>50</v>
      </c>
      <c r="B65" s="29"/>
      <c r="C65" s="29"/>
      <c r="D65" s="29"/>
      <c r="E65" s="29">
        <v>60355.524150652498</v>
      </c>
      <c r="F65" s="29">
        <v>6200.25</v>
      </c>
      <c r="G65" s="56">
        <v>0.10272879056643799</v>
      </c>
      <c r="H65" s="57">
        <v>1.7</v>
      </c>
      <c r="I65" s="29">
        <v>160707.75</v>
      </c>
      <c r="J65" s="29">
        <v>9560.25</v>
      </c>
      <c r="K65" s="29">
        <f t="shared" ref="K65:K71" si="1">E65 + F65</f>
        <v>66555.774150652491</v>
      </c>
      <c r="L65" s="58">
        <f t="shared" ref="L65:L71" si="2">K65 / I65</f>
        <v>0.41414165869818031</v>
      </c>
    </row>
    <row r="66" spans="1:12" x14ac:dyDescent="0.2">
      <c r="A66" s="29" t="s">
        <v>51</v>
      </c>
      <c r="B66" s="29"/>
      <c r="C66" s="29"/>
      <c r="D66" s="29"/>
      <c r="E66" s="29">
        <v>15566.901490157499</v>
      </c>
      <c r="F66" s="29">
        <v>3017</v>
      </c>
      <c r="G66" s="56">
        <v>0.193808639561801</v>
      </c>
      <c r="H66" s="57">
        <v>0.94</v>
      </c>
      <c r="I66" s="29">
        <v>67751.25</v>
      </c>
      <c r="J66" s="29">
        <v>1713.25</v>
      </c>
      <c r="K66" s="29">
        <f t="shared" si="1"/>
        <v>18583.901490157499</v>
      </c>
      <c r="L66" s="58">
        <f t="shared" si="2"/>
        <v>0.27429606819294844</v>
      </c>
    </row>
    <row r="67" spans="1:12" x14ac:dyDescent="0.2">
      <c r="A67" s="29" t="s">
        <v>52</v>
      </c>
      <c r="B67" s="29"/>
      <c r="C67" s="29"/>
      <c r="D67" s="29"/>
      <c r="E67" s="29">
        <v>9203.9428760999999</v>
      </c>
      <c r="F67" s="29">
        <v>1925</v>
      </c>
      <c r="G67" s="56">
        <v>0.20914949450617201</v>
      </c>
      <c r="H67" s="57">
        <v>1.78</v>
      </c>
      <c r="I67" s="29">
        <v>31682</v>
      </c>
      <c r="J67" s="29">
        <v>1401.75</v>
      </c>
      <c r="K67" s="29">
        <f t="shared" si="1"/>
        <v>11128.9428761</v>
      </c>
      <c r="L67" s="58">
        <f t="shared" si="2"/>
        <v>0.35127021261599645</v>
      </c>
    </row>
    <row r="68" spans="1:12" x14ac:dyDescent="0.2">
      <c r="A68" s="29" t="s">
        <v>53</v>
      </c>
      <c r="B68" s="29"/>
      <c r="C68" s="29"/>
      <c r="D68" s="29"/>
      <c r="E68" s="29">
        <v>2459.6139750000002</v>
      </c>
      <c r="F68" s="29">
        <v>-295.61525</v>
      </c>
      <c r="G68" s="56">
        <v>-0.120187660748675</v>
      </c>
      <c r="H68" s="57">
        <v>0.24</v>
      </c>
      <c r="I68" s="29">
        <v>18873.988000000001</v>
      </c>
      <c r="J68" s="29">
        <v>111.90900000000001</v>
      </c>
      <c r="K68" s="29">
        <f t="shared" si="1"/>
        <v>2163.9987250000004</v>
      </c>
      <c r="L68" s="58">
        <f t="shared" si="2"/>
        <v>0.11465508640781165</v>
      </c>
    </row>
    <row r="69" spans="1:12" x14ac:dyDescent="0.2">
      <c r="A69" s="29" t="s">
        <v>54</v>
      </c>
      <c r="B69" s="29"/>
      <c r="C69" s="29"/>
      <c r="D69" s="29"/>
      <c r="E69" s="29">
        <v>18363.183908667499</v>
      </c>
      <c r="F69" s="29">
        <v>5930.75</v>
      </c>
      <c r="G69" s="56">
        <v>0.32296959119385898</v>
      </c>
      <c r="H69" s="57">
        <v>1.25</v>
      </c>
      <c r="I69" s="29">
        <v>49117.25</v>
      </c>
      <c r="J69" s="29">
        <v>3353</v>
      </c>
      <c r="K69" s="29">
        <f t="shared" si="1"/>
        <v>24293.933908667499</v>
      </c>
      <c r="L69" s="58">
        <f t="shared" si="2"/>
        <v>0.49461103601418033</v>
      </c>
    </row>
    <row r="70" spans="1:12" x14ac:dyDescent="0.2">
      <c r="A70" s="29" t="s">
        <v>55</v>
      </c>
      <c r="B70" s="29"/>
      <c r="C70" s="29"/>
      <c r="D70" s="29"/>
      <c r="E70" s="29">
        <v>32662.476497</v>
      </c>
      <c r="F70" s="29">
        <v>6743.45</v>
      </c>
      <c r="G70" s="56">
        <v>0.20645862540825299</v>
      </c>
      <c r="H70" s="57">
        <v>1.04</v>
      </c>
      <c r="I70" s="29">
        <v>59988.818749999999</v>
      </c>
      <c r="J70" s="29">
        <v>1466.9882500000001</v>
      </c>
      <c r="K70" s="29">
        <f t="shared" si="1"/>
        <v>39405.926497</v>
      </c>
      <c r="L70" s="58">
        <f t="shared" si="2"/>
        <v>0.65688785540555428</v>
      </c>
    </row>
    <row r="71" spans="1:12" x14ac:dyDescent="0.2">
      <c r="A71" s="29" t="s">
        <v>56</v>
      </c>
      <c r="B71" s="29"/>
      <c r="C71" s="29"/>
      <c r="D71" s="29"/>
      <c r="E71" s="29">
        <v>48796.331130295002</v>
      </c>
      <c r="F71" s="29">
        <v>24524.5</v>
      </c>
      <c r="G71" s="59">
        <v>0.502589015033019</v>
      </c>
      <c r="H71" s="60">
        <v>1.42</v>
      </c>
      <c r="I71" s="29">
        <v>58750.424249999996</v>
      </c>
      <c r="J71" s="29">
        <v>4646.1432500000001</v>
      </c>
      <c r="K71" s="29">
        <f t="shared" si="1"/>
        <v>73320.831130295002</v>
      </c>
      <c r="L71" s="58">
        <f t="shared" si="2"/>
        <v>1.2480051347083678</v>
      </c>
    </row>
    <row r="72" spans="1:12" x14ac:dyDescent="0.2">
      <c r="A72" s="61" t="s">
        <v>48</v>
      </c>
      <c r="B72" s="61"/>
      <c r="C72" s="61"/>
      <c r="D72" s="61"/>
      <c r="E72" s="61"/>
      <c r="F72" s="61"/>
      <c r="G72" s="62">
        <f>AVERAGE(G65:G71)</f>
        <v>0.20250235650298101</v>
      </c>
      <c r="H72" s="63">
        <f>AVERAGE(H65:H71)</f>
        <v>1.195714285714286</v>
      </c>
      <c r="I72" s="61"/>
      <c r="J72" s="61"/>
      <c r="K72" s="29"/>
      <c r="L72" s="57">
        <f>AVERAGE(L65:L71)</f>
        <v>0.50769529314900563</v>
      </c>
    </row>
    <row r="73" spans="1:12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1:12" x14ac:dyDescent="0.2">
      <c r="A74" s="21" t="s">
        <v>57</v>
      </c>
      <c r="B74" s="21"/>
      <c r="C74" s="21"/>
      <c r="D74" s="21"/>
      <c r="E74" s="21">
        <v>134113.958792964</v>
      </c>
      <c r="F74" s="21">
        <v>79508.350819343599</v>
      </c>
      <c r="G74" s="64">
        <v>0.59284172605838303</v>
      </c>
      <c r="H74" s="65">
        <v>1.2514691588785001</v>
      </c>
      <c r="I74" s="21">
        <v>251002.73560000001</v>
      </c>
      <c r="J74" s="21">
        <v>18887.644667874501</v>
      </c>
      <c r="K74" s="29"/>
      <c r="L74" s="56"/>
    </row>
    <row r="75" spans="1:12" x14ac:dyDescent="0.2">
      <c r="E75" s="3"/>
      <c r="G75" s="47"/>
    </row>
    <row r="76" spans="1:12" x14ac:dyDescent="0.2">
      <c r="E76" s="3"/>
      <c r="G76" s="47"/>
    </row>
    <row r="77" spans="1:12" x14ac:dyDescent="0.2">
      <c r="F77" s="48"/>
      <c r="H77" s="25"/>
    </row>
    <row r="78" spans="1:12" x14ac:dyDescent="0.2">
      <c r="H78" s="25"/>
    </row>
    <row r="79" spans="1:12" x14ac:dyDescent="0.2">
      <c r="E79" s="49"/>
    </row>
    <row r="80" spans="1:12" x14ac:dyDescent="0.2">
      <c r="H80" s="9"/>
    </row>
    <row r="81" spans="7:13" x14ac:dyDescent="0.2">
      <c r="H81" s="9"/>
      <c r="I81" s="25"/>
    </row>
    <row r="86" spans="7:13" x14ac:dyDescent="0.2">
      <c r="G86" s="45"/>
      <c r="H86" s="25"/>
      <c r="I86" s="25"/>
      <c r="M86" s="25"/>
    </row>
    <row r="102" spans="1:18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 t="str">
        <f>$C$9</f>
        <v>Harvard Business Publishing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8" workbookViewId="0">
      <selection activeCell="B5" sqref="B5"/>
    </sheetView>
  </sheetViews>
  <sheetFormatPr baseColWidth="10" defaultRowHeight="16" x14ac:dyDescent="0.2"/>
  <cols>
    <col min="1" max="1" width="30.5" bestFit="1" customWidth="1"/>
    <col min="2" max="2" width="11.6640625" customWidth="1"/>
  </cols>
  <sheetData>
    <row r="1" spans="1:7" x14ac:dyDescent="0.2">
      <c r="A1" s="7" t="s">
        <v>3</v>
      </c>
      <c r="B1" s="8"/>
      <c r="C1" s="1"/>
      <c r="D1" s="4"/>
      <c r="E1" s="5"/>
      <c r="F1" s="5"/>
      <c r="G1" s="6"/>
    </row>
    <row r="2" spans="1:7" x14ac:dyDescent="0.2">
      <c r="A2" s="8" t="s">
        <v>1</v>
      </c>
      <c r="B2" s="11">
        <v>20766.763432912801</v>
      </c>
      <c r="C2" s="1"/>
      <c r="D2" s="1"/>
      <c r="E2" s="1"/>
    </row>
    <row r="3" spans="1:7" x14ac:dyDescent="0.2">
      <c r="A3" s="8" t="s">
        <v>2</v>
      </c>
      <c r="B3" s="11">
        <v>81078.227386430794</v>
      </c>
      <c r="C3" s="1"/>
      <c r="D3" s="1"/>
      <c r="E3" s="1"/>
    </row>
    <row r="4" spans="1:7" x14ac:dyDescent="0.2">
      <c r="A4" s="8" t="s">
        <v>0</v>
      </c>
      <c r="B4" s="11">
        <v>19205.919999999998</v>
      </c>
      <c r="C4" s="1"/>
      <c r="D4" s="1"/>
      <c r="E4" s="2"/>
    </row>
    <row r="5" spans="1:7" x14ac:dyDescent="0.2">
      <c r="A5" s="8" t="s">
        <v>3</v>
      </c>
      <c r="B5" s="12">
        <f>B2 + B3 - B4</f>
        <v>82639.0708193436</v>
      </c>
      <c r="C5" s="3"/>
      <c r="D5" s="3"/>
      <c r="E5" s="3"/>
    </row>
    <row r="6" spans="1:7" x14ac:dyDescent="0.2">
      <c r="A6" s="1"/>
      <c r="B6" s="16"/>
      <c r="C6" s="1"/>
      <c r="D6" s="1"/>
      <c r="E6" s="1"/>
    </row>
    <row r="7" spans="1:7" ht="18" x14ac:dyDescent="0.2">
      <c r="A7" s="20" t="s">
        <v>4</v>
      </c>
      <c r="B7" s="17"/>
      <c r="C7" s="1"/>
      <c r="D7" s="1"/>
      <c r="E7" s="1"/>
    </row>
    <row r="8" spans="1:7" x14ac:dyDescent="0.2">
      <c r="A8" s="8" t="s">
        <v>3</v>
      </c>
      <c r="B8" s="15">
        <f>B5 + B6 - B7</f>
        <v>82639.0708193436</v>
      </c>
      <c r="C8" s="1"/>
      <c r="D8" s="1"/>
      <c r="E8" s="1"/>
      <c r="F8" s="1"/>
    </row>
    <row r="9" spans="1:7" x14ac:dyDescent="0.2">
      <c r="A9" s="8" t="s">
        <v>67</v>
      </c>
      <c r="B9" s="18">
        <f>mve</f>
        <v>130168.61</v>
      </c>
      <c r="C9" s="1"/>
      <c r="D9" s="1"/>
      <c r="E9" s="1"/>
      <c r="F9" s="1"/>
    </row>
    <row r="10" spans="1:7" x14ac:dyDescent="0.2">
      <c r="A10" s="1" t="s">
        <v>5</v>
      </c>
      <c r="B10" s="19">
        <f>B8 / B9</f>
        <v>0.63486174446622423</v>
      </c>
      <c r="C10" s="1"/>
      <c r="D10" s="1"/>
      <c r="E10" s="1"/>
      <c r="F10" s="1"/>
    </row>
    <row r="11" spans="1:7" x14ac:dyDescent="0.2">
      <c r="A11" s="1"/>
      <c r="B11" s="1"/>
      <c r="C11" s="1"/>
      <c r="D11" s="1"/>
      <c r="E11" s="2"/>
      <c r="F11" s="2"/>
    </row>
    <row r="12" spans="1:7" x14ac:dyDescent="0.2">
      <c r="A12" s="22" t="s">
        <v>6</v>
      </c>
      <c r="B12" s="3"/>
      <c r="C12" s="3"/>
      <c r="D12" s="3"/>
      <c r="E12" s="3"/>
      <c r="F12" s="3"/>
    </row>
    <row r="13" spans="1:7" x14ac:dyDescent="0.2">
      <c r="A13" s="1" t="s">
        <v>7</v>
      </c>
      <c r="B13" s="9">
        <f>rf</f>
        <v>4.9799999999999997E-2</v>
      </c>
      <c r="C13" s="1"/>
      <c r="D13" s="1"/>
      <c r="E13" s="1"/>
      <c r="F13" s="1"/>
    </row>
    <row r="14" spans="1:7" x14ac:dyDescent="0.2">
      <c r="A14" s="24" t="s">
        <v>8</v>
      </c>
      <c r="B14" s="25">
        <v>1.25</v>
      </c>
      <c r="C14" s="1"/>
      <c r="D14" s="1"/>
      <c r="E14" s="1"/>
      <c r="F14" s="1"/>
    </row>
    <row r="15" spans="1:7" x14ac:dyDescent="0.2">
      <c r="A15" s="1" t="s">
        <v>9</v>
      </c>
      <c r="B15" s="9">
        <f>mrp</f>
        <v>0.05</v>
      </c>
      <c r="C15" s="1"/>
      <c r="D15" s="1"/>
      <c r="E15" s="1"/>
      <c r="F15" s="1"/>
    </row>
    <row r="16" spans="1:7" x14ac:dyDescent="0.2">
      <c r="A16" s="1" t="s">
        <v>6</v>
      </c>
      <c r="B16" s="27">
        <f>B13 + B14 * B15</f>
        <v>0.1123</v>
      </c>
    </row>
    <row r="18" spans="1:6" x14ac:dyDescent="0.2">
      <c r="A18" s="28" t="s">
        <v>10</v>
      </c>
    </row>
    <row r="19" spans="1:6" x14ac:dyDescent="0.2">
      <c r="A19" s="1" t="s">
        <v>7</v>
      </c>
      <c r="B19" s="26">
        <f>rf</f>
        <v>4.9799999999999997E-2</v>
      </c>
    </row>
    <row r="20" spans="1:6" x14ac:dyDescent="0.2">
      <c r="A20" s="24" t="s">
        <v>11</v>
      </c>
      <c r="B20">
        <v>0.05</v>
      </c>
    </row>
    <row r="21" spans="1:6" x14ac:dyDescent="0.2">
      <c r="A21" s="1" t="s">
        <v>9</v>
      </c>
      <c r="B21" s="9">
        <f>mrp</f>
        <v>0.05</v>
      </c>
      <c r="C21" s="1"/>
      <c r="D21" s="1"/>
      <c r="E21" s="1"/>
      <c r="F21" s="1"/>
    </row>
    <row r="22" spans="1:6" x14ac:dyDescent="0.2">
      <c r="A22" s="1" t="s">
        <v>10</v>
      </c>
      <c r="B22" s="10">
        <f>B19 + B20 * B21</f>
        <v>5.2299999999999999E-2</v>
      </c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28" t="s">
        <v>12</v>
      </c>
      <c r="B24" s="1"/>
      <c r="C24" s="1"/>
      <c r="D24" s="1"/>
      <c r="E24" s="1"/>
      <c r="F24" s="1"/>
    </row>
    <row r="25" spans="1:6" x14ac:dyDescent="0.2">
      <c r="A25" s="1" t="s">
        <v>3</v>
      </c>
      <c r="B25" s="1">
        <f>B5</f>
        <v>82639.0708193436</v>
      </c>
      <c r="C25" s="1"/>
      <c r="D25" s="1"/>
      <c r="E25" s="1"/>
      <c r="F25" s="1"/>
    </row>
    <row r="26" spans="1:6" x14ac:dyDescent="0.2">
      <c r="A26" s="1" t="s">
        <v>67</v>
      </c>
      <c r="B26" s="1">
        <f>mve</f>
        <v>130168.61</v>
      </c>
      <c r="C26" s="1"/>
      <c r="D26" s="1"/>
      <c r="E26" s="2"/>
      <c r="F26" s="2"/>
    </row>
    <row r="27" spans="1:6" x14ac:dyDescent="0.2">
      <c r="A27" s="30" t="s">
        <v>13</v>
      </c>
      <c r="B27" s="32">
        <f>B25 / (B25 + B26)</f>
        <v>0.38832748188961019</v>
      </c>
      <c r="C27" s="3"/>
      <c r="D27" s="3"/>
      <c r="E27" s="3"/>
      <c r="F27" s="3"/>
    </row>
    <row r="28" spans="1:6" x14ac:dyDescent="0.2">
      <c r="A28" s="29" t="s">
        <v>14</v>
      </c>
      <c r="B28" s="33">
        <f>B26 / (B25 + B26)</f>
        <v>0.61167251811038981</v>
      </c>
    </row>
    <row r="29" spans="1:6" x14ac:dyDescent="0.2">
      <c r="A29" s="29" t="s">
        <v>15</v>
      </c>
      <c r="B29" s="31">
        <f>tax</f>
        <v>0.4</v>
      </c>
    </row>
    <row r="30" spans="1:6" x14ac:dyDescent="0.2">
      <c r="A30" s="29" t="s">
        <v>12</v>
      </c>
      <c r="B30" s="27">
        <f>B27 * B22 * (1 - B29) + B28 * B16</f>
        <v>8.0876540165492741E-2</v>
      </c>
    </row>
    <row r="32" spans="1:6" x14ac:dyDescent="0.2">
      <c r="A32" s="28" t="s">
        <v>16</v>
      </c>
    </row>
    <row r="33" spans="1:3" x14ac:dyDescent="0.2">
      <c r="A33" s="29" t="s">
        <v>13</v>
      </c>
      <c r="B33" s="26">
        <v>0.42199999999999999</v>
      </c>
    </row>
    <row r="34" spans="1:3" x14ac:dyDescent="0.2">
      <c r="A34" s="29" t="s">
        <v>14</v>
      </c>
      <c r="B34" s="26">
        <f>1 - B33</f>
        <v>0.57800000000000007</v>
      </c>
    </row>
    <row r="35" spans="1:3" x14ac:dyDescent="0.2">
      <c r="A35" s="29" t="s">
        <v>10</v>
      </c>
      <c r="B35" s="26">
        <f xml:space="preserve"> rf + 1.62%</f>
        <v>6.6000000000000003E-2</v>
      </c>
      <c r="C35" t="s">
        <v>17</v>
      </c>
    </row>
    <row r="36" spans="1:3" x14ac:dyDescent="0.2">
      <c r="A36" s="29" t="s">
        <v>6</v>
      </c>
      <c r="B36" s="26">
        <f>B16</f>
        <v>0.1123</v>
      </c>
    </row>
    <row r="37" spans="1:3" x14ac:dyDescent="0.2">
      <c r="A37" s="29" t="s">
        <v>15</v>
      </c>
      <c r="B37" s="31">
        <f>tax</f>
        <v>0.4</v>
      </c>
    </row>
    <row r="38" spans="1:3" x14ac:dyDescent="0.2">
      <c r="A38" s="29" t="s">
        <v>12</v>
      </c>
      <c r="B38" s="27">
        <f>B33 * B35 * (1 - B37) +B34 * B36</f>
        <v>8.1620600000000001E-2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8" sqref="I8"/>
    </sheetView>
  </sheetViews>
  <sheetFormatPr baseColWidth="10" defaultRowHeight="16" x14ac:dyDescent="0.2"/>
  <cols>
    <col min="1" max="1" width="14.83203125" bestFit="1" customWidth="1"/>
    <col min="2" max="2" width="11.5" bestFit="1" customWidth="1"/>
    <col min="3" max="3" width="14.83203125" bestFit="1" customWidth="1"/>
    <col min="6" max="6" width="14.83203125" bestFit="1" customWidth="1"/>
    <col min="8" max="8" width="14.83203125" bestFit="1" customWidth="1"/>
  </cols>
  <sheetData>
    <row r="1" spans="1:9" x14ac:dyDescent="0.2">
      <c r="A1" t="s">
        <v>18</v>
      </c>
      <c r="F1" t="s">
        <v>24</v>
      </c>
    </row>
    <row r="2" spans="1:9" x14ac:dyDescent="0.2">
      <c r="A2" s="35" t="s">
        <v>6</v>
      </c>
      <c r="C2" s="35" t="s">
        <v>10</v>
      </c>
      <c r="F2" s="35" t="s">
        <v>6</v>
      </c>
      <c r="H2" s="35" t="s">
        <v>10</v>
      </c>
    </row>
    <row r="3" spans="1:9" x14ac:dyDescent="0.2">
      <c r="A3" t="s">
        <v>21</v>
      </c>
      <c r="B3" s="26">
        <f>rf</f>
        <v>4.9799999999999997E-2</v>
      </c>
      <c r="C3" t="s">
        <v>21</v>
      </c>
      <c r="D3" s="26">
        <f>rf</f>
        <v>4.9799999999999997E-2</v>
      </c>
      <c r="F3" t="s">
        <v>21</v>
      </c>
      <c r="G3" s="26">
        <f>rf</f>
        <v>4.9799999999999997E-2</v>
      </c>
      <c r="H3" t="s">
        <v>21</v>
      </c>
      <c r="I3" s="26">
        <f>rf</f>
        <v>4.9799999999999997E-2</v>
      </c>
    </row>
    <row r="4" spans="1:9" x14ac:dyDescent="0.2">
      <c r="A4" t="s">
        <v>8</v>
      </c>
      <c r="B4">
        <v>1.1499999999999999</v>
      </c>
      <c r="C4" t="s">
        <v>11</v>
      </c>
      <c r="D4">
        <v>0.05</v>
      </c>
      <c r="F4" t="s">
        <v>8</v>
      </c>
      <c r="G4">
        <v>1.2</v>
      </c>
      <c r="H4" t="s">
        <v>11</v>
      </c>
      <c r="I4">
        <v>0.1</v>
      </c>
    </row>
    <row r="5" spans="1:9" x14ac:dyDescent="0.2">
      <c r="A5" t="s">
        <v>9</v>
      </c>
      <c r="B5" s="26">
        <f>mrp</f>
        <v>0.05</v>
      </c>
      <c r="C5" t="s">
        <v>9</v>
      </c>
      <c r="D5" s="26">
        <f>mrp</f>
        <v>0.05</v>
      </c>
      <c r="F5" t="s">
        <v>9</v>
      </c>
      <c r="G5" s="26">
        <f>mrp</f>
        <v>0.05</v>
      </c>
      <c r="H5" t="s">
        <v>9</v>
      </c>
      <c r="I5" s="26">
        <f>mrp</f>
        <v>0.05</v>
      </c>
    </row>
    <row r="6" spans="1:9" x14ac:dyDescent="0.2">
      <c r="A6" t="s">
        <v>6</v>
      </c>
      <c r="B6" s="26">
        <f>B3 + B4 * B5</f>
        <v>0.10729999999999999</v>
      </c>
      <c r="C6" t="s">
        <v>10</v>
      </c>
      <c r="D6" s="26">
        <f>D3 + D4 * D5</f>
        <v>5.2299999999999999E-2</v>
      </c>
      <c r="F6" t="s">
        <v>6</v>
      </c>
      <c r="G6" s="26">
        <f>G3 + G4 * G5</f>
        <v>0.10979999999999999</v>
      </c>
      <c r="H6" t="s">
        <v>10</v>
      </c>
      <c r="I6" s="26">
        <f>I3 + I4 * I5</f>
        <v>5.4800000000000001E-2</v>
      </c>
    </row>
    <row r="8" spans="1:9" x14ac:dyDescent="0.2">
      <c r="A8" t="s">
        <v>19</v>
      </c>
      <c r="B8" s="31">
        <v>0.46</v>
      </c>
      <c r="C8" t="s">
        <v>20</v>
      </c>
      <c r="D8" s="31">
        <f>1 - B8</f>
        <v>0.54</v>
      </c>
      <c r="F8" t="s">
        <v>19</v>
      </c>
      <c r="G8" s="31">
        <v>0.31</v>
      </c>
      <c r="H8" t="s">
        <v>20</v>
      </c>
      <c r="I8" s="31">
        <f>1 - G8</f>
        <v>0.69</v>
      </c>
    </row>
    <row r="9" spans="1:9" x14ac:dyDescent="0.2">
      <c r="A9" t="s">
        <v>15</v>
      </c>
      <c r="B9" s="31">
        <f>tax</f>
        <v>0.4</v>
      </c>
      <c r="F9" t="s">
        <v>15</v>
      </c>
      <c r="G9" s="31">
        <f>tax</f>
        <v>0.4</v>
      </c>
    </row>
    <row r="10" spans="1:9" x14ac:dyDescent="0.2">
      <c r="A10" t="s">
        <v>12</v>
      </c>
      <c r="B10" s="26">
        <f>D6 * B8 * (1 - B9) + D8 * B6</f>
        <v>7.2376800000000005E-2</v>
      </c>
      <c r="F10" t="s">
        <v>12</v>
      </c>
      <c r="G10" s="26">
        <f>I6 * G8 * (1 - G9) + I8 * G6</f>
        <v>8.5954799999999998E-2</v>
      </c>
    </row>
    <row r="12" spans="1:9" x14ac:dyDescent="0.2">
      <c r="A1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/>
  </sheetViews>
  <sheetFormatPr baseColWidth="10" defaultRowHeight="16" x14ac:dyDescent="0.2"/>
  <cols>
    <col min="3" max="3" width="11.1640625" bestFit="1" customWidth="1"/>
    <col min="12" max="12" width="12" bestFit="1" customWidth="1"/>
    <col min="13" max="13" width="14.5" bestFit="1" customWidth="1"/>
    <col min="14" max="14" width="12.1640625" bestFit="1" customWidth="1"/>
  </cols>
  <sheetData>
    <row r="1" spans="1:14" x14ac:dyDescent="0.2">
      <c r="B1" t="s">
        <v>76</v>
      </c>
      <c r="C1" t="s">
        <v>77</v>
      </c>
      <c r="D1" t="s">
        <v>71</v>
      </c>
      <c r="E1" t="s">
        <v>78</v>
      </c>
      <c r="F1" t="s">
        <v>80</v>
      </c>
      <c r="G1" t="s">
        <v>2</v>
      </c>
      <c r="H1" t="s">
        <v>72</v>
      </c>
      <c r="I1" t="s">
        <v>40</v>
      </c>
      <c r="J1" t="s">
        <v>73</v>
      </c>
      <c r="K1" t="s">
        <v>74</v>
      </c>
      <c r="L1" t="s">
        <v>75</v>
      </c>
      <c r="M1" t="s">
        <v>81</v>
      </c>
      <c r="N1" t="s">
        <v>82</v>
      </c>
    </row>
    <row r="2" spans="1:14" x14ac:dyDescent="0.2">
      <c r="A2" t="s">
        <v>70</v>
      </c>
      <c r="B2">
        <v>75.38</v>
      </c>
      <c r="C2" s="68">
        <f>2157780998 / 1000000</f>
        <v>2157.7809980000002</v>
      </c>
      <c r="D2">
        <f>B2 * C2</f>
        <v>162653.53162923999</v>
      </c>
      <c r="E2">
        <v>10493</v>
      </c>
      <c r="F2">
        <v>2159</v>
      </c>
      <c r="G2">
        <v>28409</v>
      </c>
      <c r="H2">
        <f>F2 + G2 - E2</f>
        <v>20075</v>
      </c>
      <c r="I2" s="26">
        <f>H2 / D2</f>
        <v>0.12342185133588053</v>
      </c>
      <c r="K2">
        <v>204892</v>
      </c>
      <c r="L2">
        <v>17138</v>
      </c>
      <c r="M2" s="70">
        <f>D2 + H2</f>
        <v>182728.53162923999</v>
      </c>
      <c r="N2" s="69">
        <f>M2 / K2</f>
        <v>0.89182853224742786</v>
      </c>
    </row>
    <row r="3" spans="1:14" x14ac:dyDescent="0.2">
      <c r="A3" t="s">
        <v>69</v>
      </c>
      <c r="B3">
        <v>77.3</v>
      </c>
      <c r="C3" s="68">
        <v>8019</v>
      </c>
      <c r="D3">
        <f>B3 * C3</f>
        <v>619868.69999999995</v>
      </c>
      <c r="E3">
        <v>28244</v>
      </c>
      <c r="F3">
        <v>0</v>
      </c>
      <c r="G3">
        <v>13941</v>
      </c>
      <c r="H3">
        <f>F3 + G3 - E3</f>
        <v>-14303</v>
      </c>
      <c r="I3" s="26">
        <f>H3 / D3</f>
        <v>-2.3074241367567038E-2</v>
      </c>
      <c r="K3">
        <v>365467</v>
      </c>
      <c r="L3">
        <v>39500</v>
      </c>
      <c r="M3" s="70">
        <f>D3 + H3</f>
        <v>605565.69999999995</v>
      </c>
      <c r="N3" s="69">
        <f>M3 / K3</f>
        <v>1.6569641034621456</v>
      </c>
    </row>
    <row r="4" spans="1:14" x14ac:dyDescent="0.2">
      <c r="A4" t="s">
        <v>79</v>
      </c>
      <c r="B4">
        <v>74.66</v>
      </c>
      <c r="C4" s="68">
        <v>330.6</v>
      </c>
      <c r="D4">
        <f>B4 * C4</f>
        <v>24682.596000000001</v>
      </c>
      <c r="E4">
        <v>750</v>
      </c>
      <c r="F4">
        <v>0</v>
      </c>
      <c r="G4">
        <v>1073.8</v>
      </c>
      <c r="H4">
        <f>F4 + G4 - E4</f>
        <v>323.79999999999995</v>
      </c>
      <c r="I4" s="26">
        <f>H4 / D4</f>
        <v>1.311855527676262E-2</v>
      </c>
      <c r="K4">
        <v>4566.1000000000004</v>
      </c>
      <c r="L4">
        <v>2419</v>
      </c>
      <c r="M4" s="70">
        <f>D4 + H4</f>
        <v>25006.396000000001</v>
      </c>
      <c r="N4" s="69">
        <f>M4 / K4</f>
        <v>5.4765327084382731</v>
      </c>
    </row>
    <row r="5" spans="1:14" x14ac:dyDescent="0.2">
      <c r="A5" t="s">
        <v>48</v>
      </c>
      <c r="J5" t="e">
        <f>AVERAGE(J2:J4)</f>
        <v>#DIV/0!</v>
      </c>
      <c r="N5" s="69">
        <f>AVERAGE(N2:N4)</f>
        <v>2.6751084480492824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RowHeight="16" x14ac:dyDescent="0.2"/>
  <cols>
    <col min="1" max="1" width="21.33203125" customWidth="1"/>
    <col min="2" max="2" width="12.1640625" bestFit="1" customWidth="1"/>
    <col min="3" max="3" width="11.1640625" bestFit="1" customWidth="1"/>
    <col min="4" max="4" width="13.5" bestFit="1" customWidth="1"/>
  </cols>
  <sheetData>
    <row r="1" spans="1:5" x14ac:dyDescent="0.2">
      <c r="A1" s="35" t="s">
        <v>58</v>
      </c>
    </row>
    <row r="2" spans="1:5" x14ac:dyDescent="0.2">
      <c r="A2" t="s">
        <v>67</v>
      </c>
      <c r="B2" s="13">
        <f>mve</f>
        <v>130168.61</v>
      </c>
      <c r="E2" s="35"/>
    </row>
    <row r="3" spans="1:5" x14ac:dyDescent="0.2">
      <c r="A3" t="s">
        <v>3</v>
      </c>
      <c r="B3" s="13">
        <f>'Q2'!B5</f>
        <v>82639.0708193436</v>
      </c>
    </row>
    <row r="4" spans="1:5" x14ac:dyDescent="0.2">
      <c r="A4" t="s">
        <v>58</v>
      </c>
      <c r="B4" s="14">
        <f>SUM(B2:B3)</f>
        <v>212807.6808193436</v>
      </c>
    </row>
    <row r="6" spans="1:5" x14ac:dyDescent="0.2">
      <c r="A6" s="34" t="s">
        <v>60</v>
      </c>
    </row>
    <row r="7" spans="1:5" x14ac:dyDescent="0.2">
      <c r="B7" s="35" t="s">
        <v>18</v>
      </c>
      <c r="C7" s="35" t="s">
        <v>24</v>
      </c>
      <c r="D7" s="35" t="s">
        <v>62</v>
      </c>
      <c r="E7" s="35" t="s">
        <v>64</v>
      </c>
    </row>
    <row r="8" spans="1:5" x14ac:dyDescent="0.2">
      <c r="A8" t="s">
        <v>61</v>
      </c>
      <c r="B8" s="1">
        <v>22357.263456749599</v>
      </c>
      <c r="C8" s="1">
        <v>202971.30888246701</v>
      </c>
      <c r="D8" s="1">
        <v>23188.987660783201</v>
      </c>
    </row>
    <row r="9" spans="1:5" x14ac:dyDescent="0.2">
      <c r="A9" t="s">
        <v>59</v>
      </c>
      <c r="B9" s="66">
        <f>Comps!L62</f>
        <v>3.7013046928272724</v>
      </c>
      <c r="C9" s="66">
        <f>Comps!L72</f>
        <v>0.50769529314900563</v>
      </c>
    </row>
    <row r="10" spans="1:5" x14ac:dyDescent="0.2">
      <c r="A10" t="s">
        <v>63</v>
      </c>
      <c r="B10" s="67">
        <f>B8 * B9</f>
        <v>82751.044151242982</v>
      </c>
      <c r="C10" s="67">
        <f>C8 * C9</f>
        <v>103047.57816392145</v>
      </c>
      <c r="D10" s="14">
        <f>B4 -B10 -C10</f>
        <v>27009.058504179164</v>
      </c>
    </row>
    <row r="11" spans="1:5" x14ac:dyDescent="0.2">
      <c r="A11" t="s">
        <v>68</v>
      </c>
      <c r="B11" s="26">
        <f>B10/(SUM($B$10:$D$10))</f>
        <v>0.38885365336738897</v>
      </c>
      <c r="C11" s="26">
        <f>C10/(SUM($B$10:$D$10))</f>
        <v>0.48422866020235644</v>
      </c>
      <c r="D11" s="26">
        <f>D10/(SUM($B$10:$D$10))</f>
        <v>0.12691768643025464</v>
      </c>
    </row>
    <row r="12" spans="1:5" x14ac:dyDescent="0.2">
      <c r="A12" t="s">
        <v>12</v>
      </c>
      <c r="B12" s="26">
        <f>'Q4'!B10</f>
        <v>7.2376800000000005E-2</v>
      </c>
      <c r="C12" s="26">
        <f>'Q4'!G10</f>
        <v>8.5954799999999998E-2</v>
      </c>
      <c r="D12" s="26">
        <f>(E12 - B11*B12 - C11*C12) / D11</f>
        <v>8.7543192261041777E-2</v>
      </c>
      <c r="E12" s="26">
        <f>'Q2'!B30</f>
        <v>8.0876540165492741E-2</v>
      </c>
    </row>
    <row r="13" spans="1:5" x14ac:dyDescent="0.2">
      <c r="B13" s="26"/>
      <c r="C13" s="26"/>
      <c r="D13" s="26"/>
      <c r="E13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Comps</vt:lpstr>
      <vt:lpstr>Q2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Microsoft Office User</cp:lastModifiedBy>
  <dcterms:created xsi:type="dcterms:W3CDTF">2018-03-10T04:20:17Z</dcterms:created>
  <dcterms:modified xsi:type="dcterms:W3CDTF">2018-03-10T21:02:03Z</dcterms:modified>
</cp:coreProperties>
</file>