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SF 1030 10-99" sheetId="1" state="visible" r:id="rId2"/>
    <sheet name="Look up tables" sheetId="2" state="hidden" r:id="rId3"/>
  </sheets>
  <definedNames>
    <definedName function="false" hidden="false" localSheetId="0" name="_xlnm.Print_Area" vbProcedure="false">'NSF 1030 10-99'!$A$1:$N$366</definedName>
    <definedName function="false" hidden="false" name="Answers" vbProcedure="false">'Look up tables'!$F$9:$F$10</definedName>
    <definedName function="false" hidden="false" name="Dates2027" vbProcedure="false">'Look up tables'!$A$2:$A$104</definedName>
    <definedName function="false" hidden="false" name="ProjectType" vbProcedure="false">'Look up tables'!$F$2:$F$6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40" authorId="0">
      <text>
        <r>
          <rPr>
            <sz val="9"/>
            <color rgb="FF000000"/>
            <rFont val="Tahoma"/>
            <family val="2"/>
            <charset val="1"/>
          </rPr>
          <t xml:space="preserve">Defined as costs for items such as stipends or subsistence allowances, travel allowances, and registration fees paid to or on behalf of participants or trainees (but not employees) in connection with conferences or training projects.
</t>
        </r>
      </text>
    </comment>
    <comment ref="K46" authorId="0">
      <text>
        <r>
          <rPr>
            <sz val="8"/>
            <color rgb="FF000000"/>
            <rFont val="Tahoma"/>
            <family val="2"/>
            <charset val="1"/>
          </rPr>
          <t xml:space="preserve">Insert all Subcontract information in cells to right of form.</t>
        </r>
      </text>
    </comment>
    <comment ref="K47" authorId="0">
      <text>
        <r>
          <rPr>
            <sz val="9"/>
            <color rgb="FF000000"/>
            <rFont val="Tahoma"/>
            <family val="2"/>
            <charset val="1"/>
          </rPr>
          <t xml:space="preserve">Insert all Other Direct Cost information in cells to right of form.
</t>
        </r>
      </text>
    </comment>
    <comment ref="K101" authorId="0">
      <text>
        <r>
          <rPr>
            <sz val="9"/>
            <color rgb="FF000000"/>
            <rFont val="Tahoma"/>
            <family val="2"/>
            <charset val="1"/>
          </rPr>
          <t xml:space="preserve">Defined as costs for items such as stipends or subsistence allowances, travel allowances, and registration fees paid to or on behalf of participants or trainees (but not employees) in connection with conferences or training projects.
</t>
        </r>
      </text>
    </comment>
    <comment ref="K107" authorId="0">
      <text>
        <r>
          <rPr>
            <sz val="9"/>
            <color rgb="FF000000"/>
            <rFont val="Tahoma"/>
            <family val="2"/>
            <charset val="1"/>
          </rPr>
          <t xml:space="preserve">Insert all Subcontract information in cells to right of form.
</t>
        </r>
      </text>
    </comment>
    <comment ref="K108" authorId="0">
      <text>
        <r>
          <rPr>
            <sz val="9"/>
            <color rgb="FF000000"/>
            <rFont val="Tahoma"/>
            <family val="2"/>
            <charset val="1"/>
          </rPr>
          <t xml:space="preserve">Insert all Other Direct Cost information in cells to right of form.
</t>
        </r>
      </text>
    </comment>
    <comment ref="K162" authorId="0">
      <text>
        <r>
          <rPr>
            <sz val="9"/>
            <color rgb="FF000000"/>
            <rFont val="Tahoma"/>
            <family val="2"/>
            <charset val="1"/>
          </rPr>
          <t xml:space="preserve">Defined as costs for items such as stipends or subsistence allowances, travel allowances, and registration fees paid to or on behalf of participants or trainees (but not employees) in connection with conferences or training projects.
</t>
        </r>
      </text>
    </comment>
    <comment ref="K168" authorId="0">
      <text>
        <r>
          <rPr>
            <sz val="9"/>
            <color rgb="FF000000"/>
            <rFont val="Tahoma"/>
            <family val="2"/>
            <charset val="1"/>
          </rPr>
          <t xml:space="preserve">Insert all Subcontract information in cells to right of form.
</t>
        </r>
      </text>
    </comment>
    <comment ref="K169" authorId="0">
      <text>
        <r>
          <rPr>
            <sz val="9"/>
            <color rgb="FF000000"/>
            <rFont val="Tahoma"/>
            <family val="2"/>
            <charset val="1"/>
          </rPr>
          <t xml:space="preserve">Insert all Other Direct Cost information in cells to right of form.
</t>
        </r>
      </text>
    </comment>
    <comment ref="K223" authorId="0">
      <text>
        <r>
          <rPr>
            <sz val="9"/>
            <color rgb="FF000000"/>
            <rFont val="Tahoma"/>
            <family val="2"/>
            <charset val="1"/>
          </rPr>
          <t xml:space="preserve">Defined as costs for items such as stipends or subsistence allowances, travel allowances, and registration fees paid to or on behalf of participants or trainees (but not employees) in connection with conferences or training projects.</t>
        </r>
      </text>
    </comment>
    <comment ref="K229" authorId="0">
      <text>
        <r>
          <rPr>
            <sz val="9"/>
            <color rgb="FF000000"/>
            <rFont val="Tahoma"/>
            <family val="2"/>
            <charset val="1"/>
          </rPr>
          <t xml:space="preserve">Insert all Subcontract information in cells to right of form.
</t>
        </r>
      </text>
    </comment>
    <comment ref="K230" authorId="0">
      <text>
        <r>
          <rPr>
            <sz val="9"/>
            <color rgb="FF000000"/>
            <rFont val="Tahoma"/>
            <family val="2"/>
            <charset val="1"/>
          </rPr>
          <t xml:space="preserve">Insert all Other Direct Cost information in cells to right of form.
</t>
        </r>
      </text>
    </comment>
    <comment ref="K284" authorId="0">
      <text>
        <r>
          <rPr>
            <sz val="9"/>
            <color rgb="FF000000"/>
            <rFont val="Tahoma"/>
            <family val="2"/>
            <charset val="1"/>
          </rPr>
          <t xml:space="preserve">Defined as costs for items such as stipends or subsistence allowances, travel allowances, and registration fees paid to or on behalf of participants or trainees (but not employees) in connection with conferences or training projects.
</t>
        </r>
      </text>
    </comment>
    <comment ref="K290" authorId="0">
      <text>
        <r>
          <rPr>
            <sz val="9"/>
            <color rgb="FF000000"/>
            <rFont val="Tahoma"/>
            <family val="2"/>
            <charset val="1"/>
          </rPr>
          <t xml:space="preserve">Insert all Subcontract information in cells to right of form.
</t>
        </r>
      </text>
    </comment>
    <comment ref="K291" authorId="0">
      <text>
        <r>
          <rPr>
            <sz val="9"/>
            <color rgb="FF000000"/>
            <rFont val="Tahoma"/>
            <family val="2"/>
            <charset val="1"/>
          </rPr>
          <t xml:space="preserve">Insert all Other Direct Cost information in cells to right of form.
</t>
        </r>
      </text>
    </comment>
    <comment ref="P17" authorId="0">
      <text>
        <r>
          <rPr>
            <b val="true"/>
            <sz val="8"/>
            <color rgb="FF000000"/>
            <rFont val="Tahoma"/>
            <family val="2"/>
            <charset val="1"/>
          </rPr>
          <t xml:space="preserve">If F&amp;A is sponsor limited, select "Other" and enter sponsor limited rate in P18.
</t>
        </r>
      </text>
    </comment>
    <comment ref="Q53" authorId="0">
      <text>
        <r>
          <rPr>
            <sz val="9"/>
            <color rgb="FF000000"/>
            <rFont val="Tahoma"/>
            <family val="2"/>
            <charset val="1"/>
          </rPr>
          <t xml:space="preserve">Do not budget tuition remission when it is prohibited by the sponsor's published guidelines.
</t>
        </r>
      </text>
    </comment>
    <comment ref="Q114" authorId="0">
      <text>
        <r>
          <rPr>
            <sz val="9"/>
            <color rgb="FF000000"/>
            <rFont val="Tahoma"/>
            <family val="2"/>
            <charset val="1"/>
          </rPr>
          <t xml:space="preserve">Do not budget tuition remission when it is prohibited by the sponsor's published guidelines.
</t>
        </r>
      </text>
    </comment>
    <comment ref="Q175" authorId="0">
      <text>
        <r>
          <rPr>
            <sz val="9"/>
            <color rgb="FF000000"/>
            <rFont val="Tahoma"/>
            <family val="2"/>
            <charset val="1"/>
          </rPr>
          <t xml:space="preserve">Do not budget tuition remission when it is prohibited by the sponsor's published guidelines.
</t>
        </r>
      </text>
    </comment>
    <comment ref="Q236" authorId="0">
      <text>
        <r>
          <rPr>
            <sz val="9"/>
            <color rgb="FF000000"/>
            <rFont val="Tahoma"/>
            <family val="2"/>
            <charset val="1"/>
          </rPr>
          <t xml:space="preserve">Do not budget tuition remission when it is prohibited by the sponsor's published guidelines.
</t>
        </r>
      </text>
    </comment>
    <comment ref="Q297" authorId="0">
      <text>
        <r>
          <rPr>
            <sz val="9"/>
            <color rgb="FF000000"/>
            <rFont val="Tahoma"/>
            <family val="2"/>
            <charset val="1"/>
          </rPr>
          <t xml:space="preserve">Do not budget tuition remission when it is prohibited by the sponsor's published guidelines.
</t>
        </r>
      </text>
    </comment>
  </commentList>
</comments>
</file>

<file path=xl/sharedStrings.xml><?xml version="1.0" encoding="utf-8"?>
<sst xmlns="http://schemas.openxmlformats.org/spreadsheetml/2006/main" count="656" uniqueCount="136">
  <si>
    <t xml:space="preserve">YEAR 1</t>
  </si>
  <si>
    <t xml:space="preserve">SUMMARY PROPOSAL BUDGET</t>
  </si>
  <si>
    <t xml:space="preserve">FOR NSF USE ONLY</t>
  </si>
  <si>
    <t xml:space="preserve">ORGANIZATION</t>
  </si>
  <si>
    <t xml:space="preserve">PROPOSAL NO.</t>
  </si>
  <si>
    <t xml:space="preserve">DURATION (MONTHS)</t>
  </si>
  <si>
    <t xml:space="preserve">Louisiana State University and Agricultural and Mechanical College</t>
  </si>
  <si>
    <t xml:space="preserve">Proposed</t>
  </si>
  <si>
    <t xml:space="preserve">Granted</t>
  </si>
  <si>
    <t xml:space="preserve">PRINCIPAL INVESTIGATOR/PROJECT DIRECTOR</t>
  </si>
  <si>
    <t xml:space="preserve">AWARD NO.</t>
  </si>
  <si>
    <t xml:space="preserve">William Riley Casper</t>
  </si>
  <si>
    <t xml:space="preserve">A. SENIOR PERSONNEL: PI/PD, Co-PI´S, Faculty and Other Senior Associates </t>
  </si>
  <si>
    <t xml:space="preserve">NSF-Funded</t>
  </si>
  <si>
    <t xml:space="preserve">Funds</t>
  </si>
  <si>
    <t xml:space="preserve">Inflationary rate in Personnel</t>
  </si>
  <si>
    <t xml:space="preserve">(List each separately with name and title, A.7. Show number in brackets)</t>
  </si>
  <si>
    <t xml:space="preserve">Person-months</t>
  </si>
  <si>
    <t xml:space="preserve">Requested By</t>
  </si>
  <si>
    <t xml:space="preserve">Granted by NSF</t>
  </si>
  <si>
    <t xml:space="preserve">CAL</t>
  </si>
  <si>
    <t xml:space="preserve">ACAD</t>
  </si>
  <si>
    <t xml:space="preserve">SUMR</t>
  </si>
  <si>
    <t xml:space="preserve">Proposer</t>
  </si>
  <si>
    <t xml:space="preserve">(If Different)</t>
  </si>
  <si>
    <t xml:space="preserve">Inflationary rate in Non-Personnel</t>
  </si>
  <si>
    <t xml:space="preserve"> 1.</t>
  </si>
  <si>
    <t xml:space="preserve">excluding equipment and subcontracts</t>
  </si>
  <si>
    <t xml:space="preserve"> 2.</t>
  </si>
  <si>
    <t xml:space="preserve"> 3.</t>
  </si>
  <si>
    <t xml:space="preserve">Enter No. of Project Years</t>
  </si>
  <si>
    <t xml:space="preserve"> 4.</t>
  </si>
  <si>
    <t xml:space="preserve"> 5.</t>
  </si>
  <si>
    <t xml:space="preserve">Select Projected Start Date (Month/Year)</t>
  </si>
  <si>
    <t xml:space="preserve"> 6. (</t>
  </si>
  <si>
    <t xml:space="preserve">) OTHERS (LIST INDIVIDUALLY ON BUDGET EXPLANATION PAGE)</t>
  </si>
  <si>
    <t xml:space="preserve"> 7. (</t>
  </si>
  <si>
    <t xml:space="preserve">) TOTAL SENIOR PERSONNEL (1-6)</t>
  </si>
  <si>
    <t xml:space="preserve">Select type of project for F&amp;A rate</t>
  </si>
  <si>
    <t xml:space="preserve">B. OTHER PERSONNEL (SHOW NUMBERS IN BRACKETS)</t>
  </si>
  <si>
    <t xml:space="preserve">Research Non-State On-Campus</t>
  </si>
  <si>
    <t xml:space="preserve"> 1. (</t>
  </si>
  <si>
    <t xml:space="preserve">) POST DOCTORAL ASSOCIATES</t>
  </si>
  <si>
    <t xml:space="preserve">Enter Sponsor limited F&amp;A rate (select Other from type of project)</t>
  </si>
  <si>
    <t xml:space="preserve"> 2. (</t>
  </si>
  <si>
    <t xml:space="preserve">) OTHER PROFESSIONALS (TECHNICIAN, PROGRAMMER, ETC.)</t>
  </si>
  <si>
    <t xml:space="preserve"> 3. (</t>
  </si>
  <si>
    <t xml:space="preserve">) GRADUATE STUDENTS</t>
  </si>
  <si>
    <t xml:space="preserve"> 4. (</t>
  </si>
  <si>
    <t xml:space="preserve">) UNDERGRADUATE STUDENTS</t>
  </si>
  <si>
    <t xml:space="preserve"> 5. (</t>
  </si>
  <si>
    <t xml:space="preserve">) SECRETARIAL - CLERICAL (IF CHARGED DIRECTLY)</t>
  </si>
  <si>
    <t xml:space="preserve">) OTHER</t>
  </si>
  <si>
    <t xml:space="preserve">TOTAL SALARIES AND WAGES (A+B)</t>
  </si>
  <si>
    <t xml:space="preserve">If Contingent Employees, enter salaries here and in budget</t>
  </si>
  <si>
    <t xml:space="preserve">C. FRINGE BENEFITS (IF CHARGED AS DIRECT COSTS)</t>
  </si>
  <si>
    <t xml:space="preserve">(A.7+B.1+B.2+B.5) * Rate</t>
  </si>
  <si>
    <t xml:space="preserve">TOTAL SALARIES, WAGES AND FRINGE BENEFITS (A+B+C)</t>
  </si>
  <si>
    <t xml:space="preserve">D. PERMANENT EQUIPMENT (LIST ITEM AND DOLLAR AMOUNT FOR EACH ITEM EXCEEDING $5,000)</t>
  </si>
  <si>
    <t xml:space="preserve">Fringe Benefit</t>
  </si>
  <si>
    <t xml:space="preserve">Regular</t>
  </si>
  <si>
    <t xml:space="preserve">Contingent/Transient</t>
  </si>
  <si>
    <t xml:space="preserve">TOTAL EQUIPMENT</t>
  </si>
  <si>
    <t xml:space="preserve">E. TRAVEL</t>
  </si>
  <si>
    <t xml:space="preserve">1. DOMESTIC (INCL. CANADA, MEXICO AND U.S. POSSESSIONS)</t>
  </si>
  <si>
    <t xml:space="preserve">2. FOREIGN</t>
  </si>
  <si>
    <t xml:space="preserve">F. PARTICIPANT SUPPORT COSTS</t>
  </si>
  <si>
    <t xml:space="preserve">1. STIPENDS            $   </t>
  </si>
  <si>
    <t xml:space="preserve">2. TRAVEL</t>
  </si>
  <si>
    <t xml:space="preserve">3. SUBSISTENCE</t>
  </si>
  <si>
    <t xml:space="preserve">4. OTHER</t>
  </si>
  <si>
    <t xml:space="preserve">TOTAL NUMBER OF PARTICIPANTS( 0 )</t>
  </si>
  <si>
    <t xml:space="preserve">TOTAL PARTICIPANT COSTS</t>
  </si>
  <si>
    <t xml:space="preserve">G. OTHER DIRECT COSTS</t>
  </si>
  <si>
    <t xml:space="preserve">1. MATERIALS AND SUPPLIES</t>
  </si>
  <si>
    <t xml:space="preserve">2. PUBLICATION COSTS/DOCUMENTATION/DISSEMINATION</t>
  </si>
  <si>
    <t xml:space="preserve">3. CONSULTANT SERVICES</t>
  </si>
  <si>
    <t xml:space="preserve">Insert Subcontract</t>
  </si>
  <si>
    <t xml:space="preserve">MTDC Base</t>
  </si>
  <si>
    <t xml:space="preserve">4. COMPUTER SERVICES</t>
  </si>
  <si>
    <t xml:space="preserve">Information:</t>
  </si>
  <si>
    <t xml:space="preserve">YEAR ONE</t>
  </si>
  <si>
    <t xml:space="preserve">Amount</t>
  </si>
  <si>
    <t xml:space="preserve">5. SUBAWARDS</t>
  </si>
  <si>
    <t xml:space="preserve">Subcontract 1:</t>
  </si>
  <si>
    <t xml:space="preserve">(automatic)</t>
  </si>
  <si>
    <t xml:space="preserve">6. OTHER</t>
  </si>
  <si>
    <t xml:space="preserve">Subcontract 2:</t>
  </si>
  <si>
    <t xml:space="preserve">TOTAL OTHER DIRECT COSTS</t>
  </si>
  <si>
    <t xml:space="preserve">Subcontract 3:</t>
  </si>
  <si>
    <t xml:space="preserve">H. TOTAL DIRECT COSTS (A THROUGH G)</t>
  </si>
  <si>
    <t xml:space="preserve">Subcontract 4:</t>
  </si>
  <si>
    <t xml:space="preserve"> I. INDIRECT COSTS (F&amp;A) (SPECIFY RATE AND BASE)</t>
  </si>
  <si>
    <t xml:space="preserve">Base = MTDC = H-D-F+first 25K of each subaward =</t>
  </si>
  <si>
    <t xml:space="preserve">Insert Other</t>
  </si>
  <si>
    <t xml:space="preserve">TOTAL INDIRECT COSTS (F&amp;A)</t>
  </si>
  <si>
    <t xml:space="preserve">Rate</t>
  </si>
  <si>
    <t xml:space="preserve">Direct Costs (G6):</t>
  </si>
  <si>
    <t xml:space="preserve">J. TOTAL DIRECT AND INDIRECT COSTS (H+I)</t>
  </si>
  <si>
    <t xml:space="preserve">Tuition Remission:</t>
  </si>
  <si>
    <t xml:space="preserve">K. RESIDUAL FUNDS (IF FOR FURTHER SUPPORT OF CURRENT PROJECTS SEE GPG II.D.7.j.)</t>
  </si>
  <si>
    <t xml:space="preserve">Other Costs:</t>
  </si>
  <si>
    <t xml:space="preserve">L. AMOUNT OF THIS REQUEST (J) OR (J MINUS K)</t>
  </si>
  <si>
    <t xml:space="preserve">M. COST SHARING: PROPOSED LEVEL  $    </t>
  </si>
  <si>
    <t xml:space="preserve">AGREED LEVEL IF DIFFERENT $</t>
  </si>
  <si>
    <t xml:space="preserve">PI/PD TYPED NAME</t>
  </si>
  <si>
    <t xml:space="preserve">DATE</t>
  </si>
  <si>
    <t xml:space="preserve">INDIRECT COST RATE VERIFICATION</t>
  </si>
  <si>
    <t xml:space="preserve">ORG. REP. TYPED NAME </t>
  </si>
  <si>
    <t xml:space="preserve">Date Checked</t>
  </si>
  <si>
    <t xml:space="preserve">Date of Rate Sheet</t>
  </si>
  <si>
    <t xml:space="preserve">Initials-ORG</t>
  </si>
  <si>
    <t xml:space="preserve">Darya Courville, Executive Director, Sponsored Programs</t>
  </si>
  <si>
    <t xml:space="preserve">NSF Form 1030</t>
  </si>
  <si>
    <t xml:space="preserve">YEAR 2</t>
  </si>
  <si>
    <t xml:space="preserve">Year 2 Projected Start Date</t>
  </si>
  <si>
    <t xml:space="preserve">TOTAL NUMBER OF PARTICIPANTS(   )</t>
  </si>
  <si>
    <t xml:space="preserve">YEAR TWO</t>
  </si>
  <si>
    <t xml:space="preserve">ORG. REP. TYPED NAME</t>
  </si>
  <si>
    <t xml:space="preserve">NSF Form 1030 </t>
  </si>
  <si>
    <t xml:space="preserve">YEAR 3</t>
  </si>
  <si>
    <t xml:space="preserve">Year 3 Projected Start Date</t>
  </si>
  <si>
    <t xml:space="preserve">YEAR THREE</t>
  </si>
  <si>
    <t xml:space="preserve">YEAR 4</t>
  </si>
  <si>
    <t xml:space="preserve">Year 4 Projected Start Date</t>
  </si>
  <si>
    <t xml:space="preserve">YEAR FOUR</t>
  </si>
  <si>
    <t xml:space="preserve">YEAR 5</t>
  </si>
  <si>
    <t xml:space="preserve">Year 5 Projected Start Date</t>
  </si>
  <si>
    <t xml:space="preserve">YEAR FIVE</t>
  </si>
  <si>
    <t xml:space="preserve">COMPOSITE</t>
  </si>
  <si>
    <t xml:space="preserve">Public Service Non-State On-Campus</t>
  </si>
  <si>
    <t xml:space="preserve">Instruction Non-State On-Campus</t>
  </si>
  <si>
    <t xml:space="preserve">Off-Campus Non-State</t>
  </si>
  <si>
    <t xml:space="preserve">Other (enter rate below)</t>
  </si>
  <si>
    <t xml:space="preserve">Yes</t>
  </si>
  <si>
    <t xml:space="preserve">No</t>
  </si>
</sst>
</file>

<file path=xl/styles.xml><?xml version="1.0" encoding="utf-8"?>
<styleSheet xmlns="http://schemas.openxmlformats.org/spreadsheetml/2006/main">
  <numFmts count="17">
    <numFmt numFmtId="164" formatCode="General"/>
    <numFmt numFmtId="165" formatCode="0.00%"/>
    <numFmt numFmtId="166" formatCode="0."/>
    <numFmt numFmtId="167" formatCode="General"/>
    <numFmt numFmtId="168" formatCode="0.0"/>
    <numFmt numFmtId="169" formatCode="0.00"/>
    <numFmt numFmtId="170" formatCode="\$#,##0_);&quot;($&quot;#,##0\)"/>
    <numFmt numFmtId="171" formatCode="0"/>
    <numFmt numFmtId="172" formatCode="MMMM\-YYYY"/>
    <numFmt numFmtId="173" formatCode="0%"/>
    <numFmt numFmtId="174" formatCode="0.0%"/>
    <numFmt numFmtId="175" formatCode="\$#,##0.00_);[RED]&quot;($&quot;#,##0.00\)"/>
    <numFmt numFmtId="176" formatCode="\$#,##0_);[RED]&quot;($&quot;#,##0\)"/>
    <numFmt numFmtId="177" formatCode="MMM\-YYYY"/>
    <numFmt numFmtId="178" formatCode="\$#,##0"/>
    <numFmt numFmtId="179" formatCode="#,##0.00"/>
    <numFmt numFmtId="180" formatCode="#,##0"/>
  </numFmts>
  <fonts count="23">
    <font>
      <sz val="10"/>
      <name val="Geneva"/>
      <family val="0"/>
      <charset val="1"/>
    </font>
    <font>
      <sz val="10"/>
      <name val="Arial"/>
      <family val="0"/>
    </font>
    <font>
      <sz val="10"/>
      <name val="Arial"/>
      <family val="0"/>
    </font>
    <font>
      <sz val="10"/>
      <name val="Arial"/>
      <family val="0"/>
    </font>
    <font>
      <sz val="9"/>
      <name val="Arial"/>
      <family val="0"/>
      <charset val="1"/>
    </font>
    <font>
      <b val="true"/>
      <sz val="12"/>
      <name val="Arial"/>
      <family val="0"/>
      <charset val="1"/>
    </font>
    <font>
      <b val="true"/>
      <sz val="9"/>
      <name val="Arial"/>
      <family val="0"/>
      <charset val="1"/>
    </font>
    <font>
      <b val="true"/>
      <sz val="10"/>
      <name val="Arial"/>
      <family val="0"/>
      <charset val="1"/>
    </font>
    <font>
      <sz val="8"/>
      <name val="Arial"/>
      <family val="0"/>
      <charset val="1"/>
    </font>
    <font>
      <b val="true"/>
      <sz val="9"/>
      <name val="Geneva"/>
      <family val="0"/>
      <charset val="1"/>
    </font>
    <font>
      <sz val="9"/>
      <name val="Geneva"/>
      <family val="0"/>
      <charset val="1"/>
    </font>
    <font>
      <sz val="9"/>
      <color rgb="FFFFFFFF"/>
      <name val="Arial"/>
      <family val="0"/>
      <charset val="1"/>
    </font>
    <font>
      <sz val="9"/>
      <color rgb="FFC0C0C0"/>
      <name val="Arial"/>
      <family val="0"/>
      <charset val="1"/>
    </font>
    <font>
      <i val="true"/>
      <sz val="9"/>
      <name val="Arial"/>
      <family val="0"/>
      <charset val="1"/>
    </font>
    <font>
      <b val="true"/>
      <sz val="10"/>
      <name val="Geneva"/>
      <family val="0"/>
      <charset val="1"/>
    </font>
    <font>
      <sz val="10"/>
      <color rgb="FF0000FF"/>
      <name val="Geneva"/>
      <family val="0"/>
      <charset val="1"/>
    </font>
    <font>
      <sz val="8"/>
      <name val="Geneva"/>
      <family val="0"/>
      <charset val="1"/>
    </font>
    <font>
      <sz val="10"/>
      <name val="Arial"/>
      <family val="0"/>
      <charset val="1"/>
    </font>
    <font>
      <b val="true"/>
      <sz val="8"/>
      <name val="Arial"/>
      <family val="0"/>
      <charset val="1"/>
    </font>
    <font>
      <b val="true"/>
      <i val="true"/>
      <sz val="8"/>
      <name val="Arial"/>
      <family val="0"/>
      <charset val="1"/>
    </font>
    <font>
      <sz val="9"/>
      <color rgb="FF000000"/>
      <name val="Tahoma"/>
      <family val="2"/>
      <charset val="1"/>
    </font>
    <font>
      <sz val="8"/>
      <color rgb="FF000000"/>
      <name val="Tahoma"/>
      <family val="2"/>
      <charset val="1"/>
    </font>
    <font>
      <b val="true"/>
      <sz val="8"/>
      <color rgb="FF000000"/>
      <name val="Tahoma"/>
      <family val="2"/>
      <charset val="1"/>
    </font>
  </fonts>
  <fills count="4">
    <fill>
      <patternFill patternType="none"/>
    </fill>
    <fill>
      <patternFill patternType="gray125"/>
    </fill>
    <fill>
      <patternFill patternType="solid">
        <fgColor rgb="FFFFFF00"/>
        <bgColor rgb="FFFFFF00"/>
      </patternFill>
    </fill>
    <fill>
      <patternFill patternType="solid">
        <fgColor rgb="FFC0C0C0"/>
        <bgColor rgb="FFCCCCFF"/>
      </patternFill>
    </fill>
  </fills>
  <borders count="29">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style="medium"/>
      <right style="thin"/>
      <top style="medium"/>
      <bottom/>
      <diagonal/>
    </border>
    <border diagonalUp="false" diagonalDown="false">
      <left/>
      <right style="medium"/>
      <top style="medium"/>
      <bottom style="thin"/>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style="thin"/>
      <top/>
      <bottom style="thin"/>
      <diagonal/>
    </border>
    <border diagonalUp="false" diagonalDown="false">
      <left style="medium"/>
      <right/>
      <top/>
      <bottom/>
      <diagonal/>
    </border>
    <border diagonalUp="false" diagonalDown="false">
      <left/>
      <right style="thin"/>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thin"/>
      <top/>
      <bottom style="medium"/>
      <diagonal/>
    </border>
    <border diagonalUp="false" diagonalDown="false">
      <left/>
      <right style="medium"/>
      <top/>
      <bottom style="medium"/>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style="thin"/>
      <top style="thin"/>
      <bottom style="medium"/>
      <diagonal/>
    </border>
    <border diagonalUp="false" diagonalDown="false">
      <left style="thin"/>
      <right/>
      <top/>
      <bottom style="medium"/>
      <diagonal/>
    </border>
    <border diagonalUp="false" diagonalDown="false">
      <left style="thin"/>
      <right style="medium"/>
      <top/>
      <bottom style="thin"/>
      <diagonal/>
    </border>
    <border diagonalUp="false" diagonalDown="false">
      <left/>
      <right style="thin"/>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7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1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center" vertical="bottom" textRotation="0" wrapText="false" indent="0" shrinkToFit="false"/>
      <protection locked="false" hidden="false"/>
    </xf>
    <xf numFmtId="164" fontId="5" fillId="0" borderId="0" xfId="0" applyFont="true" applyBorder="fals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6" fillId="0" borderId="0" xfId="0" applyFont="true" applyBorder="false" applyAlignment="true" applyProtection="true">
      <alignment horizontal="center" vertical="bottom" textRotation="0" wrapText="false" indent="0" shrinkToFit="false"/>
      <protection locked="false" hidden="false"/>
    </xf>
    <xf numFmtId="164" fontId="7" fillId="0" borderId="0" xfId="0" applyFont="true" applyBorder="false" applyAlignment="true" applyProtection="true">
      <alignment horizontal="left" vertical="bottom" textRotation="0" wrapText="false" indent="0" shrinkToFit="false"/>
      <protection locked="fals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false" hidden="false"/>
    </xf>
    <xf numFmtId="164" fontId="6" fillId="0" borderId="1" xfId="0" applyFont="true" applyBorder="true" applyAlignment="true" applyProtection="true">
      <alignment horizontal="center" vertical="bottom" textRotation="0" wrapText="false" indent="0" shrinkToFit="false"/>
      <protection locked="fals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4" fillId="0" borderId="3" xfId="0" applyFont="true" applyBorder="true" applyAlignment="false" applyProtection="true">
      <alignment horizontal="general" vertical="bottom" textRotation="0" wrapText="false" indent="0" shrinkToFit="false"/>
      <protection locked="false" hidden="false"/>
    </xf>
    <xf numFmtId="164" fontId="4" fillId="0" borderId="4" xfId="0" applyFont="true" applyBorder="true" applyAlignment="true" applyProtection="true">
      <alignment horizontal="center" vertical="bottom" textRotation="0" wrapText="false" indent="0" shrinkToFit="false"/>
      <protection locked="false" hidden="false"/>
    </xf>
    <xf numFmtId="164" fontId="4" fillId="0" borderId="5" xfId="0" applyFont="true" applyBorder="true" applyAlignment="true" applyProtection="true">
      <alignment horizontal="center" vertical="bottom" textRotation="0" wrapText="false" indent="0" shrinkToFit="false"/>
      <protection locked="false" hidden="false"/>
    </xf>
    <xf numFmtId="164" fontId="7" fillId="0" borderId="6" xfId="0" applyFont="true" applyBorder="true" applyAlignment="true" applyProtection="true">
      <alignment horizontal="left" vertical="center" textRotation="0" wrapText="false" indent="0" shrinkToFit="false"/>
      <protection locked="fals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7" fillId="0" borderId="7" xfId="0" applyFont="true" applyBorder="true" applyAlignment="true" applyProtection="true">
      <alignment horizontal="left" vertical="center" textRotation="0" wrapText="false" indent="0" shrinkToFit="false"/>
      <protection locked="false" hidden="false"/>
    </xf>
    <xf numFmtId="164" fontId="7" fillId="0" borderId="8" xfId="0" applyFont="true" applyBorder="true" applyAlignment="true" applyProtection="true">
      <alignment horizontal="left" vertical="center" textRotation="0" wrapText="false" indent="0" shrinkToFit="false"/>
      <protection locked="false" hidden="false"/>
    </xf>
    <xf numFmtId="164" fontId="4" fillId="0" borderId="7" xfId="0" applyFont="true" applyBorder="true" applyAlignment="true" applyProtection="true">
      <alignment horizontal="center" vertical="bottom" textRotation="0" wrapText="false" indent="0" shrinkToFit="false"/>
      <protection locked="false" hidden="false"/>
    </xf>
    <xf numFmtId="164" fontId="4" fillId="0" borderId="9" xfId="0" applyFont="true" applyBorder="true" applyAlignment="true" applyProtection="true">
      <alignment horizontal="center" vertical="bottom" textRotation="0" wrapText="false" indent="0" shrinkToFit="false"/>
      <protection locked="false" hidden="false"/>
    </xf>
    <xf numFmtId="164" fontId="4" fillId="0" borderId="8" xfId="0" applyFont="true" applyBorder="true" applyAlignment="true" applyProtection="true">
      <alignment horizontal="center" vertical="center" textRotation="0" wrapText="false" indent="0" shrinkToFit="false"/>
      <protection locked="false" hidden="false"/>
    </xf>
    <xf numFmtId="164" fontId="4" fillId="0" borderId="0" xfId="0" applyFont="true" applyBorder="false" applyAlignment="true" applyProtection="true">
      <alignment horizontal="center" vertical="center"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false" hidden="false"/>
    </xf>
    <xf numFmtId="164" fontId="4" fillId="0" borderId="10"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center" vertical="bottom" textRotation="0" wrapText="false" indent="0" shrinkToFit="false"/>
      <protection locked="false" hidden="false"/>
    </xf>
    <xf numFmtId="164" fontId="4" fillId="0" borderId="11" xfId="0" applyFont="true" applyBorder="true" applyAlignment="true" applyProtection="true">
      <alignment horizontal="left" vertical="bottom" textRotation="0" wrapText="false" indent="0" shrinkToFit="false"/>
      <protection locked="false" hidden="false"/>
    </xf>
    <xf numFmtId="164" fontId="4" fillId="0" borderId="0" xfId="0" applyFont="true" applyBorder="true" applyAlignment="true" applyProtection="true">
      <alignment horizontal="center" vertical="bottom" textRotation="0" wrapText="false" indent="0" shrinkToFit="false"/>
      <protection locked="false" hidden="false"/>
    </xf>
    <xf numFmtId="164" fontId="4" fillId="0" borderId="11" xfId="0" applyFont="true" applyBorder="true" applyAlignment="true" applyProtection="true">
      <alignment horizontal="center" vertical="bottom" textRotation="0" wrapText="false" indent="0" shrinkToFit="false"/>
      <protection locked="false" hidden="false"/>
    </xf>
    <xf numFmtId="164" fontId="4" fillId="0" borderId="12" xfId="0" applyFont="true" applyBorder="true" applyAlignment="false" applyProtection="true">
      <alignment horizontal="general" vertical="bottom" textRotation="0" wrapText="false" indent="0" shrinkToFit="false"/>
      <protection locked="false" hidden="false"/>
    </xf>
    <xf numFmtId="164" fontId="6" fillId="0" borderId="6" xfId="0" applyFont="true" applyBorder="true" applyAlignment="false" applyProtection="true">
      <alignment horizontal="general" vertical="bottom" textRotation="0" wrapText="false" indent="0" shrinkToFit="false"/>
      <protection locked="false" hidden="false"/>
    </xf>
    <xf numFmtId="164" fontId="4" fillId="0" borderId="7" xfId="0" applyFont="true" applyBorder="true" applyAlignment="false" applyProtection="true">
      <alignment horizontal="general" vertical="bottom" textRotation="0" wrapText="false" indent="0" shrinkToFit="false"/>
      <protection locked="false" hidden="false"/>
    </xf>
    <xf numFmtId="164" fontId="0" fillId="0" borderId="13" xfId="0" applyFont="false" applyBorder="true" applyAlignment="false" applyProtection="true">
      <alignment horizontal="general" vertical="bottom" textRotation="0" wrapText="false" indent="0" shrinkToFit="false"/>
      <protection locked="false" hidden="false"/>
    </xf>
    <xf numFmtId="164" fontId="4" fillId="0" borderId="14" xfId="0" applyFont="true" applyBorder="true" applyAlignment="false" applyProtection="true">
      <alignment horizontal="general" vertical="bottom" textRotation="0" wrapText="false" indent="0" shrinkToFit="false"/>
      <protection locked="fals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4" fillId="0" borderId="15" xfId="0" applyFont="true" applyBorder="true" applyAlignment="true" applyProtection="true">
      <alignment horizontal="center" vertical="bottom" textRotation="0" wrapText="false" indent="0" shrinkToFit="false"/>
      <protection locked="fals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4" fontId="4" fillId="0" borderId="11" xfId="0" applyFont="true" applyBorder="true" applyAlignment="false" applyProtection="true">
      <alignment horizontal="general" vertical="bottom" textRotation="0" wrapText="false" indent="0" shrinkToFit="false"/>
      <protection locked="false" hidden="false"/>
    </xf>
    <xf numFmtId="164" fontId="8" fillId="0" borderId="11"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fals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true">
      <alignment horizontal="center" vertical="bottom" textRotation="0" wrapText="false" indent="0" shrinkToFit="false"/>
      <protection locked="false" hidden="false"/>
    </xf>
    <xf numFmtId="165" fontId="10" fillId="2" borderId="1"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false" hidden="false"/>
    </xf>
    <xf numFmtId="164" fontId="4" fillId="0" borderId="7" xfId="0" applyFont="true" applyBorder="true" applyAlignment="true" applyProtection="true">
      <alignment horizontal="right" vertical="bottom" textRotation="0" wrapText="false" indent="0" shrinkToFit="false"/>
      <protection locked="false" hidden="false"/>
    </xf>
    <xf numFmtId="164" fontId="4" fillId="0" borderId="9" xfId="0" applyFont="true" applyBorder="true" applyAlignment="false" applyProtection="true">
      <alignment horizontal="general" vertical="bottom" textRotation="0" wrapText="false" indent="0" shrinkToFit="false"/>
      <protection locked="false" hidden="false"/>
    </xf>
    <xf numFmtId="164" fontId="8" fillId="0" borderId="8" xfId="0" applyFont="true" applyBorder="true" applyAlignment="true" applyProtection="true">
      <alignment horizontal="center" vertical="bottom" textRotation="0" wrapText="false" indent="0" shrinkToFit="false"/>
      <protection locked="false" hidden="false"/>
    </xf>
    <xf numFmtId="166" fontId="4" fillId="0" borderId="6" xfId="0" applyFont="true" applyBorder="true" applyAlignment="true" applyProtection="true">
      <alignment horizontal="left" vertical="bottom" textRotation="0" wrapText="false" indent="0" shrinkToFit="false"/>
      <protection locked="false" hidden="false"/>
    </xf>
    <xf numFmtId="164" fontId="6" fillId="0" borderId="7" xfId="0" applyFont="true" applyBorder="true" applyAlignment="false" applyProtection="true">
      <alignment horizontal="general" vertical="bottom" textRotation="0" wrapText="false" indent="0" shrinkToFit="false"/>
      <protection locked="false" hidden="false"/>
    </xf>
    <xf numFmtId="167" fontId="4" fillId="0" borderId="7" xfId="0" applyFont="true" applyBorder="true" applyAlignment="true" applyProtection="true">
      <alignment horizontal="left" vertical="bottom" textRotation="0" wrapText="false" indent="0" shrinkToFit="false"/>
      <protection locked="true" hidden="false"/>
    </xf>
    <xf numFmtId="164" fontId="4" fillId="0" borderId="7" xfId="0" applyFont="true" applyBorder="true" applyAlignment="true" applyProtection="true">
      <alignment horizontal="left" vertical="bottom" textRotation="0" wrapText="false" indent="0" shrinkToFit="false"/>
      <protection locked="false" hidden="false"/>
    </xf>
    <xf numFmtId="164" fontId="11" fillId="0" borderId="9" xfId="0" applyFont="true" applyBorder="true" applyAlignment="true" applyProtection="true">
      <alignment horizontal="left" vertical="bottom" textRotation="0" wrapText="false" indent="0" shrinkToFit="false"/>
      <protection locked="false" hidden="false"/>
    </xf>
    <xf numFmtId="168" fontId="4" fillId="0" borderId="9" xfId="0" applyFont="true" applyBorder="true" applyAlignment="true" applyProtection="true">
      <alignment horizontal="center" vertical="bottom" textRotation="0" wrapText="false" indent="0" shrinkToFit="false"/>
      <protection locked="false" hidden="false"/>
    </xf>
    <xf numFmtId="169" fontId="4" fillId="0" borderId="9" xfId="0" applyFont="true" applyBorder="true" applyAlignment="true" applyProtection="true">
      <alignment horizontal="center" vertical="bottom" textRotation="0" wrapText="false" indent="0" shrinkToFit="false"/>
      <protection locked="false" hidden="false"/>
    </xf>
    <xf numFmtId="170" fontId="4" fillId="0" borderId="17" xfId="0" applyFont="true" applyBorder="true" applyAlignment="true" applyProtection="true">
      <alignment horizontal="center" vertical="bottom" textRotation="0" wrapText="false" indent="0" shrinkToFit="false"/>
      <protection locked="false" hidden="false"/>
    </xf>
    <xf numFmtId="170" fontId="8" fillId="0" borderId="7" xfId="0" applyFont="true" applyBorder="true" applyAlignment="true" applyProtection="true">
      <alignment horizontal="general" vertical="bottom" textRotation="0" wrapText="false" indent="0" shrinkToFit="false"/>
      <protection locked="false" hidden="false"/>
    </xf>
    <xf numFmtId="164" fontId="4" fillId="0" borderId="8" xfId="0" applyFont="true" applyBorder="true" applyAlignment="true" applyProtection="true">
      <alignment horizontal="center" vertical="bottom" textRotation="0" wrapText="false" indent="0" shrinkToFit="false"/>
      <protection locked="false" hidden="false"/>
    </xf>
    <xf numFmtId="164" fontId="6" fillId="0" borderId="7" xfId="0" applyFont="true" applyBorder="true" applyAlignment="true" applyProtection="true">
      <alignment horizontal="left" vertical="bottom" textRotation="0" wrapText="false" indent="0" shrinkToFit="false"/>
      <protection locked="false" hidden="false"/>
    </xf>
    <xf numFmtId="164" fontId="4" fillId="0" borderId="9" xfId="0" applyFont="true" applyBorder="true" applyAlignment="true" applyProtection="true">
      <alignment horizontal="left" vertical="bottom" textRotation="0" wrapText="false" indent="0" shrinkToFit="false"/>
      <protection locked="false" hidden="false"/>
    </xf>
    <xf numFmtId="171" fontId="9" fillId="2"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72" fontId="10" fillId="2" borderId="1" xfId="0" applyFont="true" applyBorder="true" applyAlignment="false" applyProtection="false">
      <alignment horizontal="general" vertical="bottom" textRotation="0" wrapText="false" indent="0" shrinkToFit="false"/>
      <protection locked="true" hidden="false"/>
    </xf>
    <xf numFmtId="170" fontId="4" fillId="0" borderId="17" xfId="0" applyFont="true" applyBorder="true" applyAlignment="true" applyProtection="true">
      <alignment horizontal="center" vertical="bottom" textRotation="0" wrapText="false" indent="0" shrinkToFit="false"/>
      <protection locked="tru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8" fontId="12" fillId="3" borderId="7" xfId="0" applyFont="true" applyBorder="true" applyAlignment="true" applyProtection="true">
      <alignment horizontal="center" vertical="bottom" textRotation="0" wrapText="false" indent="0" shrinkToFit="false"/>
      <protection locked="false" hidden="false"/>
    </xf>
    <xf numFmtId="170" fontId="12" fillId="3" borderId="7" xfId="0" applyFont="true" applyBorder="true" applyAlignment="false" applyProtection="true">
      <alignment horizontal="general" vertical="bottom" textRotation="0" wrapText="false" indent="0" shrinkToFit="false"/>
      <protection locked="false" hidden="false"/>
    </xf>
    <xf numFmtId="170" fontId="12" fillId="3" borderId="7" xfId="0" applyFont="true" applyBorder="true" applyAlignment="false" applyProtection="true">
      <alignment horizontal="general" vertical="bottom" textRotation="0" wrapText="false" indent="0" shrinkToFit="false"/>
      <protection locked="true" hidden="false"/>
    </xf>
    <xf numFmtId="164" fontId="12" fillId="3" borderId="7" xfId="0" applyFont="true" applyBorder="true" applyAlignment="false" applyProtection="true">
      <alignment horizontal="general" vertical="bottom" textRotation="0" wrapText="false" indent="0" shrinkToFit="false"/>
      <protection locked="false" hidden="false"/>
    </xf>
    <xf numFmtId="164" fontId="12" fillId="3" borderId="8" xfId="0" applyFont="true" applyBorder="true" applyAlignment="false" applyProtection="true">
      <alignment horizontal="general" vertical="bottom" textRotation="0" wrapText="false" indent="0" shrinkToFit="false"/>
      <protection locked="false" hidden="false"/>
    </xf>
    <xf numFmtId="164" fontId="9" fillId="2" borderId="1"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3" fontId="10" fillId="0" borderId="1" xfId="19" applyFont="true" applyBorder="true" applyAlignment="true" applyProtection="true">
      <alignment horizontal="general" vertical="bottom" textRotation="0" wrapText="false" indent="0" shrinkToFit="false"/>
      <protection locked="true" hidden="false"/>
    </xf>
    <xf numFmtId="168" fontId="4" fillId="0" borderId="18" xfId="0" applyFont="true" applyBorder="true" applyAlignment="true" applyProtection="true">
      <alignment horizontal="center" vertical="bottom" textRotation="0" wrapText="false" indent="0" shrinkToFit="false"/>
      <protection locked="false" hidden="false"/>
    </xf>
    <xf numFmtId="168" fontId="4" fillId="0" borderId="19" xfId="0" applyFont="true" applyBorder="true" applyAlignment="true" applyProtection="true">
      <alignment horizontal="center" vertical="bottom" textRotation="0" wrapText="false" indent="0" shrinkToFit="false"/>
      <protection locked="false" hidden="false"/>
    </xf>
    <xf numFmtId="164" fontId="13" fillId="0" borderId="7" xfId="0" applyFont="true" applyBorder="true" applyAlignment="false" applyProtection="true">
      <alignment horizontal="general" vertical="bottom" textRotation="0" wrapText="false" indent="0" shrinkToFit="false"/>
      <protection locked="false" hidden="false"/>
    </xf>
    <xf numFmtId="164" fontId="11" fillId="0" borderId="7" xfId="0" applyFont="true" applyBorder="true" applyAlignment="false" applyProtection="true">
      <alignment horizontal="general" vertical="bottom" textRotation="0" wrapText="false" indent="0" shrinkToFit="false"/>
      <protection locked="false" hidden="false"/>
    </xf>
    <xf numFmtId="164" fontId="11" fillId="0" borderId="9" xfId="0" applyFont="true" applyBorder="true" applyAlignment="false" applyProtection="true">
      <alignment horizontal="general" vertical="bottom" textRotation="0" wrapText="false" indent="0" shrinkToFit="false"/>
      <protection locked="false" hidden="false"/>
    </xf>
    <xf numFmtId="169" fontId="14"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false" hidden="false"/>
    </xf>
    <xf numFmtId="164" fontId="13" fillId="0" borderId="7" xfId="0" applyFont="true" applyBorder="true" applyAlignment="true" applyProtection="true">
      <alignment horizontal="right" vertical="bottom" textRotation="0" wrapText="false" indent="0" shrinkToFit="false"/>
      <protection locked="false" hidden="false"/>
    </xf>
    <xf numFmtId="174" fontId="8" fillId="0" borderId="7" xfId="0" applyFont="true" applyBorder="true" applyAlignment="true" applyProtection="true">
      <alignment horizontal="left" vertical="bottom" textRotation="0" wrapText="false" indent="0" shrinkToFit="false"/>
      <protection locked="false" hidden="false"/>
    </xf>
    <xf numFmtId="176" fontId="0" fillId="2" borderId="1" xfId="17" applyFont="true" applyBorder="true" applyAlignment="true" applyProtection="true">
      <alignment horizontal="general" vertical="bottom" textRotation="0" wrapText="false" indent="0" shrinkToFit="false"/>
      <protection locked="true" hidden="false"/>
    </xf>
    <xf numFmtId="164" fontId="12" fillId="3" borderId="0" xfId="0" applyFont="true" applyBorder="true" applyAlignment="false" applyProtection="true">
      <alignment horizontal="general" vertical="bottom" textRotation="0" wrapText="false" indent="0" shrinkToFit="false"/>
      <protection locked="false" hidden="false"/>
    </xf>
    <xf numFmtId="164" fontId="12" fillId="3" borderId="0" xfId="0" applyFont="true" applyBorder="true" applyAlignment="false" applyProtection="true">
      <alignment horizontal="general" vertical="bottom" textRotation="0" wrapText="false" indent="0" shrinkToFit="false"/>
      <protection locked="true" hidden="false"/>
    </xf>
    <xf numFmtId="164" fontId="12" fillId="3" borderId="12" xfId="0" applyFont="true" applyBorder="true" applyAlignment="false" applyProtection="true">
      <alignment horizontal="general" vertical="bottom" textRotation="0" wrapText="false" indent="0" shrinkToFit="false"/>
      <protection locked="fals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0" fontId="4" fillId="0" borderId="0" xfId="0" applyFont="true" applyBorder="true" applyAlignment="true" applyProtection="true">
      <alignment horizontal="left" vertical="bottom" textRotation="0" wrapText="false" indent="0" shrinkToFit="false"/>
      <protection locked="false" hidden="false"/>
    </xf>
    <xf numFmtId="164" fontId="10" fillId="0" borderId="0" xfId="0" applyFont="true" applyBorder="true" applyAlignment="true" applyProtection="false">
      <alignment horizontal="left" vertical="bottom" textRotation="0" wrapText="false" indent="0" shrinkToFit="false"/>
      <protection locked="true" hidden="false"/>
    </xf>
    <xf numFmtId="176" fontId="4" fillId="0" borderId="0" xfId="17" applyFont="true" applyBorder="true" applyAlignment="true" applyProtection="true">
      <alignment horizontal="center" vertical="bottom" textRotation="0" wrapText="false" indent="0" shrinkToFit="false"/>
      <protection locked="false" hidden="false"/>
    </xf>
    <xf numFmtId="173" fontId="0" fillId="0" borderId="0" xfId="19" applyFont="true" applyBorder="true" applyAlignment="true" applyProtection="true">
      <alignment horizontal="general" vertical="bottom" textRotation="0" wrapText="false" indent="0" shrinkToFit="false"/>
      <protection locked="true" hidden="false"/>
    </xf>
    <xf numFmtId="170" fontId="4" fillId="0" borderId="0" xfId="0" applyFont="true" applyBorder="true" applyAlignment="false" applyProtection="true">
      <alignment horizontal="general" vertical="bottom" textRotation="0" wrapText="false" indent="0" shrinkToFit="false"/>
      <protection locked="false" hidden="false"/>
    </xf>
    <xf numFmtId="165" fontId="0" fillId="0" borderId="0" xfId="19" applyFont="true" applyBorder="true" applyAlignment="tru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true" applyAlignment="true" applyProtection="true">
      <alignment horizontal="right" vertical="bottom" textRotation="0" wrapText="false" indent="0" shrinkToFit="false"/>
      <protection locked="false" hidden="false"/>
    </xf>
    <xf numFmtId="178" fontId="4" fillId="0" borderId="7" xfId="0" applyFont="true" applyBorder="true" applyAlignment="false" applyProtection="true">
      <alignment horizontal="general" vertical="bottom" textRotation="0" wrapText="false" indent="0" shrinkToFit="false"/>
      <protection locked="false" hidden="false"/>
    </xf>
    <xf numFmtId="164" fontId="12" fillId="3" borderId="7" xfId="0" applyFont="true" applyBorder="true" applyAlignment="false" applyProtection="true">
      <alignment horizontal="general" vertical="bottom" textRotation="0" wrapText="false" indent="0" shrinkToFit="false"/>
      <protection locked="true" hidden="false"/>
    </xf>
    <xf numFmtId="164" fontId="4" fillId="0" borderId="9" xfId="0" applyFont="true" applyBorder="true" applyAlignment="true" applyProtection="true">
      <alignment horizontal="right" vertical="bottom" textRotation="0" wrapText="false" indent="0" shrinkToFit="false"/>
      <protection locked="fals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17" xfId="0" applyFont="true" applyBorder="true" applyAlignment="true" applyProtection="false">
      <alignment horizontal="center" vertical="bottom"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78" fontId="0" fillId="0" borderId="23" xfId="0" applyFont="fals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78" fontId="0" fillId="0" borderId="11" xfId="0" applyFont="false" applyBorder="true" applyAlignment="false" applyProtection="false">
      <alignment horizontal="general" vertical="bottom" textRotation="0" wrapText="false" indent="0" shrinkToFit="false"/>
      <protection locked="true" hidden="false"/>
    </xf>
    <xf numFmtId="167" fontId="15" fillId="0" borderId="0" xfId="0" applyFont="true" applyBorder="false" applyAlignment="true" applyProtection="false">
      <alignment horizontal="right"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78" fontId="0" fillId="0" borderId="9" xfId="0" applyFont="false" applyBorder="true" applyAlignment="false" applyProtection="false">
      <alignment horizontal="general" vertical="bottom" textRotation="0" wrapText="false" indent="0" shrinkToFit="false"/>
      <protection locked="true" hidden="false"/>
    </xf>
    <xf numFmtId="170" fontId="4" fillId="3" borderId="0" xfId="0" applyFont="true" applyBorder="true" applyAlignment="false" applyProtection="true">
      <alignment horizontal="general" vertical="bottom" textRotation="0" wrapText="false" indent="0" shrinkToFit="false"/>
      <protection locked="false" hidden="false"/>
    </xf>
    <xf numFmtId="170" fontId="4"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false" hidden="false"/>
    </xf>
    <xf numFmtId="164" fontId="4" fillId="3" borderId="12" xfId="0" applyFont="true" applyBorder="true" applyAlignment="false" applyProtection="true">
      <alignment horizontal="general" vertical="bottom" textRotation="0" wrapText="false" indent="0" shrinkToFit="false"/>
      <protection locked="false" hidden="false"/>
    </xf>
    <xf numFmtId="173" fontId="16" fillId="0" borderId="0" xfId="0" applyFont="true" applyBorder="false" applyAlignment="false" applyProtection="false">
      <alignment horizontal="general" vertical="bottom" textRotation="0" wrapText="false" indent="0" shrinkToFit="false"/>
      <protection locked="true" hidden="false"/>
    </xf>
    <xf numFmtId="164" fontId="17" fillId="0" borderId="1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74" fontId="8" fillId="0" borderId="7" xfId="0" applyFont="true" applyBorder="true" applyAlignment="false" applyProtection="true">
      <alignment horizontal="general" vertical="bottom" textRotation="0" wrapText="false" indent="0" shrinkToFit="false"/>
      <protection locked="false" hidden="false"/>
    </xf>
    <xf numFmtId="164" fontId="4" fillId="0" borderId="20" xfId="0" applyFont="true" applyBorder="true" applyAlignment="true" applyProtection="true">
      <alignment horizontal="center" vertical="bottom" textRotation="0" wrapText="false" indent="0" shrinkToFit="false"/>
      <protection locked="false" hidden="false"/>
    </xf>
    <xf numFmtId="164" fontId="4" fillId="0" borderId="21" xfId="0" applyFont="true" applyBorder="true" applyAlignment="true" applyProtection="true">
      <alignment horizontal="center" vertical="bottom" textRotation="0" wrapText="false" indent="0" shrinkToFit="false"/>
      <protection locked="fals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75" fontId="0" fillId="0" borderId="17"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4" fontId="16" fillId="0" borderId="0" xfId="0" applyFont="true" applyBorder="false" applyAlignment="false" applyProtection="false">
      <alignment horizontal="general" vertical="bottom" textRotation="0" wrapText="false" indent="0" shrinkToFit="false"/>
      <protection locked="true" hidden="false"/>
    </xf>
    <xf numFmtId="175" fontId="0" fillId="0" borderId="17" xfId="17" applyFont="true" applyBorder="true" applyAlignment="true" applyProtection="true">
      <alignment horizontal="general" vertical="bottom" textRotation="0" wrapText="false" indent="0" shrinkToFit="false"/>
      <protection locked="tru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70" fontId="4" fillId="0" borderId="25" xfId="0" applyFont="true" applyBorder="true" applyAlignment="true" applyProtection="true">
      <alignment horizontal="center" vertical="bottom" textRotation="0" wrapText="false" indent="0" shrinkToFit="false"/>
      <protection locked="fals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0" fontId="4" fillId="0" borderId="16" xfId="0" applyFont="true" applyBorder="true" applyAlignment="true" applyProtection="true">
      <alignment horizontal="center" vertical="bottom" textRotation="0" wrapText="false" indent="0" shrinkToFit="false"/>
      <protection locked="false" hidden="false"/>
    </xf>
    <xf numFmtId="164" fontId="4" fillId="0" borderId="26"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true" applyProtection="true">
      <alignment horizontal="center" vertical="bottom" textRotation="0" wrapText="false" indent="0" shrinkToFit="false"/>
      <protection locked="false" hidden="false"/>
    </xf>
    <xf numFmtId="164" fontId="6" fillId="0" borderId="8" xfId="0" applyFont="true" applyBorder="true" applyAlignment="true" applyProtection="true">
      <alignment horizontal="center" vertical="bottom" textRotation="0" wrapText="false" indent="0" shrinkToFit="false"/>
      <protection locked="false" hidden="false"/>
    </xf>
    <xf numFmtId="164" fontId="4" fillId="0" borderId="27"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true" applyProtection="true">
      <alignment horizontal="center" vertical="bottom" textRotation="0" wrapText="false" indent="0" shrinkToFit="false"/>
      <protection locked="false" hidden="false"/>
    </xf>
    <xf numFmtId="164" fontId="18" fillId="0" borderId="0" xfId="0" applyFont="true" applyBorder="false" applyAlignment="false" applyProtection="true">
      <alignment horizontal="general" vertical="bottom" textRotation="0" wrapText="false" indent="0" shrinkToFit="false"/>
      <protection locked="false" hidden="false"/>
    </xf>
    <xf numFmtId="164" fontId="19" fillId="0" borderId="0" xfId="0" applyFont="true" applyBorder="false" applyAlignment="false" applyProtection="true">
      <alignment horizontal="general" vertical="bottom" textRotation="0" wrapText="false" indent="0" shrinkToFit="false"/>
      <protection locked="false" hidden="false"/>
    </xf>
    <xf numFmtId="164" fontId="8" fillId="0" borderId="0" xfId="0" applyFont="true" applyBorder="false" applyAlignment="true" applyProtection="true">
      <alignment horizontal="right" vertical="bottom" textRotation="0" wrapText="false" indent="0" shrinkToFit="false"/>
      <protection locked="fals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72" fontId="0" fillId="0" borderId="1" xfId="0" applyFont="false" applyBorder="true" applyAlignment="false" applyProtection="false">
      <alignment horizontal="general" vertical="bottom" textRotation="0" wrapText="false" indent="0" shrinkToFit="false"/>
      <protection locked="true" hidden="false"/>
    </xf>
    <xf numFmtId="168" fontId="4" fillId="3" borderId="7" xfId="0" applyFont="true" applyBorder="true" applyAlignment="true" applyProtection="true">
      <alignment horizontal="center" vertical="bottom" textRotation="0" wrapText="false" indent="0" shrinkToFit="false"/>
      <protection locked="false" hidden="false"/>
    </xf>
    <xf numFmtId="170" fontId="4" fillId="3" borderId="7" xfId="0" applyFont="true" applyBorder="true" applyAlignment="false" applyProtection="true">
      <alignment horizontal="general" vertical="bottom" textRotation="0" wrapText="false" indent="0" shrinkToFit="false"/>
      <protection locked="false" hidden="false"/>
    </xf>
    <xf numFmtId="170" fontId="4" fillId="3" borderId="7" xfId="0" applyFont="true" applyBorder="true" applyAlignment="false" applyProtection="true">
      <alignment horizontal="general" vertical="bottom" textRotation="0" wrapText="false" indent="0" shrinkToFit="false"/>
      <protection locked="true" hidden="false"/>
    </xf>
    <xf numFmtId="164" fontId="4" fillId="3" borderId="7" xfId="0" applyFont="true" applyBorder="true" applyAlignment="false" applyProtection="true">
      <alignment horizontal="general" vertical="bottom" textRotation="0" wrapText="false" indent="0" shrinkToFit="false"/>
      <protection locked="false" hidden="false"/>
    </xf>
    <xf numFmtId="164" fontId="4" fillId="3" borderId="8" xfId="0" applyFont="true" applyBorder="true" applyAlignment="false" applyProtection="true">
      <alignment horizontal="general" vertical="bottom" textRotation="0" wrapText="false" indent="0" shrinkToFit="false"/>
      <protection locked="fals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4" fontId="4" fillId="3" borderId="7" xfId="0" applyFont="true" applyBorder="true" applyAlignment="false" applyProtection="true">
      <alignment horizontal="general" vertical="bottom" textRotation="0" wrapText="false" indent="0" shrinkToFit="false"/>
      <protection locked="true" hidden="false"/>
    </xf>
    <xf numFmtId="179" fontId="0" fillId="0" borderId="0" xfId="15" applyFont="true" applyBorder="true" applyAlignment="true" applyProtection="true">
      <alignment horizontal="general" vertical="bottom" textRotation="0" wrapText="false" indent="0" shrinkToFit="false"/>
      <protection locked="true" hidden="false"/>
    </xf>
    <xf numFmtId="180" fontId="0" fillId="0" borderId="0" xfId="15" applyFont="true" applyBorder="true" applyAlignment="true" applyProtection="true">
      <alignment horizontal="general" vertical="bottom" textRotation="0" wrapText="false" indent="0" shrinkToFit="false"/>
      <protection locked="true" hidden="false"/>
    </xf>
    <xf numFmtId="170" fontId="4" fillId="0" borderId="9" xfId="0" applyFont="true" applyBorder="true" applyAlignment="true" applyProtection="true">
      <alignment horizontal="center" vertical="bottom" textRotation="0" wrapText="false" indent="0" shrinkToFit="false"/>
      <protection locked="false" hidden="false"/>
    </xf>
    <xf numFmtId="170" fontId="4" fillId="0" borderId="1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70" fontId="4" fillId="0" borderId="7" xfId="0" applyFont="true" applyBorder="true" applyAlignment="true" applyProtection="true">
      <alignment horizontal="right"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70" fontId="4" fillId="0" borderId="28"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366"/>
  <sheetViews>
    <sheetView showFormulas="false" showGridLines="true" showRowColHeaders="true" showZeros="true" rightToLeft="false" tabSelected="true" showOutlineSymbols="true" defaultGridColor="true" view="normal" topLeftCell="A334" colorId="64" zoomScale="100" zoomScaleNormal="100" zoomScalePageLayoutView="100" workbookViewId="0">
      <selection pane="topLeft" activeCell="K104" activeCellId="0" sqref="K104"/>
    </sheetView>
  </sheetViews>
  <sheetFormatPr defaultRowHeight="13.5" zeroHeight="false" outlineLevelRow="0" outlineLevelCol="0"/>
  <cols>
    <col collapsed="false" customWidth="true" hidden="false" outlineLevel="0" max="1" min="1" style="1" width="3.45"/>
    <col collapsed="false" customWidth="true" hidden="false" outlineLevel="0" max="2" min="2" style="1" width="1.63"/>
    <col collapsed="false" customWidth="true" hidden="false" outlineLevel="0" max="3" min="3" style="1" width="5.01"/>
    <col collapsed="false" customWidth="true" hidden="false" outlineLevel="0" max="4" min="4" style="1" width="9.63"/>
    <col collapsed="false" customWidth="true" hidden="false" outlineLevel="0" max="5" min="5" style="1" width="13.09"/>
    <col collapsed="false" customWidth="true" hidden="false" outlineLevel="0" max="6" min="6" style="1" width="25.91"/>
    <col collapsed="false" customWidth="true" hidden="false" outlineLevel="0" max="7" min="7" style="1" width="7.09"/>
    <col collapsed="false" customWidth="true" hidden="false" outlineLevel="0" max="8" min="8" style="1" width="6.36"/>
    <col collapsed="false" customWidth="true" hidden="false" outlineLevel="0" max="9" min="9" style="1" width="5.36"/>
    <col collapsed="false" customWidth="true" hidden="false" outlineLevel="0" max="10" min="10" style="1" width="5.45"/>
    <col collapsed="false" customWidth="true" hidden="false" outlineLevel="0" max="11" min="11" style="1" width="3.91"/>
    <col collapsed="false" customWidth="true" hidden="false" outlineLevel="0" max="12" min="12" style="1" width="9.09"/>
    <col collapsed="false" customWidth="true" hidden="false" outlineLevel="0" max="13" min="13" style="1" width="3.54"/>
    <col collapsed="false" customWidth="true" hidden="false" outlineLevel="0" max="14" min="14" style="1" width="9.63"/>
    <col collapsed="false" customWidth="true" hidden="false" outlineLevel="0" max="15" min="15" style="2" width="4.63"/>
    <col collapsed="false" customWidth="true" hidden="false" outlineLevel="0" max="16" min="16" style="0" width="17"/>
    <col collapsed="false" customWidth="true" hidden="false" outlineLevel="0" max="17" min="17" style="0" width="13.55"/>
    <col collapsed="false" customWidth="true" hidden="false" outlineLevel="0" max="18" min="18" style="0" width="11.1"/>
    <col collapsed="false" customWidth="true" hidden="false" outlineLevel="0" max="1025" min="19" style="1" width="10.63"/>
  </cols>
  <sheetData>
    <row r="1" customFormat="false" ht="16.5" hidden="false" customHeight="true" outlineLevel="0" collapsed="false">
      <c r="A1" s="3"/>
      <c r="B1" s="2"/>
      <c r="C1" s="2"/>
      <c r="D1" s="4"/>
      <c r="E1" s="5"/>
      <c r="F1" s="6"/>
      <c r="G1" s="7"/>
      <c r="H1" s="8"/>
      <c r="L1" s="9" t="s">
        <v>0</v>
      </c>
      <c r="P1" s="10"/>
    </row>
    <row r="2" customFormat="false" ht="16" hidden="false" customHeight="false" outlineLevel="0" collapsed="false">
      <c r="A2" s="11" t="s">
        <v>1</v>
      </c>
      <c r="B2" s="11"/>
      <c r="C2" s="11"/>
      <c r="D2" s="11"/>
      <c r="E2" s="11"/>
      <c r="F2" s="11"/>
      <c r="G2" s="11"/>
      <c r="H2" s="11"/>
      <c r="I2" s="12" t="s">
        <v>2</v>
      </c>
      <c r="J2" s="12"/>
      <c r="K2" s="12"/>
      <c r="L2" s="12"/>
      <c r="M2" s="12"/>
      <c r="N2" s="12"/>
      <c r="P2" s="10"/>
    </row>
    <row r="3" customFormat="false" ht="12.75" hidden="false" customHeight="true" outlineLevel="0" collapsed="false">
      <c r="A3" s="13" t="s">
        <v>3</v>
      </c>
      <c r="B3" s="14"/>
      <c r="C3" s="14"/>
      <c r="D3" s="14"/>
      <c r="E3" s="14"/>
      <c r="F3" s="14"/>
      <c r="G3" s="14"/>
      <c r="H3" s="14"/>
      <c r="I3" s="15" t="s">
        <v>4</v>
      </c>
      <c r="J3" s="15"/>
      <c r="K3" s="15"/>
      <c r="L3" s="16" t="s">
        <v>5</v>
      </c>
      <c r="M3" s="16"/>
      <c r="N3" s="16"/>
      <c r="P3" s="10"/>
    </row>
    <row r="4" s="25" customFormat="true" ht="13.5" hidden="false" customHeight="false" outlineLevel="0" collapsed="false">
      <c r="A4" s="17" t="s">
        <v>6</v>
      </c>
      <c r="B4" s="18"/>
      <c r="C4" s="19"/>
      <c r="D4" s="19"/>
      <c r="E4" s="19"/>
      <c r="F4" s="19"/>
      <c r="G4" s="19"/>
      <c r="H4" s="20"/>
      <c r="I4" s="21"/>
      <c r="J4" s="21"/>
      <c r="K4" s="22"/>
      <c r="L4" s="22" t="s">
        <v>7</v>
      </c>
      <c r="M4" s="22"/>
      <c r="N4" s="23" t="s">
        <v>8</v>
      </c>
      <c r="O4" s="24"/>
    </row>
    <row r="5" customFormat="false" ht="12.75" hidden="false" customHeight="true" outlineLevel="0" collapsed="false">
      <c r="A5" s="26" t="s">
        <v>9</v>
      </c>
      <c r="B5" s="27"/>
      <c r="C5" s="27"/>
      <c r="D5" s="27"/>
      <c r="E5" s="27"/>
      <c r="F5" s="27"/>
      <c r="G5" s="27"/>
      <c r="H5" s="27"/>
      <c r="I5" s="28" t="s">
        <v>10</v>
      </c>
      <c r="J5" s="28"/>
      <c r="K5" s="29"/>
      <c r="L5" s="30"/>
      <c r="M5" s="31"/>
      <c r="N5" s="32"/>
    </row>
    <row r="6" customFormat="false" ht="14" hidden="false" customHeight="false" outlineLevel="0" collapsed="false">
      <c r="A6" s="33" t="s">
        <v>11</v>
      </c>
      <c r="B6" s="18"/>
      <c r="C6" s="34"/>
      <c r="D6" s="34"/>
      <c r="E6" s="34"/>
      <c r="F6" s="34"/>
      <c r="G6" s="34"/>
      <c r="H6" s="34"/>
      <c r="I6" s="35"/>
      <c r="J6" s="36"/>
      <c r="K6" s="37"/>
      <c r="L6" s="38"/>
      <c r="M6" s="39"/>
      <c r="N6" s="40"/>
    </row>
    <row r="7" customFormat="false" ht="14" hidden="false" customHeight="false" outlineLevel="0" collapsed="false">
      <c r="A7" s="26" t="s">
        <v>12</v>
      </c>
      <c r="B7" s="27"/>
      <c r="C7" s="27"/>
      <c r="D7" s="27"/>
      <c r="E7" s="41"/>
      <c r="F7" s="27"/>
      <c r="G7" s="42"/>
      <c r="H7" s="43" t="s">
        <v>13</v>
      </c>
      <c r="I7" s="43"/>
      <c r="J7" s="43"/>
      <c r="K7" s="43" t="s">
        <v>14</v>
      </c>
      <c r="L7" s="43"/>
      <c r="M7" s="44" t="s">
        <v>14</v>
      </c>
      <c r="N7" s="44"/>
      <c r="P7" s="45" t="s">
        <v>15</v>
      </c>
      <c r="Q7" s="46"/>
      <c r="R7" s="46"/>
    </row>
    <row r="8" customFormat="false" ht="13.5" hidden="false" customHeight="false" outlineLevel="0" collapsed="false">
      <c r="A8" s="26"/>
      <c r="B8" s="41" t="s">
        <v>16</v>
      </c>
      <c r="C8" s="27"/>
      <c r="D8" s="27"/>
      <c r="E8" s="27"/>
      <c r="F8" s="27"/>
      <c r="G8" s="42"/>
      <c r="H8" s="47" t="s">
        <v>17</v>
      </c>
      <c r="I8" s="47"/>
      <c r="J8" s="47"/>
      <c r="K8" s="43" t="s">
        <v>18</v>
      </c>
      <c r="L8" s="43"/>
      <c r="M8" s="44" t="s">
        <v>19</v>
      </c>
      <c r="N8" s="44"/>
      <c r="P8" s="48" t="n">
        <v>0.04</v>
      </c>
      <c r="Q8" s="46"/>
      <c r="R8" s="46"/>
    </row>
    <row r="9" customFormat="false" ht="12.75" hidden="false" customHeight="true" outlineLevel="0" collapsed="false">
      <c r="A9" s="49"/>
      <c r="B9" s="50"/>
      <c r="C9" s="21"/>
      <c r="D9" s="34"/>
      <c r="E9" s="34"/>
      <c r="F9" s="34"/>
      <c r="G9" s="51"/>
      <c r="H9" s="22" t="s">
        <v>20</v>
      </c>
      <c r="I9" s="22" t="s">
        <v>21</v>
      </c>
      <c r="J9" s="22" t="s">
        <v>22</v>
      </c>
      <c r="K9" s="47" t="s">
        <v>23</v>
      </c>
      <c r="L9" s="47"/>
      <c r="M9" s="52" t="s">
        <v>24</v>
      </c>
      <c r="N9" s="52"/>
      <c r="P9" s="45" t="s">
        <v>25</v>
      </c>
      <c r="Q9" s="46"/>
      <c r="R9" s="46"/>
    </row>
    <row r="10" customFormat="false" ht="12.75" hidden="false" customHeight="true" outlineLevel="0" collapsed="false">
      <c r="A10" s="53" t="s">
        <v>26</v>
      </c>
      <c r="B10" s="54"/>
      <c r="C10" s="55" t="str">
        <f aca="false">A6</f>
        <v>William Riley Casper</v>
      </c>
      <c r="D10" s="56"/>
      <c r="E10" s="56"/>
      <c r="F10" s="56"/>
      <c r="G10" s="57"/>
      <c r="H10" s="58"/>
      <c r="I10" s="58"/>
      <c r="J10" s="59" t="n">
        <v>2</v>
      </c>
      <c r="K10" s="60" t="n">
        <v>11787</v>
      </c>
      <c r="L10" s="60"/>
      <c r="M10" s="61"/>
      <c r="N10" s="62"/>
      <c r="P10" s="45" t="s">
        <v>27</v>
      </c>
      <c r="Q10" s="46"/>
      <c r="R10" s="46"/>
    </row>
    <row r="11" customFormat="false" ht="12.75" hidden="false" customHeight="true" outlineLevel="0" collapsed="false">
      <c r="A11" s="53" t="s">
        <v>28</v>
      </c>
      <c r="B11" s="63"/>
      <c r="C11" s="56"/>
      <c r="D11" s="56"/>
      <c r="E11" s="56"/>
      <c r="F11" s="56"/>
      <c r="G11" s="64"/>
      <c r="H11" s="58"/>
      <c r="I11" s="58"/>
      <c r="J11" s="58"/>
      <c r="K11" s="60" t="n">
        <v>0</v>
      </c>
      <c r="L11" s="60"/>
      <c r="M11" s="21"/>
      <c r="N11" s="62"/>
      <c r="P11" s="48" t="n">
        <v>0</v>
      </c>
      <c r="Q11" s="46"/>
      <c r="R11" s="46"/>
    </row>
    <row r="12" customFormat="false" ht="12.75" hidden="false" customHeight="true" outlineLevel="0" collapsed="false">
      <c r="A12" s="53" t="s">
        <v>29</v>
      </c>
      <c r="B12" s="56"/>
      <c r="C12" s="56"/>
      <c r="D12" s="56"/>
      <c r="E12" s="56"/>
      <c r="F12" s="56"/>
      <c r="G12" s="64"/>
      <c r="H12" s="58"/>
      <c r="I12" s="58"/>
      <c r="J12" s="58"/>
      <c r="K12" s="60" t="n">
        <v>0</v>
      </c>
      <c r="L12" s="60"/>
      <c r="M12" s="21"/>
      <c r="N12" s="62"/>
      <c r="P12" s="45" t="s">
        <v>30</v>
      </c>
      <c r="Q12" s="46"/>
      <c r="R12" s="46"/>
    </row>
    <row r="13" customFormat="false" ht="12.75" hidden="false" customHeight="true" outlineLevel="0" collapsed="false">
      <c r="A13" s="53" t="s">
        <v>31</v>
      </c>
      <c r="B13" s="56"/>
      <c r="C13" s="56"/>
      <c r="D13" s="56"/>
      <c r="E13" s="56"/>
      <c r="F13" s="56"/>
      <c r="G13" s="64"/>
      <c r="H13" s="58"/>
      <c r="I13" s="58"/>
      <c r="J13" s="58"/>
      <c r="K13" s="60" t="n">
        <v>0</v>
      </c>
      <c r="L13" s="60"/>
      <c r="M13" s="21"/>
      <c r="N13" s="62"/>
      <c r="P13" s="65" t="n">
        <v>3</v>
      </c>
      <c r="Q13" s="46"/>
      <c r="R13" s="46"/>
    </row>
    <row r="14" customFormat="false" ht="12.75" hidden="false" customHeight="true" outlineLevel="0" collapsed="false">
      <c r="A14" s="53" t="s">
        <v>32</v>
      </c>
      <c r="B14" s="56"/>
      <c r="C14" s="56"/>
      <c r="D14" s="56"/>
      <c r="E14" s="56"/>
      <c r="F14" s="56"/>
      <c r="G14" s="64"/>
      <c r="H14" s="58"/>
      <c r="I14" s="58"/>
      <c r="J14" s="58"/>
      <c r="K14" s="60" t="n">
        <v>0</v>
      </c>
      <c r="L14" s="60"/>
      <c r="M14" s="21"/>
      <c r="N14" s="62"/>
      <c r="P14" s="66" t="s">
        <v>33</v>
      </c>
      <c r="Q14" s="46"/>
      <c r="R14" s="46"/>
    </row>
    <row r="15" customFormat="false" ht="12.75" hidden="false" customHeight="true" outlineLevel="0" collapsed="false">
      <c r="A15" s="53" t="s">
        <v>34</v>
      </c>
      <c r="B15" s="50" t="n">
        <v>0</v>
      </c>
      <c r="C15" s="34" t="s">
        <v>35</v>
      </c>
      <c r="D15" s="34"/>
      <c r="E15" s="34"/>
      <c r="F15" s="34"/>
      <c r="G15" s="51"/>
      <c r="H15" s="58"/>
      <c r="I15" s="58"/>
      <c r="J15" s="58"/>
      <c r="K15" s="60" t="n">
        <v>0</v>
      </c>
      <c r="L15" s="60"/>
      <c r="M15" s="21"/>
      <c r="N15" s="62"/>
      <c r="P15" s="67" t="n">
        <v>43983</v>
      </c>
      <c r="Q15" s="46"/>
      <c r="R15" s="46"/>
    </row>
    <row r="16" customFormat="false" ht="12.75" hidden="false" customHeight="true" outlineLevel="0" collapsed="false">
      <c r="A16" s="53" t="s">
        <v>36</v>
      </c>
      <c r="B16" s="50" t="n">
        <v>1</v>
      </c>
      <c r="C16" s="34" t="s">
        <v>37</v>
      </c>
      <c r="D16" s="34"/>
      <c r="E16" s="34"/>
      <c r="F16" s="34"/>
      <c r="G16" s="51"/>
      <c r="H16" s="58"/>
      <c r="I16" s="58"/>
      <c r="J16" s="58"/>
      <c r="K16" s="68" t="n">
        <f aca="false">SUM(K$10:K$15)</f>
        <v>11787</v>
      </c>
      <c r="L16" s="68"/>
      <c r="M16" s="21"/>
      <c r="N16" s="62"/>
      <c r="P16" s="45" t="s">
        <v>38</v>
      </c>
      <c r="Q16" s="46"/>
      <c r="R16" s="46"/>
    </row>
    <row r="17" customFormat="false" ht="12.75" hidden="false" customHeight="true" outlineLevel="0" collapsed="false">
      <c r="A17" s="69" t="s">
        <v>39</v>
      </c>
      <c r="B17" s="34"/>
      <c r="C17" s="34"/>
      <c r="D17" s="34"/>
      <c r="E17" s="34"/>
      <c r="F17" s="34"/>
      <c r="G17" s="51"/>
      <c r="H17" s="70"/>
      <c r="I17" s="70"/>
      <c r="J17" s="70"/>
      <c r="K17" s="71"/>
      <c r="L17" s="72"/>
      <c r="M17" s="73"/>
      <c r="N17" s="74"/>
      <c r="P17" s="75" t="s">
        <v>40</v>
      </c>
      <c r="Q17" s="75"/>
      <c r="R17" s="75"/>
      <c r="T17" s="76"/>
    </row>
    <row r="18" customFormat="false" ht="12.75" hidden="false" customHeight="true" outlineLevel="0" collapsed="false">
      <c r="A18" s="53" t="s">
        <v>41</v>
      </c>
      <c r="B18" s="50" t="n">
        <v>0</v>
      </c>
      <c r="C18" s="34" t="s">
        <v>42</v>
      </c>
      <c r="D18" s="34"/>
      <c r="E18" s="34"/>
      <c r="F18" s="34"/>
      <c r="G18" s="51"/>
      <c r="H18" s="58"/>
      <c r="I18" s="58"/>
      <c r="J18" s="58"/>
      <c r="K18" s="60" t="n">
        <v>0</v>
      </c>
      <c r="L18" s="60"/>
      <c r="M18" s="21"/>
      <c r="N18" s="62"/>
      <c r="P18" s="77"/>
      <c r="Q18" s="45" t="s">
        <v>43</v>
      </c>
      <c r="R18" s="46"/>
    </row>
    <row r="19" customFormat="false" ht="12.75" hidden="false" customHeight="true" outlineLevel="0" collapsed="false">
      <c r="A19" s="53" t="s">
        <v>44</v>
      </c>
      <c r="B19" s="50" t="n">
        <v>0</v>
      </c>
      <c r="C19" s="34" t="s">
        <v>45</v>
      </c>
      <c r="D19" s="34"/>
      <c r="E19" s="34"/>
      <c r="F19" s="34"/>
      <c r="G19" s="34"/>
      <c r="H19" s="78"/>
      <c r="I19" s="78"/>
      <c r="J19" s="79"/>
      <c r="K19" s="60" t="n">
        <v>0</v>
      </c>
      <c r="L19" s="60"/>
      <c r="M19" s="21"/>
      <c r="N19" s="62"/>
      <c r="P19" s="45"/>
    </row>
    <row r="20" customFormat="false" ht="12.75" hidden="false" customHeight="true" outlineLevel="0" collapsed="false">
      <c r="A20" s="53" t="s">
        <v>46</v>
      </c>
      <c r="B20" s="50" t="n">
        <v>0</v>
      </c>
      <c r="C20" s="56" t="s">
        <v>47</v>
      </c>
      <c r="D20" s="34"/>
      <c r="E20" s="34"/>
      <c r="F20" s="80"/>
      <c r="G20" s="34"/>
      <c r="H20" s="81"/>
      <c r="I20" s="81"/>
      <c r="J20" s="82"/>
      <c r="K20" s="60" t="n">
        <v>0</v>
      </c>
      <c r="L20" s="60"/>
      <c r="M20" s="21"/>
      <c r="N20" s="62"/>
    </row>
    <row r="21" customFormat="false" ht="12.75" hidden="false" customHeight="true" outlineLevel="0" collapsed="false">
      <c r="A21" s="53" t="s">
        <v>48</v>
      </c>
      <c r="B21" s="50" t="n">
        <v>0</v>
      </c>
      <c r="C21" s="56" t="s">
        <v>49</v>
      </c>
      <c r="D21" s="34"/>
      <c r="E21" s="34"/>
      <c r="F21" s="80"/>
      <c r="G21" s="34"/>
      <c r="H21" s="81"/>
      <c r="I21" s="81"/>
      <c r="J21" s="82"/>
      <c r="K21" s="60" t="n">
        <v>0</v>
      </c>
      <c r="L21" s="60"/>
      <c r="M21" s="21"/>
      <c r="N21" s="62"/>
      <c r="P21" s="45"/>
    </row>
    <row r="22" customFormat="false" ht="12.75" hidden="false" customHeight="true" outlineLevel="0" collapsed="false">
      <c r="A22" s="53" t="s">
        <v>50</v>
      </c>
      <c r="B22" s="50" t="n">
        <v>0</v>
      </c>
      <c r="C22" s="56" t="s">
        <v>51</v>
      </c>
      <c r="D22" s="34"/>
      <c r="E22" s="34"/>
      <c r="F22" s="34"/>
      <c r="G22" s="34"/>
      <c r="H22" s="34"/>
      <c r="I22" s="34"/>
      <c r="J22" s="51"/>
      <c r="K22" s="60" t="n">
        <v>0</v>
      </c>
      <c r="L22" s="60"/>
      <c r="M22" s="21"/>
      <c r="N22" s="62"/>
      <c r="P22" s="45"/>
      <c r="S22" s="83"/>
    </row>
    <row r="23" customFormat="false" ht="12.75" hidden="false" customHeight="true" outlineLevel="0" collapsed="false">
      <c r="A23" s="53" t="s">
        <v>34</v>
      </c>
      <c r="B23" s="50" t="n">
        <v>0</v>
      </c>
      <c r="C23" s="56" t="s">
        <v>52</v>
      </c>
      <c r="D23" s="34"/>
      <c r="E23" s="34"/>
      <c r="F23" s="34"/>
      <c r="G23" s="34"/>
      <c r="H23" s="34"/>
      <c r="I23" s="34"/>
      <c r="J23" s="51"/>
      <c r="K23" s="60" t="n">
        <v>0</v>
      </c>
      <c r="L23" s="60"/>
      <c r="M23" s="21"/>
      <c r="N23" s="62"/>
      <c r="P23" s="45"/>
      <c r="S23" s="84"/>
    </row>
    <row r="24" customFormat="false" ht="12.75" hidden="false" customHeight="true" outlineLevel="0" collapsed="false">
      <c r="A24" s="53"/>
      <c r="B24" s="56" t="s">
        <v>53</v>
      </c>
      <c r="C24" s="56"/>
      <c r="D24" s="34"/>
      <c r="E24" s="34"/>
      <c r="F24" s="34"/>
      <c r="G24" s="34"/>
      <c r="H24" s="34"/>
      <c r="I24" s="34"/>
      <c r="J24" s="51"/>
      <c r="K24" s="68" t="n">
        <f aca="false">K$16+SUM(K$18:K$23)</f>
        <v>11787</v>
      </c>
      <c r="L24" s="68"/>
      <c r="M24" s="21"/>
      <c r="N24" s="62"/>
      <c r="P24" s="45" t="s">
        <v>54</v>
      </c>
      <c r="T24" s="76"/>
    </row>
    <row r="25" customFormat="false" ht="12.75" hidden="false" customHeight="true" outlineLevel="0" collapsed="false">
      <c r="A25" s="69" t="s">
        <v>55</v>
      </c>
      <c r="B25" s="34"/>
      <c r="C25" s="34"/>
      <c r="D25" s="34"/>
      <c r="E25" s="34"/>
      <c r="F25" s="34"/>
      <c r="G25" s="85" t="s">
        <v>56</v>
      </c>
      <c r="H25" s="86"/>
      <c r="I25" s="21"/>
      <c r="J25" s="51"/>
      <c r="K25" s="68" t="n">
        <f aca="false">ROUND(((K24-K21-K20-P25)*P28)+(P25*P29),0)</f>
        <v>5186</v>
      </c>
      <c r="L25" s="68"/>
      <c r="M25" s="21"/>
      <c r="N25" s="62"/>
      <c r="P25" s="87" t="n">
        <v>0</v>
      </c>
    </row>
    <row r="26" customFormat="false" ht="12.75" hidden="false" customHeight="true" outlineLevel="0" collapsed="false">
      <c r="A26" s="69"/>
      <c r="B26" s="56" t="s">
        <v>57</v>
      </c>
      <c r="C26" s="34"/>
      <c r="D26" s="34"/>
      <c r="E26" s="34"/>
      <c r="F26" s="34"/>
      <c r="G26" s="34"/>
      <c r="H26" s="34"/>
      <c r="I26" s="34"/>
      <c r="J26" s="51"/>
      <c r="K26" s="68" t="n">
        <f aca="false">K$24+K$25</f>
        <v>16973</v>
      </c>
      <c r="L26" s="68"/>
      <c r="M26" s="21"/>
      <c r="N26" s="62"/>
    </row>
    <row r="27" customFormat="false" ht="12.75" hidden="false" customHeight="true" outlineLevel="0" collapsed="false">
      <c r="A27" s="26" t="s">
        <v>58</v>
      </c>
      <c r="B27" s="27"/>
      <c r="C27" s="27"/>
      <c r="D27" s="27"/>
      <c r="E27" s="27"/>
      <c r="F27" s="27"/>
      <c r="G27" s="27"/>
      <c r="H27" s="27"/>
      <c r="I27" s="27"/>
      <c r="J27" s="42"/>
      <c r="K27" s="88"/>
      <c r="L27" s="89"/>
      <c r="M27" s="88"/>
      <c r="N27" s="90"/>
      <c r="P27" s="0" t="s">
        <v>59</v>
      </c>
      <c r="T27" s="91"/>
    </row>
    <row r="28" customFormat="false" ht="12.75" hidden="false" customHeight="true" outlineLevel="0" collapsed="false">
      <c r="A28" s="26"/>
      <c r="B28" s="92"/>
      <c r="C28" s="93"/>
      <c r="D28" s="27"/>
      <c r="E28" s="27"/>
      <c r="F28" s="27"/>
      <c r="G28" s="27"/>
      <c r="H28" s="94"/>
      <c r="I28" s="30"/>
      <c r="J28" s="42"/>
      <c r="K28" s="88"/>
      <c r="L28" s="89"/>
      <c r="M28" s="88"/>
      <c r="N28" s="90"/>
      <c r="P28" s="95" t="n">
        <v>0.44</v>
      </c>
      <c r="Q28" s="0" t="s">
        <v>60</v>
      </c>
      <c r="T28" s="91"/>
    </row>
    <row r="29" customFormat="false" ht="12.75" hidden="false" customHeight="true" outlineLevel="0" collapsed="false">
      <c r="A29" s="26"/>
      <c r="B29" s="96"/>
      <c r="C29" s="27"/>
      <c r="D29" s="27"/>
      <c r="E29" s="27"/>
      <c r="F29" s="27"/>
      <c r="G29" s="27"/>
      <c r="H29" s="27"/>
      <c r="I29" s="27"/>
      <c r="J29" s="42"/>
      <c r="K29" s="88"/>
      <c r="L29" s="89"/>
      <c r="M29" s="88"/>
      <c r="N29" s="90"/>
      <c r="P29" s="97" t="n">
        <v>0.0765</v>
      </c>
      <c r="Q29" s="0" t="s">
        <v>61</v>
      </c>
      <c r="T29" s="91"/>
    </row>
    <row r="30" customFormat="false" ht="12.75" hidden="false" customHeight="true" outlineLevel="0" collapsed="false">
      <c r="A30" s="26"/>
      <c r="B30" s="27"/>
      <c r="C30" s="27"/>
      <c r="D30" s="27"/>
      <c r="E30" s="27"/>
      <c r="F30" s="27"/>
      <c r="G30" s="27"/>
      <c r="H30" s="27"/>
      <c r="I30" s="27"/>
      <c r="J30" s="42"/>
      <c r="K30" s="88"/>
      <c r="L30" s="89"/>
      <c r="M30" s="88"/>
      <c r="N30" s="90"/>
      <c r="T30" s="91"/>
    </row>
    <row r="31" customFormat="false" ht="12.75" hidden="false" customHeight="true" outlineLevel="0" collapsed="false">
      <c r="A31" s="69"/>
      <c r="B31" s="56" t="s">
        <v>62</v>
      </c>
      <c r="C31" s="34"/>
      <c r="D31" s="34"/>
      <c r="E31" s="34"/>
      <c r="F31" s="34"/>
      <c r="G31" s="34"/>
      <c r="H31" s="34"/>
      <c r="I31" s="34"/>
      <c r="J31" s="51"/>
      <c r="K31" s="60" t="n">
        <v>0</v>
      </c>
      <c r="L31" s="60"/>
      <c r="M31" s="98"/>
      <c r="N31" s="99"/>
      <c r="T31" s="91"/>
    </row>
    <row r="32" customFormat="false" ht="12.75" hidden="false" customHeight="true" outlineLevel="0" collapsed="false">
      <c r="A32" s="69" t="s">
        <v>63</v>
      </c>
      <c r="B32" s="34"/>
      <c r="C32" s="34"/>
      <c r="D32" s="34" t="s">
        <v>64</v>
      </c>
      <c r="E32" s="34"/>
      <c r="F32" s="34"/>
      <c r="G32" s="34"/>
      <c r="H32" s="34"/>
      <c r="I32" s="34"/>
      <c r="J32" s="51"/>
      <c r="K32" s="60" t="n">
        <v>4000</v>
      </c>
      <c r="L32" s="60"/>
      <c r="M32" s="21"/>
      <c r="N32" s="62"/>
      <c r="T32" s="91"/>
    </row>
    <row r="33" customFormat="false" ht="12.75" hidden="false" customHeight="true" outlineLevel="0" collapsed="false">
      <c r="A33" s="69"/>
      <c r="B33" s="34"/>
      <c r="C33" s="34"/>
      <c r="D33" s="34" t="s">
        <v>65</v>
      </c>
      <c r="E33" s="34"/>
      <c r="F33" s="34"/>
      <c r="G33" s="34"/>
      <c r="H33" s="34"/>
      <c r="I33" s="34"/>
      <c r="J33" s="51"/>
      <c r="K33" s="60" t="n">
        <v>4000</v>
      </c>
      <c r="L33" s="60"/>
      <c r="M33" s="21"/>
      <c r="N33" s="62"/>
      <c r="T33" s="91"/>
    </row>
    <row r="34" customFormat="false" ht="12.75" hidden="false" customHeight="true" outlineLevel="0" collapsed="false">
      <c r="A34" s="26" t="s">
        <v>66</v>
      </c>
      <c r="B34" s="27"/>
      <c r="C34" s="27"/>
      <c r="D34" s="27"/>
      <c r="E34" s="27"/>
      <c r="F34" s="27"/>
      <c r="G34" s="27"/>
      <c r="H34" s="27"/>
      <c r="I34" s="27"/>
      <c r="J34" s="42"/>
      <c r="K34" s="88"/>
      <c r="L34" s="89"/>
      <c r="M34" s="88"/>
      <c r="N34" s="90"/>
      <c r="T34" s="91"/>
    </row>
    <row r="35" customFormat="false" ht="12.75" hidden="false" customHeight="true" outlineLevel="0" collapsed="false">
      <c r="A35" s="26"/>
      <c r="B35" s="27" t="s">
        <v>67</v>
      </c>
      <c r="C35" s="27"/>
      <c r="D35" s="100"/>
      <c r="E35" s="101" t="n">
        <v>0</v>
      </c>
      <c r="F35" s="27"/>
      <c r="G35" s="27"/>
      <c r="H35" s="27"/>
      <c r="I35" s="27"/>
      <c r="J35" s="42"/>
      <c r="K35" s="88"/>
      <c r="L35" s="89"/>
      <c r="M35" s="88"/>
      <c r="N35" s="90"/>
      <c r="T35" s="91"/>
    </row>
    <row r="36" customFormat="false" ht="12.75" hidden="false" customHeight="true" outlineLevel="0" collapsed="false">
      <c r="A36" s="26"/>
      <c r="B36" s="27" t="s">
        <v>68</v>
      </c>
      <c r="C36" s="27"/>
      <c r="D36" s="27"/>
      <c r="E36" s="101" t="n">
        <v>0</v>
      </c>
      <c r="F36" s="27"/>
      <c r="G36" s="27"/>
      <c r="H36" s="27"/>
      <c r="I36" s="27"/>
      <c r="J36" s="42"/>
      <c r="K36" s="88"/>
      <c r="L36" s="89"/>
      <c r="M36" s="88"/>
      <c r="N36" s="90"/>
      <c r="T36" s="91"/>
    </row>
    <row r="37" customFormat="false" ht="12.75" hidden="false" customHeight="true" outlineLevel="0" collapsed="false">
      <c r="A37" s="26"/>
      <c r="B37" s="27" t="s">
        <v>69</v>
      </c>
      <c r="C37" s="27"/>
      <c r="D37" s="27"/>
      <c r="E37" s="101" t="n">
        <v>0</v>
      </c>
      <c r="F37" s="27"/>
      <c r="G37" s="27"/>
      <c r="H37" s="27"/>
      <c r="I37" s="27"/>
      <c r="J37" s="42"/>
      <c r="K37" s="88"/>
      <c r="L37" s="89"/>
      <c r="M37" s="88"/>
      <c r="N37" s="90"/>
      <c r="T37" s="91"/>
    </row>
    <row r="38" customFormat="false" ht="12.75" hidden="false" customHeight="true" outlineLevel="0" collapsed="false">
      <c r="A38" s="26"/>
      <c r="B38" s="27" t="s">
        <v>70</v>
      </c>
      <c r="C38" s="27"/>
      <c r="D38" s="27"/>
      <c r="E38" s="101" t="n">
        <v>0</v>
      </c>
      <c r="F38" s="27"/>
      <c r="G38" s="27"/>
      <c r="H38" s="27"/>
      <c r="I38" s="27"/>
      <c r="J38" s="42"/>
      <c r="K38" s="88"/>
      <c r="L38" s="89"/>
      <c r="M38" s="88"/>
      <c r="N38" s="90"/>
      <c r="T38" s="91"/>
    </row>
    <row r="39" customFormat="false" ht="12.75" hidden="false" customHeight="true" outlineLevel="0" collapsed="false">
      <c r="A39" s="69"/>
      <c r="B39" s="34"/>
      <c r="C39" s="34"/>
      <c r="D39" s="34"/>
      <c r="E39" s="34"/>
      <c r="F39" s="34"/>
      <c r="G39" s="34"/>
      <c r="H39" s="34"/>
      <c r="I39" s="34"/>
      <c r="J39" s="51"/>
      <c r="K39" s="73"/>
      <c r="L39" s="102"/>
      <c r="M39" s="73"/>
      <c r="N39" s="74"/>
      <c r="T39" s="91"/>
    </row>
    <row r="40" customFormat="false" ht="12.75" hidden="false" customHeight="true" outlineLevel="0" collapsed="false">
      <c r="A40" s="53" t="s">
        <v>71</v>
      </c>
      <c r="B40" s="56"/>
      <c r="C40" s="56"/>
      <c r="D40" s="34"/>
      <c r="E40" s="34"/>
      <c r="F40" s="34"/>
      <c r="G40" s="34"/>
      <c r="H40" s="34"/>
      <c r="I40" s="34"/>
      <c r="J40" s="103" t="s">
        <v>72</v>
      </c>
      <c r="K40" s="60" t="n">
        <f aca="false">SUM($E$35:$E$38)</f>
        <v>0</v>
      </c>
      <c r="L40" s="60"/>
      <c r="M40" s="21"/>
      <c r="N40" s="62"/>
      <c r="T40" s="91"/>
    </row>
    <row r="41" customFormat="false" ht="12.75" hidden="false" customHeight="true" outlineLevel="0" collapsed="false">
      <c r="A41" s="69" t="s">
        <v>73</v>
      </c>
      <c r="B41" s="34"/>
      <c r="C41" s="34"/>
      <c r="D41" s="34"/>
      <c r="E41" s="34"/>
      <c r="F41" s="34"/>
      <c r="G41" s="34"/>
      <c r="H41" s="34"/>
      <c r="I41" s="34"/>
      <c r="J41" s="51"/>
      <c r="K41" s="73"/>
      <c r="L41" s="102"/>
      <c r="M41" s="73"/>
      <c r="N41" s="74"/>
      <c r="T41" s="91"/>
    </row>
    <row r="42" customFormat="false" ht="12.75" hidden="false" customHeight="true" outlineLevel="0" collapsed="false">
      <c r="A42" s="69"/>
      <c r="B42" s="34" t="s">
        <v>74</v>
      </c>
      <c r="C42" s="34"/>
      <c r="D42" s="34"/>
      <c r="E42" s="34"/>
      <c r="F42" s="34"/>
      <c r="G42" s="34"/>
      <c r="H42" s="34"/>
      <c r="I42" s="34"/>
      <c r="J42" s="51"/>
      <c r="K42" s="60" t="n">
        <v>4000</v>
      </c>
      <c r="L42" s="60"/>
      <c r="M42" s="21"/>
      <c r="N42" s="62"/>
      <c r="T42" s="91"/>
    </row>
    <row r="43" customFormat="false" ht="12.75" hidden="false" customHeight="true" outlineLevel="0" collapsed="false">
      <c r="A43" s="69"/>
      <c r="B43" s="34" t="s">
        <v>75</v>
      </c>
      <c r="C43" s="34"/>
      <c r="D43" s="34"/>
      <c r="E43" s="34"/>
      <c r="F43" s="34"/>
      <c r="G43" s="34"/>
      <c r="H43" s="34"/>
      <c r="I43" s="34"/>
      <c r="J43" s="51"/>
      <c r="K43" s="60" t="n">
        <v>0</v>
      </c>
      <c r="L43" s="60"/>
      <c r="M43" s="21"/>
      <c r="N43" s="62"/>
      <c r="T43" s="91"/>
    </row>
    <row r="44" customFormat="false" ht="12.75" hidden="false" customHeight="true" outlineLevel="0" collapsed="false">
      <c r="A44" s="69"/>
      <c r="B44" s="34" t="s">
        <v>76</v>
      </c>
      <c r="C44" s="34"/>
      <c r="D44" s="34"/>
      <c r="E44" s="34"/>
      <c r="F44" s="34"/>
      <c r="G44" s="34"/>
      <c r="H44" s="34"/>
      <c r="I44" s="34"/>
      <c r="J44" s="51"/>
      <c r="K44" s="60" t="n">
        <v>0</v>
      </c>
      <c r="L44" s="60"/>
      <c r="M44" s="21"/>
      <c r="N44" s="62"/>
      <c r="P44" s="104" t="s">
        <v>77</v>
      </c>
      <c r="R44" s="105" t="s">
        <v>78</v>
      </c>
      <c r="T44" s="91"/>
    </row>
    <row r="45" customFormat="false" ht="12.75" hidden="false" customHeight="true" outlineLevel="0" collapsed="false">
      <c r="A45" s="69"/>
      <c r="B45" s="34" t="s">
        <v>79</v>
      </c>
      <c r="C45" s="34"/>
      <c r="D45" s="34"/>
      <c r="E45" s="34"/>
      <c r="F45" s="34"/>
      <c r="G45" s="34"/>
      <c r="H45" s="34"/>
      <c r="I45" s="34"/>
      <c r="J45" s="51"/>
      <c r="K45" s="60" t="n">
        <v>0</v>
      </c>
      <c r="L45" s="60"/>
      <c r="M45" s="21"/>
      <c r="N45" s="62"/>
      <c r="P45" s="104" t="s">
        <v>80</v>
      </c>
      <c r="Q45" s="106" t="s">
        <v>81</v>
      </c>
      <c r="R45" s="105" t="s">
        <v>82</v>
      </c>
      <c r="T45" s="91"/>
    </row>
    <row r="46" customFormat="false" ht="12.75" hidden="false" customHeight="true" outlineLevel="0" collapsed="false">
      <c r="A46" s="69"/>
      <c r="B46" s="34" t="s">
        <v>83</v>
      </c>
      <c r="C46" s="34"/>
      <c r="D46" s="34"/>
      <c r="E46" s="34"/>
      <c r="F46" s="34"/>
      <c r="G46" s="34"/>
      <c r="H46" s="34"/>
      <c r="I46" s="34"/>
      <c r="J46" s="51"/>
      <c r="K46" s="60" t="n">
        <f aca="false">SUM(Q46:Q49)</f>
        <v>0</v>
      </c>
      <c r="L46" s="60"/>
      <c r="M46" s="21"/>
      <c r="N46" s="62"/>
      <c r="P46" s="107" t="s">
        <v>84</v>
      </c>
      <c r="Q46" s="108"/>
      <c r="R46" s="105" t="s">
        <v>85</v>
      </c>
      <c r="T46" s="91"/>
    </row>
    <row r="47" customFormat="false" ht="12.75" hidden="false" customHeight="true" outlineLevel="0" collapsed="false">
      <c r="A47" s="69"/>
      <c r="B47" s="34" t="s">
        <v>86</v>
      </c>
      <c r="C47" s="34"/>
      <c r="D47" s="34"/>
      <c r="E47" s="34"/>
      <c r="F47" s="80"/>
      <c r="G47" s="34"/>
      <c r="H47" s="34"/>
      <c r="I47" s="34"/>
      <c r="J47" s="51"/>
      <c r="K47" s="60" t="n">
        <f aca="false">Q53+Q54</f>
        <v>0</v>
      </c>
      <c r="L47" s="60"/>
      <c r="M47" s="21"/>
      <c r="N47" s="62"/>
      <c r="P47" s="109" t="s">
        <v>87</v>
      </c>
      <c r="Q47" s="110"/>
      <c r="R47" s="111" t="n">
        <f aca="false">IF(Q46&gt;=25000,"25,000",Q46)</f>
        <v>0</v>
      </c>
      <c r="T47" s="91"/>
    </row>
    <row r="48" customFormat="false" ht="12.75" hidden="false" customHeight="true" outlineLevel="0" collapsed="false">
      <c r="A48" s="69"/>
      <c r="B48" s="34"/>
      <c r="C48" s="34" t="s">
        <v>88</v>
      </c>
      <c r="D48" s="34"/>
      <c r="E48" s="34"/>
      <c r="F48" s="34"/>
      <c r="G48" s="34"/>
      <c r="H48" s="34"/>
      <c r="I48" s="34"/>
      <c r="J48" s="51"/>
      <c r="K48" s="60" t="n">
        <f aca="false">SUM(K$42:K$47)</f>
        <v>4000</v>
      </c>
      <c r="L48" s="60"/>
      <c r="M48" s="21"/>
      <c r="N48" s="62"/>
      <c r="P48" s="109" t="s">
        <v>89</v>
      </c>
      <c r="Q48" s="110"/>
      <c r="R48" s="111" t="n">
        <f aca="false">IF(Q47&gt;=25000,"25,000",Q47)</f>
        <v>0</v>
      </c>
      <c r="T48" s="91"/>
    </row>
    <row r="49" customFormat="false" ht="12.75" hidden="false" customHeight="true" outlineLevel="0" collapsed="false">
      <c r="A49" s="69" t="s">
        <v>90</v>
      </c>
      <c r="B49" s="34"/>
      <c r="C49" s="34"/>
      <c r="D49" s="34"/>
      <c r="E49" s="34"/>
      <c r="F49" s="34"/>
      <c r="G49" s="34"/>
      <c r="H49" s="34"/>
      <c r="I49" s="34"/>
      <c r="J49" s="51"/>
      <c r="K49" s="60" t="n">
        <f aca="false">K$26+SUM(K$31:K$33)+K$40+K$48</f>
        <v>28973</v>
      </c>
      <c r="L49" s="60"/>
      <c r="M49" s="21"/>
      <c r="N49" s="62"/>
      <c r="P49" s="112" t="s">
        <v>91</v>
      </c>
      <c r="Q49" s="113"/>
      <c r="R49" s="111" t="n">
        <f aca="false">IF(Q48&gt;=25000,"25,000",Q48)</f>
        <v>0</v>
      </c>
      <c r="T49" s="91"/>
    </row>
    <row r="50" customFormat="false" ht="12.75" hidden="false" customHeight="true" outlineLevel="0" collapsed="false">
      <c r="A50" s="26" t="s">
        <v>92</v>
      </c>
      <c r="B50" s="27"/>
      <c r="C50" s="27"/>
      <c r="D50" s="27"/>
      <c r="E50" s="27"/>
      <c r="F50" s="27"/>
      <c r="G50" s="27"/>
      <c r="H50" s="27"/>
      <c r="I50" s="27"/>
      <c r="J50" s="42"/>
      <c r="K50" s="114"/>
      <c r="L50" s="115"/>
      <c r="M50" s="116"/>
      <c r="N50" s="117"/>
      <c r="O50" s="118"/>
      <c r="R50" s="111" t="n">
        <f aca="false">IF(Q49&gt;=25000,"25,000",Q49)</f>
        <v>0</v>
      </c>
      <c r="T50" s="91"/>
    </row>
    <row r="51" customFormat="false" ht="12.75" hidden="false" customHeight="true" outlineLevel="0" collapsed="false">
      <c r="A51" s="119" t="s">
        <v>93</v>
      </c>
      <c r="B51" s="119"/>
      <c r="C51" s="119"/>
      <c r="D51" s="119"/>
      <c r="E51" s="119"/>
      <c r="F51" s="119"/>
      <c r="G51" s="120" t="n">
        <f aca="false">IF(R47&gt;25000,"25000",R47)+IF(R48&gt;25000,"25000",R48)+IF(R49&gt;25000,"25000",R49)+IF(R50&gt;25000,"25000",R50)+K49-K31-K40-K46-Q53</f>
        <v>28973</v>
      </c>
      <c r="H51" s="120"/>
      <c r="I51" s="27"/>
      <c r="J51" s="42"/>
      <c r="K51" s="114"/>
      <c r="L51" s="115"/>
      <c r="M51" s="116"/>
      <c r="N51" s="117"/>
      <c r="O51" s="118"/>
      <c r="P51" s="121" t="s">
        <v>94</v>
      </c>
      <c r="T51" s="91"/>
    </row>
    <row r="52" customFormat="false" ht="12.75" hidden="false" customHeight="true" outlineLevel="0" collapsed="false">
      <c r="A52" s="69" t="s">
        <v>95</v>
      </c>
      <c r="B52" s="34"/>
      <c r="C52" s="34"/>
      <c r="D52" s="34"/>
      <c r="E52" s="34"/>
      <c r="F52" s="34"/>
      <c r="G52" s="85" t="s">
        <v>96</v>
      </c>
      <c r="H52" s="122" t="n">
        <f aca="false">IF(P17="Research Non-State On-Campus",0.48,IF(P17="Public Service Non-State On-Campus",0.35,IF(P17="Instruction Non-State On-Campus",0.49,IF(P17="Off-Campus Non-State",0.26,P18))))</f>
        <v>0.48</v>
      </c>
      <c r="I52" s="34"/>
      <c r="J52" s="51"/>
      <c r="K52" s="60" t="n">
        <f aca="false">ROUND($G$51 * $H$52,0)</f>
        <v>13907</v>
      </c>
      <c r="L52" s="60"/>
      <c r="M52" s="123"/>
      <c r="N52" s="124"/>
      <c r="O52" s="118"/>
      <c r="P52" s="121" t="s">
        <v>97</v>
      </c>
      <c r="Q52" s="125" t="s">
        <v>81</v>
      </c>
      <c r="T52" s="91"/>
    </row>
    <row r="53" customFormat="false" ht="12.75" hidden="false" customHeight="true" outlineLevel="0" collapsed="false">
      <c r="A53" s="69" t="s">
        <v>98</v>
      </c>
      <c r="B53" s="34"/>
      <c r="C53" s="34"/>
      <c r="D53" s="34"/>
      <c r="E53" s="34"/>
      <c r="F53" s="34"/>
      <c r="G53" s="34"/>
      <c r="H53" s="34"/>
      <c r="I53" s="34"/>
      <c r="J53" s="51"/>
      <c r="K53" s="60" t="n">
        <f aca="false">K$49+K$52</f>
        <v>42880</v>
      </c>
      <c r="L53" s="60"/>
      <c r="M53" s="21"/>
      <c r="N53" s="62"/>
      <c r="O53" s="118"/>
      <c r="P53" s="125" t="s">
        <v>99</v>
      </c>
      <c r="Q53" s="126" t="n">
        <f aca="false">K20*R54</f>
        <v>0</v>
      </c>
      <c r="R53" s="127"/>
      <c r="T53" s="91"/>
    </row>
    <row r="54" customFormat="false" ht="12.75" hidden="false" customHeight="true" outlineLevel="0" collapsed="false">
      <c r="A54" s="69" t="s">
        <v>100</v>
      </c>
      <c r="B54" s="34"/>
      <c r="C54" s="34"/>
      <c r="D54" s="34"/>
      <c r="E54" s="34"/>
      <c r="F54" s="34"/>
      <c r="G54" s="34"/>
      <c r="H54" s="34"/>
      <c r="I54" s="34"/>
      <c r="J54" s="51"/>
      <c r="K54" s="60"/>
      <c r="L54" s="60"/>
      <c r="M54" s="21"/>
      <c r="N54" s="62"/>
      <c r="O54" s="128"/>
      <c r="P54" s="125" t="s">
        <v>101</v>
      </c>
      <c r="Q54" s="129" t="n">
        <v>0</v>
      </c>
      <c r="R54" s="95" t="n">
        <v>0.36</v>
      </c>
      <c r="T54" s="91"/>
    </row>
    <row r="55" customFormat="false" ht="12.75" hidden="false" customHeight="true" outlineLevel="0" collapsed="false">
      <c r="A55" s="130" t="s">
        <v>102</v>
      </c>
      <c r="B55" s="36"/>
      <c r="C55" s="36"/>
      <c r="D55" s="36"/>
      <c r="E55" s="36"/>
      <c r="F55" s="36"/>
      <c r="G55" s="36"/>
      <c r="H55" s="36"/>
      <c r="I55" s="36"/>
      <c r="J55" s="37"/>
      <c r="K55" s="131" t="n">
        <f aca="false">K$53-K$54</f>
        <v>42880</v>
      </c>
      <c r="L55" s="131"/>
      <c r="M55" s="132"/>
      <c r="N55" s="133"/>
      <c r="O55" s="118"/>
      <c r="T55" s="91"/>
    </row>
    <row r="56" customFormat="false" ht="12.75" hidden="false" customHeight="true" outlineLevel="0" collapsed="false">
      <c r="A56" s="130" t="s">
        <v>103</v>
      </c>
      <c r="B56" s="36"/>
      <c r="C56" s="36"/>
      <c r="D56" s="36"/>
      <c r="E56" s="36"/>
      <c r="F56" s="132" t="n">
        <v>0</v>
      </c>
      <c r="G56" s="134" t="s">
        <v>104</v>
      </c>
      <c r="H56" s="36"/>
      <c r="I56" s="36"/>
      <c r="J56" s="38"/>
      <c r="K56" s="132"/>
      <c r="L56" s="132"/>
      <c r="M56" s="38"/>
      <c r="N56" s="135"/>
      <c r="T56" s="91"/>
    </row>
    <row r="57" customFormat="false" ht="12.75" hidden="false" customHeight="true" outlineLevel="0" collapsed="false">
      <c r="A57" s="26" t="s">
        <v>105</v>
      </c>
      <c r="B57" s="27"/>
      <c r="C57" s="27"/>
      <c r="D57" s="27"/>
      <c r="E57" s="27"/>
      <c r="F57" s="42"/>
      <c r="G57" s="32" t="s">
        <v>106</v>
      </c>
      <c r="H57" s="136" t="s">
        <v>2</v>
      </c>
      <c r="I57" s="136"/>
      <c r="J57" s="136"/>
      <c r="K57" s="136"/>
      <c r="L57" s="136"/>
      <c r="M57" s="136"/>
      <c r="N57" s="136"/>
      <c r="T57" s="91"/>
    </row>
    <row r="58" customFormat="false" ht="12.75" hidden="false" customHeight="true" outlineLevel="0" collapsed="false">
      <c r="A58" s="69" t="str">
        <f aca="false">A6</f>
        <v>William Riley Casper</v>
      </c>
      <c r="B58" s="34"/>
      <c r="C58" s="34"/>
      <c r="D58" s="34"/>
      <c r="E58" s="34"/>
      <c r="F58" s="56"/>
      <c r="G58" s="137"/>
      <c r="H58" s="62" t="s">
        <v>107</v>
      </c>
      <c r="I58" s="62"/>
      <c r="J58" s="62"/>
      <c r="K58" s="62"/>
      <c r="L58" s="62"/>
      <c r="M58" s="62"/>
      <c r="N58" s="62"/>
      <c r="T58" s="91"/>
    </row>
    <row r="59" customFormat="false" ht="12.75" hidden="false" customHeight="true" outlineLevel="0" collapsed="false">
      <c r="A59" s="26" t="s">
        <v>108</v>
      </c>
      <c r="B59" s="27"/>
      <c r="C59" s="27"/>
      <c r="D59" s="27"/>
      <c r="E59" s="27"/>
      <c r="F59" s="42"/>
      <c r="G59" s="32" t="s">
        <v>106</v>
      </c>
      <c r="H59" s="31" t="s">
        <v>109</v>
      </c>
      <c r="I59" s="31"/>
      <c r="J59" s="31" t="s">
        <v>110</v>
      </c>
      <c r="K59" s="31"/>
      <c r="L59" s="31"/>
      <c r="M59" s="138" t="s">
        <v>111</v>
      </c>
      <c r="N59" s="138"/>
      <c r="T59" s="91"/>
    </row>
    <row r="60" customFormat="false" ht="12.75" hidden="false" customHeight="true" outlineLevel="0" collapsed="false">
      <c r="A60" s="130" t="s">
        <v>112</v>
      </c>
      <c r="B60" s="36"/>
      <c r="C60" s="36"/>
      <c r="D60" s="36"/>
      <c r="E60" s="36"/>
      <c r="F60" s="37"/>
      <c r="G60" s="40"/>
      <c r="H60" s="36"/>
      <c r="I60" s="37"/>
      <c r="J60" s="36"/>
      <c r="K60" s="36"/>
      <c r="L60" s="37"/>
      <c r="M60" s="36"/>
      <c r="N60" s="40"/>
      <c r="T60" s="91"/>
    </row>
    <row r="61" customFormat="false" ht="12.75" hidden="false" customHeight="true" outlineLevel="0" collapsed="false">
      <c r="A61" s="139" t="s">
        <v>113</v>
      </c>
      <c r="B61" s="139"/>
      <c r="C61" s="139"/>
      <c r="D61" s="139"/>
      <c r="E61" s="140"/>
      <c r="F61" s="139"/>
      <c r="N61" s="141"/>
      <c r="T61" s="91"/>
    </row>
    <row r="62" customFormat="false" ht="16.5" hidden="false" customHeight="true" outlineLevel="0" collapsed="false">
      <c r="A62" s="3"/>
      <c r="B62" s="2"/>
      <c r="C62" s="2"/>
      <c r="D62" s="4"/>
      <c r="E62" s="5"/>
      <c r="F62" s="6"/>
      <c r="G62" s="7"/>
      <c r="H62" s="8"/>
      <c r="L62" s="9" t="s">
        <v>114</v>
      </c>
      <c r="T62" s="91"/>
    </row>
    <row r="63" customFormat="false" ht="16" hidden="false" customHeight="false" outlineLevel="0" collapsed="false">
      <c r="A63" s="11" t="s">
        <v>1</v>
      </c>
      <c r="B63" s="11"/>
      <c r="C63" s="11"/>
      <c r="D63" s="11"/>
      <c r="E63" s="11"/>
      <c r="F63" s="11"/>
      <c r="G63" s="11"/>
      <c r="H63" s="11"/>
      <c r="I63" s="12" t="s">
        <v>2</v>
      </c>
      <c r="J63" s="12"/>
      <c r="K63" s="12"/>
      <c r="L63" s="12"/>
      <c r="M63" s="12"/>
      <c r="N63" s="12"/>
      <c r="T63" s="91"/>
    </row>
    <row r="64" customFormat="false" ht="12.75" hidden="false" customHeight="true" outlineLevel="0" collapsed="false">
      <c r="A64" s="13" t="s">
        <v>3</v>
      </c>
      <c r="B64" s="14"/>
      <c r="C64" s="14"/>
      <c r="D64" s="14"/>
      <c r="E64" s="14"/>
      <c r="F64" s="14"/>
      <c r="G64" s="14"/>
      <c r="H64" s="14"/>
      <c r="I64" s="15" t="s">
        <v>4</v>
      </c>
      <c r="J64" s="15"/>
      <c r="K64" s="15"/>
      <c r="L64" s="16" t="s">
        <v>5</v>
      </c>
      <c r="M64" s="16"/>
      <c r="N64" s="16"/>
      <c r="T64" s="91"/>
    </row>
    <row r="65" customFormat="false" ht="12.75" hidden="false" customHeight="true" outlineLevel="0" collapsed="false">
      <c r="A65" s="17" t="s">
        <v>6</v>
      </c>
      <c r="B65" s="18"/>
      <c r="C65" s="19"/>
      <c r="D65" s="19"/>
      <c r="E65" s="19"/>
      <c r="F65" s="19"/>
      <c r="G65" s="19"/>
      <c r="H65" s="20"/>
      <c r="I65" s="21"/>
      <c r="J65" s="21"/>
      <c r="K65" s="22"/>
      <c r="L65" s="22" t="s">
        <v>7</v>
      </c>
      <c r="M65" s="22"/>
      <c r="N65" s="23" t="s">
        <v>8</v>
      </c>
      <c r="T65" s="91"/>
    </row>
    <row r="66" customFormat="false" ht="13.5" hidden="false" customHeight="false" outlineLevel="0" collapsed="false">
      <c r="A66" s="26" t="s">
        <v>9</v>
      </c>
      <c r="B66" s="27"/>
      <c r="C66" s="27"/>
      <c r="D66" s="27"/>
      <c r="E66" s="27"/>
      <c r="F66" s="27"/>
      <c r="G66" s="27"/>
      <c r="H66" s="27"/>
      <c r="I66" s="28" t="s">
        <v>10</v>
      </c>
      <c r="J66" s="28"/>
      <c r="K66" s="29"/>
      <c r="L66" s="30"/>
      <c r="M66" s="31"/>
      <c r="N66" s="32"/>
      <c r="T66" s="91"/>
    </row>
    <row r="67" customFormat="false" ht="14" hidden="false" customHeight="false" outlineLevel="0" collapsed="false">
      <c r="A67" s="33" t="str">
        <f aca="false">A6</f>
        <v>William Riley Casper</v>
      </c>
      <c r="B67" s="18"/>
      <c r="C67" s="34"/>
      <c r="D67" s="34"/>
      <c r="E67" s="34"/>
      <c r="F67" s="34"/>
      <c r="G67" s="34"/>
      <c r="H67" s="34"/>
      <c r="I67" s="35"/>
      <c r="J67" s="36"/>
      <c r="K67" s="37"/>
      <c r="L67" s="38"/>
      <c r="M67" s="39"/>
      <c r="N67" s="40"/>
      <c r="T67" s="91"/>
    </row>
    <row r="68" customFormat="false" ht="13.5" hidden="false" customHeight="false" outlineLevel="0" collapsed="false">
      <c r="A68" s="26" t="s">
        <v>12</v>
      </c>
      <c r="B68" s="27"/>
      <c r="C68" s="27"/>
      <c r="D68" s="27"/>
      <c r="E68" s="41"/>
      <c r="F68" s="27"/>
      <c r="G68" s="42"/>
      <c r="H68" s="43" t="s">
        <v>13</v>
      </c>
      <c r="I68" s="43"/>
      <c r="J68" s="43"/>
      <c r="K68" s="43" t="s">
        <v>14</v>
      </c>
      <c r="L68" s="43"/>
      <c r="M68" s="44" t="s">
        <v>14</v>
      </c>
      <c r="N68" s="44"/>
      <c r="T68" s="91"/>
    </row>
    <row r="69" customFormat="false" ht="13.5" hidden="false" customHeight="false" outlineLevel="0" collapsed="false">
      <c r="A69" s="26"/>
      <c r="B69" s="41" t="s">
        <v>16</v>
      </c>
      <c r="C69" s="27"/>
      <c r="D69" s="27"/>
      <c r="E69" s="27"/>
      <c r="F69" s="27"/>
      <c r="G69" s="42"/>
      <c r="H69" s="47" t="s">
        <v>17</v>
      </c>
      <c r="I69" s="47"/>
      <c r="J69" s="47"/>
      <c r="K69" s="43" t="s">
        <v>18</v>
      </c>
      <c r="L69" s="43"/>
      <c r="M69" s="44" t="s">
        <v>19</v>
      </c>
      <c r="N69" s="44"/>
      <c r="T69" s="91"/>
    </row>
    <row r="70" customFormat="false" ht="13.5" hidden="false" customHeight="false" outlineLevel="0" collapsed="false">
      <c r="A70" s="49"/>
      <c r="B70" s="50"/>
      <c r="C70" s="21"/>
      <c r="D70" s="34"/>
      <c r="E70" s="34"/>
      <c r="F70" s="34"/>
      <c r="G70" s="51"/>
      <c r="H70" s="22" t="s">
        <v>20</v>
      </c>
      <c r="I70" s="22" t="s">
        <v>21</v>
      </c>
      <c r="J70" s="22" t="s">
        <v>22</v>
      </c>
      <c r="K70" s="47" t="s">
        <v>23</v>
      </c>
      <c r="L70" s="47"/>
      <c r="M70" s="52" t="s">
        <v>24</v>
      </c>
      <c r="N70" s="52"/>
      <c r="T70" s="91"/>
    </row>
    <row r="71" customFormat="false" ht="12.75" hidden="false" customHeight="true" outlineLevel="0" collapsed="false">
      <c r="A71" s="53" t="s">
        <v>26</v>
      </c>
      <c r="B71" s="54"/>
      <c r="C71" s="56" t="str">
        <f aca="false">A6</f>
        <v>William Riley Casper</v>
      </c>
      <c r="D71" s="56"/>
      <c r="E71" s="56"/>
      <c r="F71" s="56"/>
      <c r="G71" s="57"/>
      <c r="H71" s="58"/>
      <c r="I71" s="58"/>
      <c r="J71" s="58"/>
      <c r="K71" s="60" t="n">
        <f aca="false">IF($P$13&gt;=2,ROUND(K10+(K10*$P$8),0),0)</f>
        <v>12258</v>
      </c>
      <c r="L71" s="60"/>
      <c r="M71" s="61"/>
      <c r="N71" s="62"/>
      <c r="P71" s="142" t="s">
        <v>115</v>
      </c>
      <c r="T71" s="91"/>
    </row>
    <row r="72" customFormat="false" ht="12.75" hidden="false" customHeight="true" outlineLevel="0" collapsed="false">
      <c r="A72" s="53" t="s">
        <v>28</v>
      </c>
      <c r="B72" s="63"/>
      <c r="C72" s="56" t="str">
        <f aca="false">IF(C11="","",C11)</f>
        <v/>
      </c>
      <c r="D72" s="56"/>
      <c r="E72" s="56"/>
      <c r="F72" s="56"/>
      <c r="G72" s="64"/>
      <c r="H72" s="58"/>
      <c r="I72" s="58"/>
      <c r="J72" s="58"/>
      <c r="K72" s="60" t="n">
        <f aca="false">IF($P$13&gt;=2,ROUND(K11+(K11*$P$8),0),0)</f>
        <v>0</v>
      </c>
      <c r="L72" s="60"/>
      <c r="M72" s="21"/>
      <c r="N72" s="62"/>
      <c r="P72" s="143" t="n">
        <f aca="false">IF($P$13&gt;1,P15+(12*31),"")</f>
        <v>44355</v>
      </c>
      <c r="T72" s="91"/>
    </row>
    <row r="73" customFormat="false" ht="12.75" hidden="false" customHeight="true" outlineLevel="0" collapsed="false">
      <c r="A73" s="53" t="s">
        <v>29</v>
      </c>
      <c r="B73" s="56"/>
      <c r="C73" s="56" t="str">
        <f aca="false">IF(C12="","",C12)</f>
        <v/>
      </c>
      <c r="D73" s="56"/>
      <c r="E73" s="56"/>
      <c r="F73" s="56"/>
      <c r="G73" s="64"/>
      <c r="H73" s="58"/>
      <c r="I73" s="58"/>
      <c r="J73" s="58"/>
      <c r="K73" s="60" t="n">
        <f aca="false">IF($P$13&gt;=2,ROUND(K12+(K12*$P$8),0),0)</f>
        <v>0</v>
      </c>
      <c r="L73" s="60"/>
      <c r="M73" s="21"/>
      <c r="N73" s="62"/>
      <c r="P73" s="45"/>
      <c r="T73" s="91"/>
    </row>
    <row r="74" customFormat="false" ht="12.75" hidden="false" customHeight="true" outlineLevel="0" collapsed="false">
      <c r="A74" s="53" t="s">
        <v>31</v>
      </c>
      <c r="B74" s="56"/>
      <c r="C74" s="56" t="str">
        <f aca="false">IF(C13="","",C13)</f>
        <v/>
      </c>
      <c r="D74" s="56"/>
      <c r="E74" s="56"/>
      <c r="F74" s="56"/>
      <c r="G74" s="64"/>
      <c r="H74" s="58"/>
      <c r="I74" s="58"/>
      <c r="J74" s="58"/>
      <c r="K74" s="60" t="n">
        <f aca="false">IF($P$13&gt;=2,ROUND(K13+(K13*$P$8),0),0)</f>
        <v>0</v>
      </c>
      <c r="L74" s="60"/>
      <c r="M74" s="21"/>
      <c r="N74" s="62"/>
      <c r="P74" s="83"/>
      <c r="T74" s="91"/>
    </row>
    <row r="75" customFormat="false" ht="12.75" hidden="false" customHeight="true" outlineLevel="0" collapsed="false">
      <c r="A75" s="53" t="s">
        <v>32</v>
      </c>
      <c r="B75" s="56"/>
      <c r="C75" s="56" t="str">
        <f aca="false">IF(C14="","",C14)</f>
        <v/>
      </c>
      <c r="D75" s="56"/>
      <c r="E75" s="56"/>
      <c r="F75" s="56"/>
      <c r="G75" s="64"/>
      <c r="H75" s="58"/>
      <c r="I75" s="58"/>
      <c r="J75" s="58"/>
      <c r="K75" s="60" t="n">
        <f aca="false">IF($P$13&gt;=2,ROUND(K14+(K14*$P$8),0),0)</f>
        <v>0</v>
      </c>
      <c r="L75" s="60"/>
      <c r="M75" s="21"/>
      <c r="N75" s="62"/>
      <c r="P75" s="121" t="s">
        <v>54</v>
      </c>
      <c r="T75" s="91"/>
    </row>
    <row r="76" customFormat="false" ht="12.75" hidden="false" customHeight="true" outlineLevel="0" collapsed="false">
      <c r="A76" s="53" t="s">
        <v>34</v>
      </c>
      <c r="B76" s="50"/>
      <c r="C76" s="34" t="s">
        <v>35</v>
      </c>
      <c r="D76" s="34"/>
      <c r="E76" s="34"/>
      <c r="F76" s="34"/>
      <c r="G76" s="51"/>
      <c r="H76" s="58"/>
      <c r="I76" s="58"/>
      <c r="J76" s="58"/>
      <c r="K76" s="60" t="n">
        <f aca="false">IF($P$13&gt;=2,ROUND(K15+(K15*$P$8),0),0)</f>
        <v>0</v>
      </c>
      <c r="L76" s="60"/>
      <c r="M76" s="21"/>
      <c r="N76" s="62"/>
      <c r="P76" s="87" t="n">
        <v>0</v>
      </c>
      <c r="T76" s="91"/>
    </row>
    <row r="77" customFormat="false" ht="12.75" hidden="false" customHeight="true" outlineLevel="0" collapsed="false">
      <c r="A77" s="53" t="s">
        <v>36</v>
      </c>
      <c r="B77" s="50"/>
      <c r="C77" s="34" t="s">
        <v>37</v>
      </c>
      <c r="D77" s="34"/>
      <c r="E77" s="34"/>
      <c r="F77" s="34"/>
      <c r="G77" s="51"/>
      <c r="H77" s="58"/>
      <c r="I77" s="58"/>
      <c r="J77" s="58"/>
      <c r="K77" s="60" t="n">
        <f aca="false">SUM(K$71:K$76)</f>
        <v>12258</v>
      </c>
      <c r="L77" s="60"/>
      <c r="M77" s="21"/>
      <c r="N77" s="62"/>
      <c r="T77" s="91"/>
    </row>
    <row r="78" customFormat="false" ht="12.75" hidden="false" customHeight="true" outlineLevel="0" collapsed="false">
      <c r="A78" s="69" t="s">
        <v>39</v>
      </c>
      <c r="B78" s="34"/>
      <c r="C78" s="34"/>
      <c r="D78" s="34"/>
      <c r="E78" s="34"/>
      <c r="F78" s="34"/>
      <c r="G78" s="51"/>
      <c r="H78" s="144"/>
      <c r="I78" s="144"/>
      <c r="J78" s="144"/>
      <c r="K78" s="145"/>
      <c r="L78" s="146"/>
      <c r="M78" s="147"/>
      <c r="N78" s="148"/>
      <c r="P78" s="0" t="s">
        <v>59</v>
      </c>
      <c r="T78" s="91"/>
    </row>
    <row r="79" customFormat="false" ht="12.75" hidden="false" customHeight="true" outlineLevel="0" collapsed="false">
      <c r="A79" s="53" t="s">
        <v>41</v>
      </c>
      <c r="B79" s="50"/>
      <c r="C79" s="34" t="s">
        <v>42</v>
      </c>
      <c r="D79" s="34"/>
      <c r="E79" s="34"/>
      <c r="F79" s="34"/>
      <c r="G79" s="51"/>
      <c r="H79" s="58"/>
      <c r="I79" s="58"/>
      <c r="J79" s="58"/>
      <c r="K79" s="60" t="n">
        <f aca="false">IF($P$13&gt;=2,ROUND(K18+(K18*$P$8),0),0)</f>
        <v>0</v>
      </c>
      <c r="L79" s="60"/>
      <c r="M79" s="21"/>
      <c r="N79" s="62"/>
      <c r="P79" s="95" t="n">
        <f aca="false">IF(P72="","",0.44)</f>
        <v>0.44</v>
      </c>
      <c r="Q79" s="0" t="s">
        <v>60</v>
      </c>
      <c r="T79" s="91"/>
    </row>
    <row r="80" customFormat="false" ht="12.75" hidden="false" customHeight="true" outlineLevel="0" collapsed="false">
      <c r="A80" s="53" t="s">
        <v>44</v>
      </c>
      <c r="B80" s="50"/>
      <c r="C80" s="34" t="s">
        <v>45</v>
      </c>
      <c r="D80" s="34"/>
      <c r="E80" s="34"/>
      <c r="F80" s="34"/>
      <c r="G80" s="34"/>
      <c r="H80" s="78"/>
      <c r="I80" s="78"/>
      <c r="J80" s="79"/>
      <c r="K80" s="60" t="n">
        <f aca="false">IF($P$13&gt;=2,ROUND(K19+(K19*$P$8),0),0)</f>
        <v>0</v>
      </c>
      <c r="L80" s="60"/>
      <c r="M80" s="21"/>
      <c r="N80" s="62"/>
      <c r="P80" s="97" t="n">
        <f aca="false">IF(P72="","",0.0765)</f>
        <v>0.0765</v>
      </c>
      <c r="Q80" s="0" t="s">
        <v>61</v>
      </c>
      <c r="T80" s="91"/>
    </row>
    <row r="81" customFormat="false" ht="12.75" hidden="false" customHeight="true" outlineLevel="0" collapsed="false">
      <c r="A81" s="53" t="s">
        <v>46</v>
      </c>
      <c r="B81" s="50"/>
      <c r="C81" s="56" t="s">
        <v>47</v>
      </c>
      <c r="D81" s="34"/>
      <c r="E81" s="34"/>
      <c r="F81" s="80"/>
      <c r="G81" s="34"/>
      <c r="H81" s="81"/>
      <c r="I81" s="81"/>
      <c r="J81" s="82"/>
      <c r="K81" s="60" t="n">
        <f aca="false">IF($P$13&gt;=2,ROUND(K20+(K20*$P$8),0),0)</f>
        <v>0</v>
      </c>
      <c r="L81" s="60"/>
      <c r="M81" s="21"/>
      <c r="N81" s="62"/>
      <c r="T81" s="91"/>
    </row>
    <row r="82" customFormat="false" ht="12.75" hidden="false" customHeight="true" outlineLevel="0" collapsed="false">
      <c r="A82" s="53" t="s">
        <v>48</v>
      </c>
      <c r="B82" s="50"/>
      <c r="C82" s="56" t="s">
        <v>49</v>
      </c>
      <c r="D82" s="34"/>
      <c r="E82" s="34"/>
      <c r="F82" s="80"/>
      <c r="G82" s="34"/>
      <c r="H82" s="81"/>
      <c r="I82" s="81"/>
      <c r="J82" s="82"/>
      <c r="K82" s="60" t="n">
        <f aca="false">IF($P$13&gt;=2,ROUND(K21+(K21*$P$8),0),0)</f>
        <v>0</v>
      </c>
      <c r="L82" s="60"/>
      <c r="M82" s="21"/>
      <c r="N82" s="62"/>
      <c r="T82" s="91"/>
    </row>
    <row r="83" customFormat="false" ht="12.75" hidden="false" customHeight="true" outlineLevel="0" collapsed="false">
      <c r="A83" s="53" t="s">
        <v>50</v>
      </c>
      <c r="B83" s="50"/>
      <c r="C83" s="56" t="s">
        <v>51</v>
      </c>
      <c r="D83" s="34"/>
      <c r="E83" s="34"/>
      <c r="F83" s="34"/>
      <c r="G83" s="34"/>
      <c r="H83" s="34"/>
      <c r="I83" s="34"/>
      <c r="J83" s="51"/>
      <c r="K83" s="60" t="n">
        <f aca="false">IF($P$13&gt;=2,ROUND(K22+(K22*$P$8),0),0)</f>
        <v>0</v>
      </c>
      <c r="L83" s="60"/>
      <c r="M83" s="21"/>
      <c r="N83" s="62"/>
      <c r="T83" s="91"/>
    </row>
    <row r="84" customFormat="false" ht="12.75" hidden="false" customHeight="true" outlineLevel="0" collapsed="false">
      <c r="A84" s="53" t="s">
        <v>34</v>
      </c>
      <c r="B84" s="50"/>
      <c r="C84" s="56" t="s">
        <v>52</v>
      </c>
      <c r="D84" s="34"/>
      <c r="E84" s="34"/>
      <c r="F84" s="34"/>
      <c r="G84" s="34"/>
      <c r="H84" s="34"/>
      <c r="I84" s="34"/>
      <c r="J84" s="51"/>
      <c r="K84" s="60" t="n">
        <f aca="false">IF($P$13&gt;=2,ROUND(K23+(K23*$P$8),0),0)</f>
        <v>0</v>
      </c>
      <c r="L84" s="60"/>
      <c r="M84" s="21"/>
      <c r="N84" s="62"/>
      <c r="T84" s="91"/>
    </row>
    <row r="85" customFormat="false" ht="12.75" hidden="false" customHeight="true" outlineLevel="0" collapsed="false">
      <c r="A85" s="53"/>
      <c r="B85" s="56" t="s">
        <v>53</v>
      </c>
      <c r="C85" s="56"/>
      <c r="D85" s="34"/>
      <c r="E85" s="34"/>
      <c r="F85" s="34"/>
      <c r="G85" s="34"/>
      <c r="H85" s="34"/>
      <c r="I85" s="34"/>
      <c r="J85" s="51"/>
      <c r="K85" s="60" t="n">
        <f aca="false">K$77+SUM(K$79:K$84)</f>
        <v>12258</v>
      </c>
      <c r="L85" s="60"/>
      <c r="M85" s="21"/>
      <c r="N85" s="62"/>
      <c r="T85" s="91"/>
    </row>
    <row r="86" customFormat="false" ht="12.75" hidden="false" customHeight="true" outlineLevel="0" collapsed="false">
      <c r="A86" s="69" t="s">
        <v>55</v>
      </c>
      <c r="B86" s="34"/>
      <c r="C86" s="34"/>
      <c r="D86" s="34"/>
      <c r="E86" s="34"/>
      <c r="F86" s="34"/>
      <c r="G86" s="85" t="s">
        <v>56</v>
      </c>
      <c r="H86" s="86"/>
      <c r="I86" s="34"/>
      <c r="J86" s="51"/>
      <c r="K86" s="68" t="n">
        <f aca="false">IF(P72="",0,ROUND(((K85-K82-K81-P76)*P79)+(P76*P80),0))</f>
        <v>5394</v>
      </c>
      <c r="L86" s="68"/>
      <c r="M86" s="21"/>
      <c r="N86" s="62"/>
      <c r="T86" s="91"/>
    </row>
    <row r="87" customFormat="false" ht="12.75" hidden="false" customHeight="true" outlineLevel="0" collapsed="false">
      <c r="A87" s="69"/>
      <c r="B87" s="56" t="s">
        <v>57</v>
      </c>
      <c r="C87" s="34"/>
      <c r="D87" s="34"/>
      <c r="E87" s="34"/>
      <c r="F87" s="34"/>
      <c r="G87" s="34"/>
      <c r="H87" s="34"/>
      <c r="I87" s="34"/>
      <c r="J87" s="51"/>
      <c r="K87" s="60" t="n">
        <f aca="false">K$85+K$86</f>
        <v>17652</v>
      </c>
      <c r="L87" s="60"/>
      <c r="M87" s="21"/>
      <c r="N87" s="62"/>
      <c r="T87" s="91"/>
    </row>
    <row r="88" customFormat="false" ht="12.75" hidden="false" customHeight="true" outlineLevel="0" collapsed="false">
      <c r="A88" s="26" t="s">
        <v>58</v>
      </c>
      <c r="B88" s="27"/>
      <c r="C88" s="27"/>
      <c r="D88" s="27"/>
      <c r="E88" s="27"/>
      <c r="F88" s="27"/>
      <c r="G88" s="27"/>
      <c r="H88" s="27"/>
      <c r="I88" s="27"/>
      <c r="J88" s="42"/>
      <c r="K88" s="116"/>
      <c r="L88" s="149"/>
      <c r="M88" s="116"/>
      <c r="N88" s="117"/>
      <c r="T88" s="91"/>
    </row>
    <row r="89" customFormat="false" ht="12.75" hidden="false" customHeight="true" outlineLevel="0" collapsed="false">
      <c r="A89" s="26"/>
      <c r="B89" s="92"/>
      <c r="C89" s="93"/>
      <c r="D89" s="27"/>
      <c r="E89" s="27"/>
      <c r="F89" s="27"/>
      <c r="G89" s="27"/>
      <c r="H89" s="94"/>
      <c r="I89" s="30"/>
      <c r="J89" s="42"/>
      <c r="K89" s="116"/>
      <c r="L89" s="149"/>
      <c r="M89" s="116"/>
      <c r="N89" s="117"/>
      <c r="T89" s="91"/>
    </row>
    <row r="90" customFormat="false" ht="12.75" hidden="false" customHeight="true" outlineLevel="0" collapsed="false">
      <c r="A90" s="26"/>
      <c r="B90" s="96"/>
      <c r="C90" s="27"/>
      <c r="D90" s="27"/>
      <c r="E90" s="27"/>
      <c r="F90" s="27"/>
      <c r="G90" s="27"/>
      <c r="H90" s="27"/>
      <c r="I90" s="27"/>
      <c r="J90" s="42"/>
      <c r="K90" s="116"/>
      <c r="L90" s="149"/>
      <c r="M90" s="116"/>
      <c r="N90" s="117"/>
      <c r="T90" s="91"/>
    </row>
    <row r="91" customFormat="false" ht="12.75" hidden="false" customHeight="true" outlineLevel="0" collapsed="false">
      <c r="A91" s="26"/>
      <c r="B91" s="27"/>
      <c r="C91" s="27"/>
      <c r="D91" s="27"/>
      <c r="E91" s="27"/>
      <c r="F91" s="27"/>
      <c r="G91" s="27"/>
      <c r="H91" s="27"/>
      <c r="I91" s="27"/>
      <c r="J91" s="42"/>
      <c r="K91" s="116"/>
      <c r="L91" s="149"/>
      <c r="M91" s="116"/>
      <c r="N91" s="117"/>
      <c r="T91" s="91"/>
    </row>
    <row r="92" customFormat="false" ht="12.75" hidden="false" customHeight="true" outlineLevel="0" collapsed="false">
      <c r="A92" s="69"/>
      <c r="B92" s="56" t="s">
        <v>62</v>
      </c>
      <c r="C92" s="34"/>
      <c r="D92" s="34"/>
      <c r="E92" s="34"/>
      <c r="F92" s="34"/>
      <c r="G92" s="34"/>
      <c r="H92" s="34"/>
      <c r="I92" s="34"/>
      <c r="J92" s="51"/>
      <c r="K92" s="60"/>
      <c r="L92" s="60"/>
      <c r="M92" s="98"/>
      <c r="N92" s="99"/>
      <c r="T92" s="91"/>
    </row>
    <row r="93" customFormat="false" ht="12.75" hidden="false" customHeight="true" outlineLevel="0" collapsed="false">
      <c r="A93" s="69" t="s">
        <v>63</v>
      </c>
      <c r="B93" s="34"/>
      <c r="C93" s="34"/>
      <c r="D93" s="34" t="s">
        <v>64</v>
      </c>
      <c r="E93" s="34"/>
      <c r="F93" s="34"/>
      <c r="G93" s="34"/>
      <c r="H93" s="34"/>
      <c r="I93" s="34"/>
      <c r="J93" s="51"/>
      <c r="K93" s="60" t="n">
        <f aca="false">IF($P$13&gt;=2,ROUND(K32+(K32*$P$11),0),0)</f>
        <v>4000</v>
      </c>
      <c r="L93" s="60"/>
      <c r="M93" s="21"/>
      <c r="N93" s="62"/>
      <c r="T93" s="91"/>
    </row>
    <row r="94" customFormat="false" ht="12.75" hidden="false" customHeight="true" outlineLevel="0" collapsed="false">
      <c r="A94" s="69"/>
      <c r="B94" s="34"/>
      <c r="C94" s="34"/>
      <c r="D94" s="34" t="s">
        <v>65</v>
      </c>
      <c r="E94" s="34"/>
      <c r="F94" s="34"/>
      <c r="G94" s="34"/>
      <c r="H94" s="34"/>
      <c r="I94" s="34"/>
      <c r="J94" s="51"/>
      <c r="K94" s="60" t="n">
        <f aca="false">IF($P$13&gt;=2,ROUND(K33+(K33*$P$11),0),0)</f>
        <v>4000</v>
      </c>
      <c r="L94" s="60"/>
      <c r="M94" s="21"/>
      <c r="N94" s="62"/>
      <c r="T94" s="91"/>
    </row>
    <row r="95" customFormat="false" ht="12.75" hidden="false" customHeight="true" outlineLevel="0" collapsed="false">
      <c r="A95" s="26" t="s">
        <v>66</v>
      </c>
      <c r="B95" s="27"/>
      <c r="C95" s="27"/>
      <c r="D95" s="27"/>
      <c r="E95" s="27"/>
      <c r="F95" s="27"/>
      <c r="G95" s="27"/>
      <c r="H95" s="27"/>
      <c r="I95" s="27"/>
      <c r="J95" s="42"/>
      <c r="K95" s="116"/>
      <c r="L95" s="149"/>
      <c r="M95" s="116"/>
      <c r="N95" s="117"/>
      <c r="T95" s="91"/>
    </row>
    <row r="96" customFormat="false" ht="12.75" hidden="false" customHeight="true" outlineLevel="0" collapsed="false">
      <c r="A96" s="26"/>
      <c r="B96" s="27" t="s">
        <v>67</v>
      </c>
      <c r="C96" s="27"/>
      <c r="D96" s="100"/>
      <c r="E96" s="101"/>
      <c r="F96" s="27"/>
      <c r="G96" s="27"/>
      <c r="H96" s="27"/>
      <c r="I96" s="27"/>
      <c r="J96" s="42"/>
      <c r="K96" s="116"/>
      <c r="L96" s="149"/>
      <c r="M96" s="116"/>
      <c r="N96" s="117"/>
      <c r="T96" s="91"/>
    </row>
    <row r="97" customFormat="false" ht="12.75" hidden="false" customHeight="true" outlineLevel="0" collapsed="false">
      <c r="A97" s="26"/>
      <c r="B97" s="27" t="s">
        <v>68</v>
      </c>
      <c r="C97" s="27"/>
      <c r="D97" s="27"/>
      <c r="E97" s="101"/>
      <c r="F97" s="27"/>
      <c r="G97" s="27"/>
      <c r="H97" s="27"/>
      <c r="I97" s="27"/>
      <c r="J97" s="42"/>
      <c r="K97" s="116"/>
      <c r="L97" s="149"/>
      <c r="M97" s="116"/>
      <c r="N97" s="117"/>
      <c r="T97" s="91"/>
    </row>
    <row r="98" customFormat="false" ht="12.75" hidden="false" customHeight="true" outlineLevel="0" collapsed="false">
      <c r="A98" s="26"/>
      <c r="B98" s="27" t="s">
        <v>69</v>
      </c>
      <c r="C98" s="27"/>
      <c r="D98" s="27"/>
      <c r="E98" s="101"/>
      <c r="F98" s="27"/>
      <c r="G98" s="27"/>
      <c r="H98" s="27"/>
      <c r="I98" s="27"/>
      <c r="J98" s="42"/>
      <c r="K98" s="116"/>
      <c r="L98" s="149"/>
      <c r="M98" s="116"/>
      <c r="N98" s="117"/>
      <c r="T98" s="91"/>
    </row>
    <row r="99" customFormat="false" ht="12.75" hidden="false" customHeight="true" outlineLevel="0" collapsed="false">
      <c r="A99" s="26"/>
      <c r="B99" s="27" t="s">
        <v>70</v>
      </c>
      <c r="C99" s="27"/>
      <c r="D99" s="27"/>
      <c r="E99" s="101"/>
      <c r="F99" s="27"/>
      <c r="G99" s="27"/>
      <c r="H99" s="27"/>
      <c r="I99" s="27"/>
      <c r="J99" s="42"/>
      <c r="K99" s="116"/>
      <c r="L99" s="149"/>
      <c r="M99" s="116"/>
      <c r="N99" s="117"/>
      <c r="T99" s="91"/>
    </row>
    <row r="100" customFormat="false" ht="12.75" hidden="false" customHeight="true" outlineLevel="0" collapsed="false">
      <c r="A100" s="69"/>
      <c r="B100" s="34"/>
      <c r="C100" s="34"/>
      <c r="D100" s="34"/>
      <c r="E100" s="34"/>
      <c r="F100" s="34"/>
      <c r="G100" s="34"/>
      <c r="H100" s="34"/>
      <c r="I100" s="34"/>
      <c r="J100" s="51"/>
      <c r="K100" s="147"/>
      <c r="L100" s="150"/>
      <c r="M100" s="147"/>
      <c r="N100" s="148"/>
      <c r="T100" s="91"/>
    </row>
    <row r="101" customFormat="false" ht="12.75" hidden="false" customHeight="true" outlineLevel="0" collapsed="false">
      <c r="A101" s="53" t="s">
        <v>116</v>
      </c>
      <c r="B101" s="56"/>
      <c r="C101" s="56"/>
      <c r="D101" s="34"/>
      <c r="E101" s="34"/>
      <c r="F101" s="34"/>
      <c r="G101" s="34"/>
      <c r="H101" s="34"/>
      <c r="I101" s="34"/>
      <c r="J101" s="103" t="s">
        <v>72</v>
      </c>
      <c r="K101" s="60" t="n">
        <f aca="false">SUM($E$96:$E$99)</f>
        <v>0</v>
      </c>
      <c r="L101" s="60"/>
      <c r="M101" s="21"/>
      <c r="N101" s="62"/>
      <c r="T101" s="91"/>
    </row>
    <row r="102" customFormat="false" ht="12.75" hidden="false" customHeight="true" outlineLevel="0" collapsed="false">
      <c r="A102" s="69" t="s">
        <v>73</v>
      </c>
      <c r="B102" s="34"/>
      <c r="C102" s="34"/>
      <c r="D102" s="34"/>
      <c r="E102" s="34"/>
      <c r="F102" s="34"/>
      <c r="G102" s="34"/>
      <c r="H102" s="34"/>
      <c r="I102" s="34"/>
      <c r="J102" s="51"/>
      <c r="K102" s="147"/>
      <c r="L102" s="150"/>
      <c r="M102" s="147"/>
      <c r="N102" s="148"/>
      <c r="T102" s="91"/>
    </row>
    <row r="103" customFormat="false" ht="12.75" hidden="false" customHeight="true" outlineLevel="0" collapsed="false">
      <c r="A103" s="69"/>
      <c r="B103" s="34" t="s">
        <v>74</v>
      </c>
      <c r="C103" s="34"/>
      <c r="D103" s="34"/>
      <c r="E103" s="34"/>
      <c r="F103" s="34"/>
      <c r="G103" s="34"/>
      <c r="H103" s="34"/>
      <c r="I103" s="34"/>
      <c r="J103" s="51"/>
      <c r="K103" s="60" t="n">
        <v>1000</v>
      </c>
      <c r="L103" s="60"/>
      <c r="M103" s="21"/>
      <c r="N103" s="62"/>
      <c r="T103" s="91"/>
    </row>
    <row r="104" customFormat="false" ht="12.75" hidden="false" customHeight="true" outlineLevel="0" collapsed="false">
      <c r="A104" s="69"/>
      <c r="B104" s="34" t="s">
        <v>75</v>
      </c>
      <c r="C104" s="34"/>
      <c r="D104" s="34"/>
      <c r="E104" s="34"/>
      <c r="F104" s="34"/>
      <c r="G104" s="34"/>
      <c r="H104" s="34"/>
      <c r="I104" s="34"/>
      <c r="J104" s="51"/>
      <c r="K104" s="60" t="n">
        <f aca="false">IF($P$13&gt;=2,ROUND(K43+(K43*$P$11),0),0)</f>
        <v>0</v>
      </c>
      <c r="L104" s="60"/>
      <c r="M104" s="21"/>
      <c r="N104" s="62"/>
      <c r="T104" s="91"/>
    </row>
    <row r="105" customFormat="false" ht="12.75" hidden="false" customHeight="true" outlineLevel="0" collapsed="false">
      <c r="A105" s="69"/>
      <c r="B105" s="34" t="s">
        <v>76</v>
      </c>
      <c r="C105" s="34"/>
      <c r="D105" s="34"/>
      <c r="E105" s="34"/>
      <c r="F105" s="34"/>
      <c r="G105" s="34"/>
      <c r="H105" s="34"/>
      <c r="I105" s="34"/>
      <c r="J105" s="51"/>
      <c r="K105" s="60" t="n">
        <f aca="false">IF($P$13&gt;=2,ROUND(K44+(K44*$P$11),0),0)</f>
        <v>0</v>
      </c>
      <c r="L105" s="60"/>
      <c r="M105" s="21"/>
      <c r="N105" s="62"/>
      <c r="P105" s="104" t="s">
        <v>77</v>
      </c>
      <c r="R105" s="105" t="s">
        <v>78</v>
      </c>
      <c r="T105" s="91"/>
    </row>
    <row r="106" customFormat="false" ht="12.75" hidden="false" customHeight="true" outlineLevel="0" collapsed="false">
      <c r="A106" s="69"/>
      <c r="B106" s="34" t="s">
        <v>79</v>
      </c>
      <c r="C106" s="34"/>
      <c r="D106" s="34"/>
      <c r="E106" s="34"/>
      <c r="F106" s="34"/>
      <c r="G106" s="34"/>
      <c r="H106" s="34"/>
      <c r="I106" s="34"/>
      <c r="J106" s="51"/>
      <c r="K106" s="60" t="n">
        <f aca="false">IF($P$13&gt;=2,ROUND(K45+(K45*$P$11),0),0)</f>
        <v>0</v>
      </c>
      <c r="L106" s="60"/>
      <c r="M106" s="21"/>
      <c r="N106" s="62"/>
      <c r="P106" s="104" t="s">
        <v>80</v>
      </c>
      <c r="Q106" s="106" t="s">
        <v>117</v>
      </c>
      <c r="R106" s="105" t="s">
        <v>82</v>
      </c>
      <c r="T106" s="91"/>
    </row>
    <row r="107" customFormat="false" ht="12.75" hidden="false" customHeight="true" outlineLevel="0" collapsed="false">
      <c r="A107" s="69"/>
      <c r="B107" s="34" t="s">
        <v>83</v>
      </c>
      <c r="C107" s="34"/>
      <c r="D107" s="34"/>
      <c r="E107" s="34"/>
      <c r="F107" s="34"/>
      <c r="G107" s="34"/>
      <c r="H107" s="34"/>
      <c r="I107" s="34"/>
      <c r="J107" s="51"/>
      <c r="K107" s="60" t="n">
        <f aca="false">SUM(Q107:Q110)</f>
        <v>0</v>
      </c>
      <c r="L107" s="60"/>
      <c r="M107" s="21"/>
      <c r="N107" s="62"/>
      <c r="P107" s="107" t="s">
        <v>84</v>
      </c>
      <c r="Q107" s="108"/>
      <c r="R107" s="105" t="s">
        <v>85</v>
      </c>
      <c r="T107" s="91"/>
    </row>
    <row r="108" customFormat="false" ht="12.75" hidden="false" customHeight="true" outlineLevel="0" collapsed="false">
      <c r="A108" s="69"/>
      <c r="B108" s="34" t="s">
        <v>86</v>
      </c>
      <c r="C108" s="34"/>
      <c r="D108" s="34"/>
      <c r="E108" s="34"/>
      <c r="F108" s="80"/>
      <c r="G108" s="34"/>
      <c r="H108" s="34"/>
      <c r="I108" s="34"/>
      <c r="J108" s="51"/>
      <c r="K108" s="60" t="n">
        <f aca="false">Q114+Q115</f>
        <v>0</v>
      </c>
      <c r="L108" s="60"/>
      <c r="M108" s="21"/>
      <c r="N108" s="62"/>
      <c r="P108" s="109" t="s">
        <v>87</v>
      </c>
      <c r="Q108" s="110"/>
      <c r="R108" s="111" t="n">
        <f aca="false">IF(Q107+R47&gt;=25000,25000-R47,Q107)</f>
        <v>0</v>
      </c>
      <c r="T108" s="91"/>
    </row>
    <row r="109" customFormat="false" ht="12.75" hidden="false" customHeight="true" outlineLevel="0" collapsed="false">
      <c r="A109" s="69"/>
      <c r="B109" s="34"/>
      <c r="C109" s="34" t="s">
        <v>88</v>
      </c>
      <c r="D109" s="34"/>
      <c r="E109" s="34"/>
      <c r="F109" s="34"/>
      <c r="G109" s="34"/>
      <c r="H109" s="34"/>
      <c r="I109" s="34"/>
      <c r="J109" s="51"/>
      <c r="K109" s="60" t="n">
        <f aca="false">SUM(K$103:K$108)</f>
        <v>1000</v>
      </c>
      <c r="L109" s="60"/>
      <c r="M109" s="21"/>
      <c r="N109" s="62"/>
      <c r="P109" s="109" t="s">
        <v>89</v>
      </c>
      <c r="Q109" s="110"/>
      <c r="R109" s="111" t="n">
        <f aca="false">IF(Q108+R48&gt;=25000,25000-R48,Q108)</f>
        <v>0</v>
      </c>
      <c r="T109" s="91"/>
    </row>
    <row r="110" customFormat="false" ht="12.75" hidden="false" customHeight="true" outlineLevel="0" collapsed="false">
      <c r="A110" s="69" t="s">
        <v>90</v>
      </c>
      <c r="B110" s="34"/>
      <c r="C110" s="34"/>
      <c r="D110" s="34"/>
      <c r="E110" s="34"/>
      <c r="F110" s="34"/>
      <c r="G110" s="34"/>
      <c r="H110" s="34"/>
      <c r="I110" s="34"/>
      <c r="J110" s="51"/>
      <c r="K110" s="60" t="n">
        <f aca="false">K$87+SUM(K$92:K$94)+K$101+K$109</f>
        <v>26652</v>
      </c>
      <c r="L110" s="60"/>
      <c r="M110" s="21"/>
      <c r="N110" s="62"/>
      <c r="P110" s="112" t="s">
        <v>91</v>
      </c>
      <c r="Q110" s="113"/>
      <c r="R110" s="111" t="n">
        <f aca="false">IF(Q109+R49&gt;=25000,25000-R49,Q109)</f>
        <v>0</v>
      </c>
      <c r="T110" s="91"/>
    </row>
    <row r="111" customFormat="false" ht="12.75" hidden="false" customHeight="true" outlineLevel="0" collapsed="false">
      <c r="A111" s="26" t="s">
        <v>92</v>
      </c>
      <c r="B111" s="27"/>
      <c r="C111" s="27"/>
      <c r="D111" s="27"/>
      <c r="E111" s="27"/>
      <c r="F111" s="27"/>
      <c r="G111" s="27"/>
      <c r="H111" s="27"/>
      <c r="I111" s="27"/>
      <c r="J111" s="42"/>
      <c r="K111" s="114"/>
      <c r="L111" s="115"/>
      <c r="M111" s="116"/>
      <c r="N111" s="117"/>
      <c r="R111" s="111" t="n">
        <f aca="false">IF(Q110+R50&gt;=25000,25000-R50,Q110)</f>
        <v>0</v>
      </c>
      <c r="T111" s="91"/>
    </row>
    <row r="112" customFormat="false" ht="12.75" hidden="false" customHeight="true" outlineLevel="0" collapsed="false">
      <c r="A112" s="119" t="s">
        <v>93</v>
      </c>
      <c r="B112" s="119"/>
      <c r="C112" s="119"/>
      <c r="D112" s="119"/>
      <c r="E112" s="119"/>
      <c r="F112" s="119"/>
      <c r="G112" s="120" t="n">
        <f aca="false">IF(R108&gt;25000,"25000",R108)+IF(R109&gt;25000,"25000",R109)+IF(R110&gt;25000,"25000",R110)+IF(R111&gt;25000,"25000",R111)+K110-K92-K101-K107-Q114</f>
        <v>26652</v>
      </c>
      <c r="H112" s="120"/>
      <c r="I112" s="27"/>
      <c r="J112" s="42"/>
      <c r="K112" s="114"/>
      <c r="L112" s="115"/>
      <c r="M112" s="116"/>
      <c r="N112" s="117"/>
      <c r="P112" s="121" t="s">
        <v>94</v>
      </c>
      <c r="T112" s="91"/>
    </row>
    <row r="113" customFormat="false" ht="12.75" hidden="false" customHeight="true" outlineLevel="0" collapsed="false">
      <c r="A113" s="69" t="s">
        <v>95</v>
      </c>
      <c r="B113" s="34"/>
      <c r="C113" s="34"/>
      <c r="D113" s="34"/>
      <c r="E113" s="34"/>
      <c r="F113" s="34"/>
      <c r="G113" s="85" t="s">
        <v>96</v>
      </c>
      <c r="H113" s="122" t="n">
        <f aca="false">IF(P13&gt;1,H52,0)</f>
        <v>0.48</v>
      </c>
      <c r="I113" s="34"/>
      <c r="J113" s="51"/>
      <c r="K113" s="60" t="n">
        <f aca="false">ROUND($G$112 * $H$113,0)</f>
        <v>12793</v>
      </c>
      <c r="L113" s="60"/>
      <c r="M113" s="123"/>
      <c r="N113" s="124"/>
      <c r="P113" s="121" t="s">
        <v>97</v>
      </c>
      <c r="Q113" s="125" t="s">
        <v>117</v>
      </c>
      <c r="T113" s="91"/>
    </row>
    <row r="114" customFormat="false" ht="12.75" hidden="false" customHeight="true" outlineLevel="0" collapsed="false">
      <c r="A114" s="69" t="s">
        <v>98</v>
      </c>
      <c r="B114" s="34"/>
      <c r="C114" s="34"/>
      <c r="D114" s="34"/>
      <c r="E114" s="34"/>
      <c r="F114" s="34"/>
      <c r="G114" s="34"/>
      <c r="H114" s="34"/>
      <c r="I114" s="34"/>
      <c r="J114" s="51"/>
      <c r="K114" s="60" t="n">
        <f aca="false">K$110+K$113</f>
        <v>39445</v>
      </c>
      <c r="L114" s="60"/>
      <c r="M114" s="21"/>
      <c r="N114" s="62"/>
      <c r="P114" s="125" t="s">
        <v>99</v>
      </c>
      <c r="Q114" s="129" t="n">
        <f aca="false">IF(P72="",0,ROUND(K81*R115,0))</f>
        <v>0</v>
      </c>
      <c r="T114" s="91"/>
    </row>
    <row r="115" customFormat="false" ht="12.75" hidden="false" customHeight="true" outlineLevel="0" collapsed="false">
      <c r="A115" s="69" t="s">
        <v>100</v>
      </c>
      <c r="B115" s="34"/>
      <c r="C115" s="34"/>
      <c r="D115" s="34"/>
      <c r="E115" s="34"/>
      <c r="F115" s="34"/>
      <c r="G115" s="34"/>
      <c r="H115" s="34"/>
      <c r="I115" s="34"/>
      <c r="J115" s="51"/>
      <c r="K115" s="60"/>
      <c r="L115" s="60"/>
      <c r="M115" s="21"/>
      <c r="N115" s="62"/>
      <c r="P115" s="125" t="s">
        <v>101</v>
      </c>
      <c r="Q115" s="129" t="n">
        <f aca="false">IF($P$13&gt;=2,ROUND(Q54+(Q54*$P$11),0),0)</f>
        <v>0</v>
      </c>
      <c r="R115" s="95" t="n">
        <f aca="false">IF(P72="","",0.36)</f>
        <v>0.36</v>
      </c>
      <c r="T115" s="91"/>
    </row>
    <row r="116" customFormat="false" ht="12.75" hidden="false" customHeight="true" outlineLevel="0" collapsed="false">
      <c r="A116" s="130" t="s">
        <v>102</v>
      </c>
      <c r="B116" s="36"/>
      <c r="C116" s="36"/>
      <c r="D116" s="36"/>
      <c r="E116" s="36"/>
      <c r="F116" s="36"/>
      <c r="G116" s="36"/>
      <c r="H116" s="36"/>
      <c r="I116" s="36"/>
      <c r="J116" s="37"/>
      <c r="K116" s="131" t="n">
        <f aca="false">K$114-K$115</f>
        <v>39445</v>
      </c>
      <c r="L116" s="131"/>
      <c r="M116" s="132"/>
      <c r="N116" s="133"/>
      <c r="P116" s="151"/>
      <c r="Q116" s="152"/>
      <c r="T116" s="91"/>
    </row>
    <row r="117" customFormat="false" ht="12.75" hidden="false" customHeight="true" outlineLevel="0" collapsed="false">
      <c r="A117" s="130" t="s">
        <v>103</v>
      </c>
      <c r="B117" s="36"/>
      <c r="C117" s="36"/>
      <c r="D117" s="36"/>
      <c r="E117" s="36"/>
      <c r="F117" s="132" t="n">
        <f aca="false">F56</f>
        <v>0</v>
      </c>
      <c r="G117" s="134" t="s">
        <v>104</v>
      </c>
      <c r="H117" s="36"/>
      <c r="I117" s="36"/>
      <c r="J117" s="38"/>
      <c r="K117" s="132"/>
      <c r="L117" s="132"/>
      <c r="M117" s="38"/>
      <c r="N117" s="135"/>
      <c r="P117" s="151"/>
      <c r="Q117" s="152"/>
      <c r="T117" s="91"/>
    </row>
    <row r="118" customFormat="false" ht="12.75" hidden="false" customHeight="true" outlineLevel="0" collapsed="false">
      <c r="A118" s="26" t="s">
        <v>105</v>
      </c>
      <c r="B118" s="27"/>
      <c r="C118" s="27"/>
      <c r="D118" s="27"/>
      <c r="E118" s="27"/>
      <c r="F118" s="42"/>
      <c r="G118" s="32" t="s">
        <v>106</v>
      </c>
      <c r="H118" s="136" t="s">
        <v>2</v>
      </c>
      <c r="I118" s="136"/>
      <c r="J118" s="136"/>
      <c r="K118" s="136"/>
      <c r="L118" s="136"/>
      <c r="M118" s="136"/>
      <c r="N118" s="136"/>
      <c r="P118" s="151"/>
      <c r="Q118" s="152"/>
      <c r="T118" s="91"/>
    </row>
    <row r="119" customFormat="false" ht="12.75" hidden="false" customHeight="true" outlineLevel="0" collapsed="false">
      <c r="A119" s="69" t="str">
        <f aca="false">A6</f>
        <v>William Riley Casper</v>
      </c>
      <c r="B119" s="34"/>
      <c r="C119" s="34"/>
      <c r="D119" s="34"/>
      <c r="E119" s="34"/>
      <c r="F119" s="56"/>
      <c r="G119" s="137"/>
      <c r="H119" s="62" t="s">
        <v>107</v>
      </c>
      <c r="I119" s="62"/>
      <c r="J119" s="62"/>
      <c r="K119" s="62"/>
      <c r="L119" s="62"/>
      <c r="M119" s="62"/>
      <c r="N119" s="62"/>
      <c r="P119" s="151"/>
      <c r="Q119" s="152"/>
      <c r="T119" s="91"/>
    </row>
    <row r="120" customFormat="false" ht="12.75" hidden="false" customHeight="true" outlineLevel="0" collapsed="false">
      <c r="A120" s="26" t="s">
        <v>118</v>
      </c>
      <c r="B120" s="27"/>
      <c r="C120" s="27"/>
      <c r="D120" s="27"/>
      <c r="E120" s="27"/>
      <c r="F120" s="42"/>
      <c r="G120" s="32" t="s">
        <v>106</v>
      </c>
      <c r="H120" s="31" t="s">
        <v>109</v>
      </c>
      <c r="I120" s="31"/>
      <c r="J120" s="31" t="s">
        <v>110</v>
      </c>
      <c r="K120" s="31"/>
      <c r="L120" s="31"/>
      <c r="M120" s="138" t="s">
        <v>111</v>
      </c>
      <c r="N120" s="138"/>
      <c r="P120" s="151"/>
      <c r="Q120" s="152"/>
      <c r="T120" s="91"/>
    </row>
    <row r="121" customFormat="false" ht="12.75" hidden="false" customHeight="true" outlineLevel="0" collapsed="false">
      <c r="A121" s="130" t="str">
        <f aca="false">A60</f>
        <v>Darya Courville, Executive Director, Sponsored Programs</v>
      </c>
      <c r="B121" s="36"/>
      <c r="C121" s="36"/>
      <c r="D121" s="36"/>
      <c r="E121" s="36"/>
      <c r="F121" s="37"/>
      <c r="G121" s="40"/>
      <c r="H121" s="36"/>
      <c r="I121" s="37"/>
      <c r="J121" s="36"/>
      <c r="K121" s="36"/>
      <c r="L121" s="37"/>
      <c r="M121" s="36"/>
      <c r="N121" s="40"/>
      <c r="P121" s="151"/>
      <c r="Q121" s="152"/>
      <c r="T121" s="91"/>
    </row>
    <row r="122" customFormat="false" ht="12.75" hidden="false" customHeight="true" outlineLevel="0" collapsed="false">
      <c r="A122" s="139" t="s">
        <v>119</v>
      </c>
      <c r="B122" s="139"/>
      <c r="C122" s="139"/>
      <c r="D122" s="139"/>
      <c r="E122" s="140"/>
      <c r="F122" s="139"/>
      <c r="N122" s="141"/>
      <c r="P122" s="151"/>
      <c r="Q122" s="152"/>
      <c r="T122" s="91"/>
    </row>
    <row r="123" customFormat="false" ht="16" hidden="false" customHeight="false" outlineLevel="0" collapsed="false">
      <c r="A123" s="3"/>
      <c r="B123" s="2"/>
      <c r="C123" s="2"/>
      <c r="D123" s="4"/>
      <c r="E123" s="5"/>
      <c r="F123" s="6"/>
      <c r="G123" s="7"/>
      <c r="H123" s="8"/>
      <c r="L123" s="9" t="s">
        <v>120</v>
      </c>
      <c r="P123" s="151"/>
      <c r="Q123" s="152"/>
      <c r="T123" s="91"/>
    </row>
    <row r="124" customFormat="false" ht="16" hidden="false" customHeight="false" outlineLevel="0" collapsed="false">
      <c r="A124" s="11" t="s">
        <v>1</v>
      </c>
      <c r="B124" s="11"/>
      <c r="C124" s="11"/>
      <c r="D124" s="11"/>
      <c r="E124" s="11"/>
      <c r="F124" s="11"/>
      <c r="G124" s="11"/>
      <c r="H124" s="11"/>
      <c r="I124" s="12" t="s">
        <v>2</v>
      </c>
      <c r="J124" s="12"/>
      <c r="K124" s="12"/>
      <c r="L124" s="12"/>
      <c r="M124" s="12"/>
      <c r="N124" s="12"/>
      <c r="P124" s="151"/>
      <c r="Q124" s="152"/>
      <c r="T124" s="91"/>
    </row>
    <row r="125" customFormat="false" ht="13.5" hidden="false" customHeight="false" outlineLevel="0" collapsed="false">
      <c r="A125" s="13" t="s">
        <v>3</v>
      </c>
      <c r="B125" s="14"/>
      <c r="C125" s="14"/>
      <c r="D125" s="14"/>
      <c r="E125" s="14"/>
      <c r="F125" s="14"/>
      <c r="G125" s="14"/>
      <c r="H125" s="14"/>
      <c r="I125" s="15" t="s">
        <v>4</v>
      </c>
      <c r="J125" s="15"/>
      <c r="K125" s="15"/>
      <c r="L125" s="16" t="s">
        <v>5</v>
      </c>
      <c r="M125" s="16"/>
      <c r="N125" s="16"/>
      <c r="P125" s="151"/>
      <c r="Q125" s="152"/>
      <c r="T125" s="91"/>
    </row>
    <row r="126" customFormat="false" ht="13.5" hidden="false" customHeight="false" outlineLevel="0" collapsed="false">
      <c r="A126" s="17" t="s">
        <v>6</v>
      </c>
      <c r="B126" s="18"/>
      <c r="C126" s="19"/>
      <c r="D126" s="19"/>
      <c r="E126" s="19"/>
      <c r="F126" s="19"/>
      <c r="G126" s="19"/>
      <c r="H126" s="20"/>
      <c r="I126" s="21"/>
      <c r="J126" s="21"/>
      <c r="K126" s="22"/>
      <c r="L126" s="22" t="s">
        <v>7</v>
      </c>
      <c r="M126" s="22"/>
      <c r="N126" s="23" t="s">
        <v>8</v>
      </c>
      <c r="P126" s="151"/>
      <c r="Q126" s="152"/>
      <c r="T126" s="91"/>
    </row>
    <row r="127" customFormat="false" ht="13.5" hidden="false" customHeight="false" outlineLevel="0" collapsed="false">
      <c r="A127" s="26" t="s">
        <v>9</v>
      </c>
      <c r="B127" s="27"/>
      <c r="C127" s="27"/>
      <c r="D127" s="27"/>
      <c r="E127" s="27"/>
      <c r="F127" s="27"/>
      <c r="G127" s="27"/>
      <c r="H127" s="27"/>
      <c r="I127" s="28" t="s">
        <v>10</v>
      </c>
      <c r="J127" s="28"/>
      <c r="K127" s="29"/>
      <c r="L127" s="30"/>
      <c r="M127" s="31"/>
      <c r="N127" s="32"/>
      <c r="P127" s="151"/>
      <c r="Q127" s="152"/>
      <c r="T127" s="91"/>
    </row>
    <row r="128" customFormat="false" ht="14" hidden="false" customHeight="false" outlineLevel="0" collapsed="false">
      <c r="A128" s="33" t="str">
        <f aca="false">A6</f>
        <v>William Riley Casper</v>
      </c>
      <c r="B128" s="18"/>
      <c r="C128" s="34"/>
      <c r="D128" s="34"/>
      <c r="E128" s="34"/>
      <c r="F128" s="34"/>
      <c r="G128" s="34"/>
      <c r="H128" s="34"/>
      <c r="I128" s="35"/>
      <c r="J128" s="36"/>
      <c r="K128" s="37"/>
      <c r="L128" s="38"/>
      <c r="M128" s="39"/>
      <c r="N128" s="40"/>
      <c r="P128" s="151"/>
      <c r="Q128" s="152"/>
      <c r="T128" s="91"/>
    </row>
    <row r="129" customFormat="false" ht="13.5" hidden="false" customHeight="false" outlineLevel="0" collapsed="false">
      <c r="A129" s="26" t="s">
        <v>12</v>
      </c>
      <c r="B129" s="27"/>
      <c r="C129" s="27"/>
      <c r="D129" s="27"/>
      <c r="E129" s="41"/>
      <c r="F129" s="27"/>
      <c r="G129" s="42"/>
      <c r="H129" s="43" t="s">
        <v>13</v>
      </c>
      <c r="I129" s="43"/>
      <c r="J129" s="43"/>
      <c r="K129" s="43" t="s">
        <v>14</v>
      </c>
      <c r="L129" s="43"/>
      <c r="M129" s="44" t="s">
        <v>14</v>
      </c>
      <c r="N129" s="44"/>
      <c r="P129" s="151"/>
      <c r="Q129" s="152"/>
      <c r="T129" s="91"/>
    </row>
    <row r="130" customFormat="false" ht="13.5" hidden="false" customHeight="false" outlineLevel="0" collapsed="false">
      <c r="A130" s="26"/>
      <c r="B130" s="41" t="s">
        <v>16</v>
      </c>
      <c r="C130" s="27"/>
      <c r="D130" s="27"/>
      <c r="E130" s="27"/>
      <c r="F130" s="27"/>
      <c r="G130" s="42"/>
      <c r="H130" s="47" t="s">
        <v>17</v>
      </c>
      <c r="I130" s="47"/>
      <c r="J130" s="47"/>
      <c r="K130" s="43" t="s">
        <v>18</v>
      </c>
      <c r="L130" s="43"/>
      <c r="M130" s="44" t="s">
        <v>19</v>
      </c>
      <c r="N130" s="44"/>
      <c r="P130" s="151"/>
      <c r="Q130" s="152"/>
      <c r="T130" s="91"/>
    </row>
    <row r="131" customFormat="false" ht="13.5" hidden="false" customHeight="false" outlineLevel="0" collapsed="false">
      <c r="A131" s="49"/>
      <c r="B131" s="50"/>
      <c r="C131" s="21"/>
      <c r="D131" s="34"/>
      <c r="E131" s="34"/>
      <c r="F131" s="34"/>
      <c r="G131" s="51"/>
      <c r="H131" s="22" t="s">
        <v>20</v>
      </c>
      <c r="I131" s="22" t="s">
        <v>21</v>
      </c>
      <c r="J131" s="22" t="s">
        <v>22</v>
      </c>
      <c r="K131" s="47" t="s">
        <v>23</v>
      </c>
      <c r="L131" s="47"/>
      <c r="M131" s="52" t="s">
        <v>24</v>
      </c>
      <c r="N131" s="52"/>
      <c r="P131" s="151"/>
      <c r="Q131" s="152"/>
      <c r="T131" s="91"/>
    </row>
    <row r="132" customFormat="false" ht="12.75" hidden="false" customHeight="true" outlineLevel="0" collapsed="false">
      <c r="A132" s="53" t="s">
        <v>26</v>
      </c>
      <c r="B132" s="54"/>
      <c r="C132" s="56" t="str">
        <f aca="false">A67</f>
        <v>William Riley Casper</v>
      </c>
      <c r="D132" s="56"/>
      <c r="E132" s="56"/>
      <c r="F132" s="56"/>
      <c r="G132" s="57"/>
      <c r="H132" s="58"/>
      <c r="I132" s="58"/>
      <c r="J132" s="58"/>
      <c r="K132" s="60" t="n">
        <f aca="false">IF($P$13&gt;=3,ROUND(K71+(K71*$P$8),0),0)</f>
        <v>12748</v>
      </c>
      <c r="L132" s="60"/>
      <c r="M132" s="61"/>
      <c r="N132" s="62"/>
      <c r="P132" s="142" t="s">
        <v>121</v>
      </c>
      <c r="Q132" s="152"/>
      <c r="T132" s="91"/>
    </row>
    <row r="133" customFormat="false" ht="12.75" hidden="false" customHeight="true" outlineLevel="0" collapsed="false">
      <c r="A133" s="53" t="s">
        <v>28</v>
      </c>
      <c r="B133" s="63"/>
      <c r="C133" s="56" t="str">
        <f aca="false">IF(C11="","",C11)</f>
        <v/>
      </c>
      <c r="D133" s="56"/>
      <c r="E133" s="56"/>
      <c r="F133" s="56"/>
      <c r="G133" s="64"/>
      <c r="H133" s="58"/>
      <c r="I133" s="58"/>
      <c r="J133" s="58"/>
      <c r="K133" s="60" t="n">
        <f aca="false">IF($P$13&gt;=3,ROUND(K72+(K72*$P$8),0),0)</f>
        <v>0</v>
      </c>
      <c r="L133" s="60"/>
      <c r="M133" s="21"/>
      <c r="N133" s="62"/>
      <c r="P133" s="143" t="n">
        <f aca="false">IF($P$13&gt;2,P72+(12*31),"")</f>
        <v>44727</v>
      </c>
      <c r="Q133" s="151"/>
      <c r="T133" s="91"/>
    </row>
    <row r="134" customFormat="false" ht="12.75" hidden="false" customHeight="true" outlineLevel="0" collapsed="false">
      <c r="A134" s="53" t="s">
        <v>29</v>
      </c>
      <c r="B134" s="56"/>
      <c r="C134" s="56" t="str">
        <f aca="false">IF(C12="","",C12)</f>
        <v/>
      </c>
      <c r="D134" s="56"/>
      <c r="E134" s="56"/>
      <c r="F134" s="56"/>
      <c r="G134" s="64"/>
      <c r="H134" s="58"/>
      <c r="I134" s="58"/>
      <c r="J134" s="58"/>
      <c r="K134" s="60" t="n">
        <f aca="false">IF($P$13&gt;=3,ROUND(K73+(K73*$P$8),0),0)</f>
        <v>0</v>
      </c>
      <c r="L134" s="60"/>
      <c r="M134" s="21"/>
      <c r="N134" s="62"/>
      <c r="P134" s="45"/>
      <c r="T134" s="91"/>
    </row>
    <row r="135" customFormat="false" ht="12.75" hidden="false" customHeight="true" outlineLevel="0" collapsed="false">
      <c r="A135" s="53" t="s">
        <v>31</v>
      </c>
      <c r="B135" s="56"/>
      <c r="C135" s="56" t="str">
        <f aca="false">IF(C13="","",C13)</f>
        <v/>
      </c>
      <c r="D135" s="56"/>
      <c r="E135" s="56"/>
      <c r="F135" s="56"/>
      <c r="G135" s="64"/>
      <c r="H135" s="58"/>
      <c r="I135" s="58"/>
      <c r="J135" s="58"/>
      <c r="K135" s="60" t="n">
        <f aca="false">IF($P$13&gt;=3,ROUND(K74+(K74*$P$8),0),0)</f>
        <v>0</v>
      </c>
      <c r="L135" s="60"/>
      <c r="M135" s="21"/>
      <c r="N135" s="62"/>
      <c r="P135" s="83"/>
    </row>
    <row r="136" customFormat="false" ht="12.75" hidden="false" customHeight="true" outlineLevel="0" collapsed="false">
      <c r="A136" s="53" t="s">
        <v>32</v>
      </c>
      <c r="B136" s="56"/>
      <c r="C136" s="56" t="str">
        <f aca="false">IF(C14="","",C14)</f>
        <v/>
      </c>
      <c r="D136" s="56"/>
      <c r="E136" s="56"/>
      <c r="F136" s="56"/>
      <c r="G136" s="64"/>
      <c r="H136" s="58"/>
      <c r="I136" s="58"/>
      <c r="J136" s="58"/>
      <c r="K136" s="60" t="n">
        <f aca="false">IF($P$13&gt;=3,ROUND(K75+(K75*$P$8),0),0)</f>
        <v>0</v>
      </c>
      <c r="L136" s="60"/>
      <c r="M136" s="21"/>
      <c r="N136" s="62"/>
      <c r="P136" s="121" t="s">
        <v>54</v>
      </c>
    </row>
    <row r="137" customFormat="false" ht="12.75" hidden="false" customHeight="true" outlineLevel="0" collapsed="false">
      <c r="A137" s="53" t="s">
        <v>34</v>
      </c>
      <c r="B137" s="50"/>
      <c r="C137" s="34" t="s">
        <v>35</v>
      </c>
      <c r="D137" s="34"/>
      <c r="E137" s="34"/>
      <c r="F137" s="34"/>
      <c r="G137" s="51"/>
      <c r="H137" s="58"/>
      <c r="I137" s="58"/>
      <c r="J137" s="58"/>
      <c r="K137" s="60" t="n">
        <f aca="false">IF($P$13&gt;=3,ROUND(K76+(K76*$P$8),0),0)</f>
        <v>0</v>
      </c>
      <c r="L137" s="60"/>
      <c r="M137" s="21"/>
      <c r="N137" s="62"/>
      <c r="P137" s="87" t="n">
        <v>0</v>
      </c>
    </row>
    <row r="138" customFormat="false" ht="12.75" hidden="false" customHeight="true" outlineLevel="0" collapsed="false">
      <c r="A138" s="53" t="s">
        <v>36</v>
      </c>
      <c r="B138" s="50"/>
      <c r="C138" s="34" t="s">
        <v>37</v>
      </c>
      <c r="D138" s="34"/>
      <c r="E138" s="34"/>
      <c r="F138" s="34"/>
      <c r="G138" s="51"/>
      <c r="H138" s="58"/>
      <c r="I138" s="58"/>
      <c r="J138" s="58"/>
      <c r="K138" s="60" t="n">
        <f aca="false">SUM(K$132:K$137)</f>
        <v>12748</v>
      </c>
      <c r="L138" s="60"/>
      <c r="M138" s="21"/>
      <c r="N138" s="62"/>
    </row>
    <row r="139" customFormat="false" ht="12.75" hidden="false" customHeight="true" outlineLevel="0" collapsed="false">
      <c r="A139" s="69" t="s">
        <v>39</v>
      </c>
      <c r="B139" s="34"/>
      <c r="C139" s="34"/>
      <c r="D139" s="34"/>
      <c r="E139" s="34"/>
      <c r="F139" s="34"/>
      <c r="G139" s="51"/>
      <c r="H139" s="144"/>
      <c r="I139" s="144"/>
      <c r="J139" s="144"/>
      <c r="K139" s="145"/>
      <c r="L139" s="146"/>
      <c r="M139" s="147"/>
      <c r="N139" s="148"/>
      <c r="P139" s="0" t="s">
        <v>59</v>
      </c>
    </row>
    <row r="140" customFormat="false" ht="12.75" hidden="false" customHeight="true" outlineLevel="0" collapsed="false">
      <c r="A140" s="53" t="s">
        <v>41</v>
      </c>
      <c r="B140" s="50"/>
      <c r="C140" s="34" t="s">
        <v>42</v>
      </c>
      <c r="D140" s="34"/>
      <c r="E140" s="34"/>
      <c r="F140" s="34"/>
      <c r="G140" s="51"/>
      <c r="H140" s="58"/>
      <c r="I140" s="58"/>
      <c r="J140" s="58"/>
      <c r="K140" s="60" t="n">
        <f aca="false">IF($P$13&gt;=3,ROUND(K79+(K79*$P$8),0),0)</f>
        <v>0</v>
      </c>
      <c r="L140" s="60"/>
      <c r="M140" s="21"/>
      <c r="N140" s="62"/>
      <c r="P140" s="95" t="n">
        <f aca="false">IF(P133="","",0.44)</f>
        <v>0.44</v>
      </c>
      <c r="Q140" s="0" t="s">
        <v>60</v>
      </c>
    </row>
    <row r="141" customFormat="false" ht="12.75" hidden="false" customHeight="true" outlineLevel="0" collapsed="false">
      <c r="A141" s="53" t="s">
        <v>44</v>
      </c>
      <c r="B141" s="50"/>
      <c r="C141" s="34" t="s">
        <v>45</v>
      </c>
      <c r="D141" s="34"/>
      <c r="E141" s="34"/>
      <c r="F141" s="34"/>
      <c r="G141" s="34"/>
      <c r="H141" s="78"/>
      <c r="I141" s="78"/>
      <c r="J141" s="79"/>
      <c r="K141" s="60" t="n">
        <f aca="false">IF($P$13&gt;=3,ROUND(K80+(K80*$P$8),0),0)</f>
        <v>0</v>
      </c>
      <c r="L141" s="60"/>
      <c r="M141" s="21"/>
      <c r="N141" s="62"/>
      <c r="P141" s="97" t="n">
        <f aca="false">IF(P133="","",0.0765)</f>
        <v>0.0765</v>
      </c>
      <c r="Q141" s="0" t="s">
        <v>61</v>
      </c>
    </row>
    <row r="142" customFormat="false" ht="12.75" hidden="false" customHeight="true" outlineLevel="0" collapsed="false">
      <c r="A142" s="53" t="s">
        <v>46</v>
      </c>
      <c r="B142" s="50"/>
      <c r="C142" s="56" t="s">
        <v>47</v>
      </c>
      <c r="D142" s="34"/>
      <c r="E142" s="34"/>
      <c r="F142" s="80"/>
      <c r="G142" s="34"/>
      <c r="H142" s="81"/>
      <c r="I142" s="81"/>
      <c r="J142" s="82"/>
      <c r="K142" s="60" t="n">
        <f aca="false">IF($P$13&gt;=3,ROUND(K81+(K81*$P$8),0),0)</f>
        <v>0</v>
      </c>
      <c r="L142" s="60"/>
      <c r="M142" s="21"/>
      <c r="N142" s="62"/>
    </row>
    <row r="143" customFormat="false" ht="12.75" hidden="false" customHeight="true" outlineLevel="0" collapsed="false">
      <c r="A143" s="53" t="s">
        <v>48</v>
      </c>
      <c r="B143" s="50"/>
      <c r="C143" s="56" t="s">
        <v>49</v>
      </c>
      <c r="D143" s="34"/>
      <c r="E143" s="34"/>
      <c r="F143" s="80"/>
      <c r="G143" s="34"/>
      <c r="H143" s="81"/>
      <c r="I143" s="81"/>
      <c r="J143" s="82"/>
      <c r="K143" s="60" t="n">
        <f aca="false">IF($P$13&gt;=3,ROUND(K82+(K82*$P$8),0),0)</f>
        <v>0</v>
      </c>
      <c r="L143" s="60"/>
      <c r="M143" s="21"/>
      <c r="N143" s="62"/>
    </row>
    <row r="144" customFormat="false" ht="12.75" hidden="false" customHeight="true" outlineLevel="0" collapsed="false">
      <c r="A144" s="53" t="s">
        <v>50</v>
      </c>
      <c r="B144" s="50"/>
      <c r="C144" s="56" t="s">
        <v>51</v>
      </c>
      <c r="D144" s="34"/>
      <c r="E144" s="34"/>
      <c r="F144" s="34"/>
      <c r="G144" s="34"/>
      <c r="H144" s="34"/>
      <c r="I144" s="34"/>
      <c r="J144" s="51"/>
      <c r="K144" s="60" t="n">
        <f aca="false">IF($P$13&gt;=3,ROUND(K83+(K83*$P$8),0),0)</f>
        <v>0</v>
      </c>
      <c r="L144" s="60"/>
      <c r="M144" s="21"/>
      <c r="N144" s="62"/>
    </row>
    <row r="145" customFormat="false" ht="12.75" hidden="false" customHeight="true" outlineLevel="0" collapsed="false">
      <c r="A145" s="53" t="s">
        <v>34</v>
      </c>
      <c r="B145" s="50"/>
      <c r="C145" s="56" t="s">
        <v>52</v>
      </c>
      <c r="D145" s="34"/>
      <c r="E145" s="34"/>
      <c r="F145" s="34"/>
      <c r="G145" s="34"/>
      <c r="H145" s="34"/>
      <c r="I145" s="34"/>
      <c r="J145" s="51"/>
      <c r="K145" s="60" t="n">
        <f aca="false">IF($P$13&gt;=3,ROUND(K84+(K84*$P$8),0),0)</f>
        <v>0</v>
      </c>
      <c r="L145" s="60"/>
      <c r="M145" s="21"/>
      <c r="N145" s="62"/>
    </row>
    <row r="146" customFormat="false" ht="12.75" hidden="false" customHeight="true" outlineLevel="0" collapsed="false">
      <c r="A146" s="53"/>
      <c r="B146" s="56" t="s">
        <v>53</v>
      </c>
      <c r="C146" s="56"/>
      <c r="D146" s="34"/>
      <c r="E146" s="34"/>
      <c r="F146" s="34"/>
      <c r="G146" s="34"/>
      <c r="H146" s="34"/>
      <c r="I146" s="34"/>
      <c r="J146" s="51"/>
      <c r="K146" s="60" t="n">
        <f aca="false">K$138+SUM(K$140:K$145)</f>
        <v>12748</v>
      </c>
      <c r="L146" s="60"/>
      <c r="M146" s="21"/>
      <c r="N146" s="62"/>
    </row>
    <row r="147" customFormat="false" ht="12.75" hidden="false" customHeight="true" outlineLevel="0" collapsed="false">
      <c r="A147" s="69" t="s">
        <v>55</v>
      </c>
      <c r="B147" s="34"/>
      <c r="C147" s="34"/>
      <c r="D147" s="34"/>
      <c r="E147" s="34"/>
      <c r="F147" s="34"/>
      <c r="G147" s="85" t="s">
        <v>56</v>
      </c>
      <c r="H147" s="86"/>
      <c r="I147" s="34"/>
      <c r="J147" s="51"/>
      <c r="K147" s="68" t="n">
        <f aca="false">IF(P133="",0,ROUND(((K146-K143-K142-P137)*P140)+(P137*P141),0))</f>
        <v>5609</v>
      </c>
      <c r="L147" s="68"/>
      <c r="M147" s="21"/>
      <c r="N147" s="62"/>
    </row>
    <row r="148" customFormat="false" ht="12.75" hidden="false" customHeight="true" outlineLevel="0" collapsed="false">
      <c r="A148" s="69"/>
      <c r="B148" s="56" t="s">
        <v>57</v>
      </c>
      <c r="C148" s="34"/>
      <c r="D148" s="34"/>
      <c r="E148" s="34"/>
      <c r="F148" s="34"/>
      <c r="G148" s="34"/>
      <c r="H148" s="34"/>
      <c r="I148" s="34"/>
      <c r="J148" s="51"/>
      <c r="K148" s="60" t="n">
        <f aca="false">K$146+K$147</f>
        <v>18357</v>
      </c>
      <c r="L148" s="60"/>
      <c r="M148" s="21"/>
      <c r="N148" s="62"/>
    </row>
    <row r="149" customFormat="false" ht="12.75" hidden="false" customHeight="true" outlineLevel="0" collapsed="false">
      <c r="A149" s="26" t="s">
        <v>58</v>
      </c>
      <c r="B149" s="27"/>
      <c r="C149" s="27"/>
      <c r="D149" s="27"/>
      <c r="E149" s="27"/>
      <c r="F149" s="27"/>
      <c r="G149" s="27"/>
      <c r="H149" s="27"/>
      <c r="I149" s="27"/>
      <c r="J149" s="42"/>
      <c r="K149" s="116"/>
      <c r="L149" s="149"/>
      <c r="M149" s="116"/>
      <c r="N149" s="117"/>
    </row>
    <row r="150" customFormat="false" ht="12.75" hidden="false" customHeight="true" outlineLevel="0" collapsed="false">
      <c r="A150" s="26"/>
      <c r="B150" s="92"/>
      <c r="C150" s="93"/>
      <c r="D150" s="27"/>
      <c r="E150" s="27"/>
      <c r="F150" s="27"/>
      <c r="G150" s="27"/>
      <c r="H150" s="94"/>
      <c r="I150" s="30"/>
      <c r="J150" s="42"/>
      <c r="K150" s="116"/>
      <c r="L150" s="149"/>
      <c r="M150" s="116"/>
      <c r="N150" s="117"/>
    </row>
    <row r="151" customFormat="false" ht="12.75" hidden="false" customHeight="true" outlineLevel="0" collapsed="false">
      <c r="A151" s="26"/>
      <c r="B151" s="96"/>
      <c r="C151" s="27"/>
      <c r="D151" s="27"/>
      <c r="E151" s="27"/>
      <c r="F151" s="27"/>
      <c r="G151" s="27"/>
      <c r="H151" s="27"/>
      <c r="I151" s="27"/>
      <c r="J151" s="42"/>
      <c r="K151" s="116"/>
      <c r="L151" s="149"/>
      <c r="M151" s="116"/>
      <c r="N151" s="117"/>
    </row>
    <row r="152" customFormat="false" ht="12.75" hidden="false" customHeight="true" outlineLevel="0" collapsed="false">
      <c r="A152" s="26"/>
      <c r="B152" s="27"/>
      <c r="C152" s="27"/>
      <c r="D152" s="27"/>
      <c r="E152" s="27"/>
      <c r="F152" s="27"/>
      <c r="G152" s="27"/>
      <c r="H152" s="27"/>
      <c r="I152" s="27"/>
      <c r="J152" s="42"/>
      <c r="K152" s="116"/>
      <c r="L152" s="149"/>
      <c r="M152" s="116"/>
      <c r="N152" s="117"/>
    </row>
    <row r="153" customFormat="false" ht="12.75" hidden="false" customHeight="true" outlineLevel="0" collapsed="false">
      <c r="A153" s="69"/>
      <c r="B153" s="56" t="s">
        <v>62</v>
      </c>
      <c r="C153" s="34"/>
      <c r="D153" s="34"/>
      <c r="E153" s="34"/>
      <c r="F153" s="34"/>
      <c r="G153" s="34"/>
      <c r="H153" s="34"/>
      <c r="I153" s="34"/>
      <c r="J153" s="51"/>
      <c r="K153" s="60"/>
      <c r="L153" s="60"/>
      <c r="M153" s="98"/>
      <c r="N153" s="99"/>
    </row>
    <row r="154" customFormat="false" ht="12.75" hidden="false" customHeight="true" outlineLevel="0" collapsed="false">
      <c r="A154" s="69" t="s">
        <v>63</v>
      </c>
      <c r="B154" s="34"/>
      <c r="C154" s="34"/>
      <c r="D154" s="34" t="s">
        <v>64</v>
      </c>
      <c r="E154" s="34"/>
      <c r="F154" s="34"/>
      <c r="G154" s="34"/>
      <c r="H154" s="34"/>
      <c r="I154" s="34"/>
      <c r="J154" s="51"/>
      <c r="K154" s="60" t="n">
        <f aca="false">IF($P$13&gt;=3,ROUND(K93+(K93*$P$11),0),0)</f>
        <v>4000</v>
      </c>
      <c r="L154" s="60"/>
      <c r="M154" s="21"/>
      <c r="N154" s="62"/>
    </row>
    <row r="155" customFormat="false" ht="12.75" hidden="false" customHeight="true" outlineLevel="0" collapsed="false">
      <c r="A155" s="69"/>
      <c r="B155" s="34"/>
      <c r="C155" s="34"/>
      <c r="D155" s="34" t="s">
        <v>65</v>
      </c>
      <c r="E155" s="34"/>
      <c r="F155" s="34"/>
      <c r="G155" s="34"/>
      <c r="H155" s="34"/>
      <c r="I155" s="34"/>
      <c r="J155" s="51"/>
      <c r="K155" s="60" t="n">
        <f aca="false">IF($P$13&gt;=3,ROUND(K94+(K94*$P$11),0),0)</f>
        <v>4000</v>
      </c>
      <c r="L155" s="60"/>
      <c r="M155" s="21"/>
      <c r="N155" s="62"/>
    </row>
    <row r="156" customFormat="false" ht="12.75" hidden="false" customHeight="true" outlineLevel="0" collapsed="false">
      <c r="A156" s="26" t="s">
        <v>66</v>
      </c>
      <c r="B156" s="27"/>
      <c r="C156" s="27"/>
      <c r="D156" s="27"/>
      <c r="E156" s="27"/>
      <c r="F156" s="27"/>
      <c r="G156" s="27"/>
      <c r="H156" s="27"/>
      <c r="I156" s="27"/>
      <c r="J156" s="42"/>
      <c r="K156" s="116"/>
      <c r="L156" s="149"/>
      <c r="M156" s="116"/>
      <c r="N156" s="117"/>
    </row>
    <row r="157" customFormat="false" ht="12.75" hidden="false" customHeight="true" outlineLevel="0" collapsed="false">
      <c r="A157" s="26"/>
      <c r="B157" s="27" t="s">
        <v>67</v>
      </c>
      <c r="C157" s="27"/>
      <c r="D157" s="100"/>
      <c r="E157" s="101"/>
      <c r="F157" s="27"/>
      <c r="G157" s="27"/>
      <c r="H157" s="27"/>
      <c r="I157" s="27"/>
      <c r="J157" s="42"/>
      <c r="K157" s="116"/>
      <c r="L157" s="149"/>
      <c r="M157" s="116"/>
      <c r="N157" s="117"/>
    </row>
    <row r="158" customFormat="false" ht="12.75" hidden="false" customHeight="true" outlineLevel="0" collapsed="false">
      <c r="A158" s="26"/>
      <c r="B158" s="27" t="s">
        <v>68</v>
      </c>
      <c r="C158" s="27"/>
      <c r="D158" s="27"/>
      <c r="E158" s="101"/>
      <c r="F158" s="27"/>
      <c r="G158" s="27"/>
      <c r="H158" s="27"/>
      <c r="I158" s="27"/>
      <c r="J158" s="42"/>
      <c r="K158" s="116"/>
      <c r="L158" s="149"/>
      <c r="M158" s="116"/>
      <c r="N158" s="117"/>
    </row>
    <row r="159" customFormat="false" ht="12.75" hidden="false" customHeight="true" outlineLevel="0" collapsed="false">
      <c r="A159" s="26"/>
      <c r="B159" s="27" t="s">
        <v>69</v>
      </c>
      <c r="C159" s="27"/>
      <c r="D159" s="27"/>
      <c r="E159" s="101"/>
      <c r="F159" s="27"/>
      <c r="G159" s="27"/>
      <c r="H159" s="27"/>
      <c r="I159" s="27"/>
      <c r="J159" s="42"/>
      <c r="K159" s="116"/>
      <c r="L159" s="149"/>
      <c r="M159" s="116"/>
      <c r="N159" s="117"/>
    </row>
    <row r="160" customFormat="false" ht="12.75" hidden="false" customHeight="true" outlineLevel="0" collapsed="false">
      <c r="A160" s="26"/>
      <c r="B160" s="27" t="s">
        <v>70</v>
      </c>
      <c r="C160" s="27"/>
      <c r="D160" s="27"/>
      <c r="E160" s="101"/>
      <c r="F160" s="27"/>
      <c r="G160" s="27"/>
      <c r="H160" s="27"/>
      <c r="I160" s="27"/>
      <c r="J160" s="42"/>
      <c r="K160" s="116"/>
      <c r="L160" s="149"/>
      <c r="M160" s="116"/>
      <c r="N160" s="117"/>
    </row>
    <row r="161" customFormat="false" ht="12.75" hidden="false" customHeight="true" outlineLevel="0" collapsed="false">
      <c r="A161" s="69"/>
      <c r="B161" s="34"/>
      <c r="C161" s="34"/>
      <c r="D161" s="34"/>
      <c r="E161" s="34"/>
      <c r="F161" s="34"/>
      <c r="G161" s="34"/>
      <c r="H161" s="34"/>
      <c r="I161" s="34"/>
      <c r="J161" s="51"/>
      <c r="K161" s="147"/>
      <c r="L161" s="150"/>
      <c r="M161" s="147"/>
      <c r="N161" s="148"/>
    </row>
    <row r="162" customFormat="false" ht="12.75" hidden="false" customHeight="true" outlineLevel="0" collapsed="false">
      <c r="A162" s="53" t="s">
        <v>116</v>
      </c>
      <c r="B162" s="56"/>
      <c r="C162" s="56"/>
      <c r="D162" s="34"/>
      <c r="E162" s="34"/>
      <c r="F162" s="34"/>
      <c r="G162" s="34"/>
      <c r="H162" s="34"/>
      <c r="I162" s="34"/>
      <c r="J162" s="103" t="s">
        <v>72</v>
      </c>
      <c r="K162" s="60" t="n">
        <f aca="false">SUM($E$157:$E$160)</f>
        <v>0</v>
      </c>
      <c r="L162" s="60"/>
      <c r="M162" s="21"/>
      <c r="N162" s="62"/>
    </row>
    <row r="163" customFormat="false" ht="12.75" hidden="false" customHeight="true" outlineLevel="0" collapsed="false">
      <c r="A163" s="69" t="s">
        <v>73</v>
      </c>
      <c r="B163" s="34"/>
      <c r="C163" s="34"/>
      <c r="D163" s="34"/>
      <c r="E163" s="34"/>
      <c r="F163" s="34"/>
      <c r="G163" s="34"/>
      <c r="H163" s="34"/>
      <c r="I163" s="34"/>
      <c r="J163" s="51"/>
      <c r="K163" s="147"/>
      <c r="L163" s="150"/>
      <c r="M163" s="147"/>
      <c r="N163" s="148"/>
    </row>
    <row r="164" customFormat="false" ht="12.75" hidden="false" customHeight="true" outlineLevel="0" collapsed="false">
      <c r="A164" s="69"/>
      <c r="B164" s="34" t="s">
        <v>74</v>
      </c>
      <c r="C164" s="34"/>
      <c r="D164" s="34"/>
      <c r="E164" s="34"/>
      <c r="F164" s="34"/>
      <c r="G164" s="34"/>
      <c r="H164" s="34"/>
      <c r="I164" s="34"/>
      <c r="J164" s="51"/>
      <c r="K164" s="60" t="n">
        <f aca="false">IF($P$13&gt;=3,ROUND(K103+(K103*$P$11),0),0)</f>
        <v>1000</v>
      </c>
      <c r="L164" s="60"/>
      <c r="M164" s="21"/>
      <c r="N164" s="62"/>
    </row>
    <row r="165" customFormat="false" ht="12.75" hidden="false" customHeight="true" outlineLevel="0" collapsed="false">
      <c r="A165" s="69"/>
      <c r="B165" s="34" t="s">
        <v>75</v>
      </c>
      <c r="C165" s="34"/>
      <c r="D165" s="34"/>
      <c r="E165" s="34"/>
      <c r="F165" s="34"/>
      <c r="G165" s="34"/>
      <c r="H165" s="34"/>
      <c r="I165" s="34"/>
      <c r="J165" s="51"/>
      <c r="K165" s="60" t="n">
        <f aca="false">IF($P$13&gt;=3,ROUND(K104+(K104*$P$11),0),0)</f>
        <v>0</v>
      </c>
      <c r="L165" s="60"/>
      <c r="M165" s="21"/>
      <c r="N165" s="62"/>
    </row>
    <row r="166" customFormat="false" ht="12.75" hidden="false" customHeight="true" outlineLevel="0" collapsed="false">
      <c r="A166" s="69"/>
      <c r="B166" s="34" t="s">
        <v>76</v>
      </c>
      <c r="C166" s="34"/>
      <c r="D166" s="34"/>
      <c r="E166" s="34"/>
      <c r="F166" s="34"/>
      <c r="G166" s="34"/>
      <c r="H166" s="34"/>
      <c r="I166" s="34"/>
      <c r="J166" s="51"/>
      <c r="K166" s="60" t="n">
        <f aca="false">IF($P$13&gt;=3,ROUND(K105+(K105*$P$11),0),0)</f>
        <v>0</v>
      </c>
      <c r="L166" s="60"/>
      <c r="M166" s="21"/>
      <c r="N166" s="62"/>
      <c r="P166" s="104" t="s">
        <v>77</v>
      </c>
      <c r="R166" s="105" t="s">
        <v>78</v>
      </c>
    </row>
    <row r="167" customFormat="false" ht="12.75" hidden="false" customHeight="true" outlineLevel="0" collapsed="false">
      <c r="A167" s="69"/>
      <c r="B167" s="34" t="s">
        <v>79</v>
      </c>
      <c r="C167" s="34"/>
      <c r="D167" s="34"/>
      <c r="E167" s="34"/>
      <c r="F167" s="34"/>
      <c r="G167" s="34"/>
      <c r="H167" s="34"/>
      <c r="I167" s="34"/>
      <c r="J167" s="51"/>
      <c r="K167" s="60" t="n">
        <f aca="false">IF($P$13&gt;=3,ROUND(K106+(K106*$P$11),0),0)</f>
        <v>0</v>
      </c>
      <c r="L167" s="60"/>
      <c r="M167" s="21"/>
      <c r="N167" s="62"/>
      <c r="P167" s="104" t="s">
        <v>80</v>
      </c>
      <c r="Q167" s="106" t="s">
        <v>122</v>
      </c>
      <c r="R167" s="105" t="s">
        <v>82</v>
      </c>
    </row>
    <row r="168" customFormat="false" ht="12.75" hidden="false" customHeight="true" outlineLevel="0" collapsed="false">
      <c r="A168" s="69"/>
      <c r="B168" s="34" t="s">
        <v>83</v>
      </c>
      <c r="C168" s="34"/>
      <c r="D168" s="34"/>
      <c r="E168" s="34"/>
      <c r="F168" s="34"/>
      <c r="G168" s="34"/>
      <c r="H168" s="34"/>
      <c r="I168" s="34"/>
      <c r="J168" s="51"/>
      <c r="K168" s="60" t="n">
        <f aca="false">SUM(Q168:Q171)</f>
        <v>0</v>
      </c>
      <c r="L168" s="60"/>
      <c r="M168" s="21"/>
      <c r="N168" s="62"/>
      <c r="P168" s="107" t="s">
        <v>84</v>
      </c>
      <c r="Q168" s="108"/>
      <c r="R168" s="105" t="s">
        <v>85</v>
      </c>
    </row>
    <row r="169" customFormat="false" ht="12.75" hidden="false" customHeight="true" outlineLevel="0" collapsed="false">
      <c r="A169" s="69"/>
      <c r="B169" s="34" t="s">
        <v>86</v>
      </c>
      <c r="C169" s="34"/>
      <c r="D169" s="34"/>
      <c r="E169" s="34"/>
      <c r="F169" s="80"/>
      <c r="G169" s="34"/>
      <c r="H169" s="34"/>
      <c r="I169" s="34"/>
      <c r="J169" s="51"/>
      <c r="K169" s="60" t="n">
        <f aca="false">Q175+Q176</f>
        <v>0</v>
      </c>
      <c r="L169" s="60"/>
      <c r="M169" s="21"/>
      <c r="N169" s="62"/>
      <c r="P169" s="109" t="s">
        <v>87</v>
      </c>
      <c r="Q169" s="110"/>
      <c r="R169" s="111" t="n">
        <f aca="false">IF(Q168+R47+R108&gt;=25000,25000-(R47+R108),Q168)</f>
        <v>0</v>
      </c>
    </row>
    <row r="170" customFormat="false" ht="12.75" hidden="false" customHeight="true" outlineLevel="0" collapsed="false">
      <c r="A170" s="69"/>
      <c r="B170" s="34"/>
      <c r="C170" s="34" t="s">
        <v>88</v>
      </c>
      <c r="D170" s="34"/>
      <c r="E170" s="34"/>
      <c r="F170" s="34"/>
      <c r="G170" s="34"/>
      <c r="H170" s="34"/>
      <c r="I170" s="34"/>
      <c r="J170" s="51"/>
      <c r="K170" s="60" t="n">
        <f aca="false">SUM(K$164:K$169)</f>
        <v>1000</v>
      </c>
      <c r="L170" s="60"/>
      <c r="M170" s="21"/>
      <c r="N170" s="62"/>
      <c r="P170" s="109" t="s">
        <v>89</v>
      </c>
      <c r="Q170" s="110"/>
      <c r="R170" s="111" t="n">
        <f aca="false">IF(Q169+R48+R109&gt;=25000,25000-(R48+R109),Q169)</f>
        <v>0</v>
      </c>
    </row>
    <row r="171" customFormat="false" ht="12.75" hidden="false" customHeight="true" outlineLevel="0" collapsed="false">
      <c r="A171" s="69" t="s">
        <v>90</v>
      </c>
      <c r="B171" s="34"/>
      <c r="C171" s="34"/>
      <c r="D171" s="34"/>
      <c r="E171" s="34"/>
      <c r="F171" s="34"/>
      <c r="G171" s="34"/>
      <c r="H171" s="34"/>
      <c r="I171" s="34"/>
      <c r="J171" s="51"/>
      <c r="K171" s="60" t="n">
        <f aca="false">K$148+SUM(K$153:K$155)+K$162+K$170</f>
        <v>27357</v>
      </c>
      <c r="L171" s="60"/>
      <c r="M171" s="21"/>
      <c r="N171" s="62"/>
      <c r="P171" s="112" t="s">
        <v>91</v>
      </c>
      <c r="Q171" s="113"/>
      <c r="R171" s="111" t="n">
        <f aca="false">IF(Q170+R49+R110&gt;=25000,25000-(R49+R110),Q170)</f>
        <v>0</v>
      </c>
    </row>
    <row r="172" customFormat="false" ht="12.75" hidden="false" customHeight="true" outlineLevel="0" collapsed="false">
      <c r="A172" s="26" t="s">
        <v>92</v>
      </c>
      <c r="B172" s="27"/>
      <c r="C172" s="27"/>
      <c r="D172" s="27"/>
      <c r="E172" s="27"/>
      <c r="F172" s="27"/>
      <c r="G172" s="27"/>
      <c r="H172" s="27"/>
      <c r="I172" s="27"/>
      <c r="J172" s="42"/>
      <c r="K172" s="114"/>
      <c r="L172" s="115"/>
      <c r="M172" s="116"/>
      <c r="N172" s="117"/>
      <c r="R172" s="111" t="n">
        <f aca="false">IF(Q171+R50+R111&gt;=25000,25000-(R50+R111),Q171)</f>
        <v>0</v>
      </c>
    </row>
    <row r="173" customFormat="false" ht="12.75" hidden="false" customHeight="true" outlineLevel="0" collapsed="false">
      <c r="A173" s="119" t="s">
        <v>93</v>
      </c>
      <c r="B173" s="119"/>
      <c r="C173" s="119"/>
      <c r="D173" s="119"/>
      <c r="E173" s="119"/>
      <c r="F173" s="119"/>
      <c r="G173" s="120" t="n">
        <f aca="false">IF(R169&gt;25000,"25000",R169)+IF(R170&gt;25000,"25000",R170)+IF(R171&gt;25000,"25000",R171)+IF(R172&gt;25000,"25000",R172)+K171-K153-K162-K168-Q175</f>
        <v>27357</v>
      </c>
      <c r="H173" s="120"/>
      <c r="I173" s="27"/>
      <c r="J173" s="42"/>
      <c r="K173" s="114"/>
      <c r="L173" s="115"/>
      <c r="M173" s="116"/>
      <c r="N173" s="117"/>
      <c r="P173" s="121" t="s">
        <v>94</v>
      </c>
    </row>
    <row r="174" customFormat="false" ht="12.75" hidden="false" customHeight="true" outlineLevel="0" collapsed="false">
      <c r="A174" s="69" t="s">
        <v>95</v>
      </c>
      <c r="B174" s="34"/>
      <c r="C174" s="34"/>
      <c r="D174" s="34"/>
      <c r="E174" s="34"/>
      <c r="F174" s="34"/>
      <c r="G174" s="85" t="s">
        <v>96</v>
      </c>
      <c r="H174" s="122" t="n">
        <f aca="false">IF(P13&gt;2,H52,0)</f>
        <v>0.48</v>
      </c>
      <c r="I174" s="34"/>
      <c r="J174" s="51"/>
      <c r="K174" s="60" t="n">
        <f aca="false">ROUND($G$173 * $H$174,0)</f>
        <v>13131</v>
      </c>
      <c r="L174" s="60"/>
      <c r="M174" s="123"/>
      <c r="N174" s="124"/>
      <c r="P174" s="121" t="s">
        <v>97</v>
      </c>
      <c r="Q174" s="125" t="s">
        <v>122</v>
      </c>
    </row>
    <row r="175" customFormat="false" ht="12.75" hidden="false" customHeight="true" outlineLevel="0" collapsed="false">
      <c r="A175" s="69" t="s">
        <v>98</v>
      </c>
      <c r="B175" s="34"/>
      <c r="C175" s="34"/>
      <c r="D175" s="34"/>
      <c r="E175" s="34"/>
      <c r="F175" s="34"/>
      <c r="G175" s="34"/>
      <c r="H175" s="34"/>
      <c r="I175" s="34"/>
      <c r="J175" s="51"/>
      <c r="K175" s="60" t="n">
        <f aca="false">K$171+K$174</f>
        <v>40488</v>
      </c>
      <c r="L175" s="60"/>
      <c r="M175" s="21"/>
      <c r="N175" s="62"/>
      <c r="P175" s="125" t="s">
        <v>99</v>
      </c>
      <c r="Q175" s="129" t="n">
        <f aca="false">IF(P133="",0,ROUND(K142*R176,0))</f>
        <v>0</v>
      </c>
    </row>
    <row r="176" customFormat="false" ht="12.75" hidden="false" customHeight="true" outlineLevel="0" collapsed="false">
      <c r="A176" s="69" t="s">
        <v>100</v>
      </c>
      <c r="B176" s="34"/>
      <c r="C176" s="34"/>
      <c r="D176" s="34"/>
      <c r="E176" s="34"/>
      <c r="F176" s="34"/>
      <c r="G176" s="34"/>
      <c r="H176" s="34"/>
      <c r="I176" s="34"/>
      <c r="J176" s="51"/>
      <c r="K176" s="60"/>
      <c r="L176" s="60"/>
      <c r="M176" s="21"/>
      <c r="N176" s="62"/>
      <c r="P176" s="125" t="s">
        <v>101</v>
      </c>
      <c r="Q176" s="129" t="n">
        <f aca="false">IF($P$13&gt;=3,ROUND(Q115+(Q115*$P$11),0),0)</f>
        <v>0</v>
      </c>
      <c r="R176" s="95" t="n">
        <f aca="false">IF(P133="","",0.36)</f>
        <v>0.36</v>
      </c>
    </row>
    <row r="177" customFormat="false" ht="12.75" hidden="false" customHeight="true" outlineLevel="0" collapsed="false">
      <c r="A177" s="130" t="s">
        <v>102</v>
      </c>
      <c r="B177" s="36"/>
      <c r="C177" s="36"/>
      <c r="D177" s="36"/>
      <c r="E177" s="36"/>
      <c r="F177" s="36"/>
      <c r="G177" s="36"/>
      <c r="H177" s="36"/>
      <c r="I177" s="36"/>
      <c r="J177" s="37"/>
      <c r="K177" s="131" t="n">
        <f aca="false">K$175-K$176</f>
        <v>40488</v>
      </c>
      <c r="L177" s="131"/>
      <c r="M177" s="132"/>
      <c r="N177" s="133"/>
    </row>
    <row r="178" customFormat="false" ht="12.75" hidden="false" customHeight="true" outlineLevel="0" collapsed="false">
      <c r="A178" s="130" t="s">
        <v>103</v>
      </c>
      <c r="B178" s="36"/>
      <c r="C178" s="36"/>
      <c r="D178" s="36"/>
      <c r="E178" s="36"/>
      <c r="F178" s="132"/>
      <c r="G178" s="134" t="s">
        <v>104</v>
      </c>
      <c r="H178" s="36"/>
      <c r="I178" s="36"/>
      <c r="J178" s="38"/>
      <c r="K178" s="132"/>
      <c r="L178" s="132"/>
      <c r="M178" s="38"/>
      <c r="N178" s="135"/>
    </row>
    <row r="179" customFormat="false" ht="12.75" hidden="false" customHeight="true" outlineLevel="0" collapsed="false">
      <c r="A179" s="26" t="s">
        <v>105</v>
      </c>
      <c r="B179" s="27"/>
      <c r="C179" s="27"/>
      <c r="D179" s="27"/>
      <c r="E179" s="27"/>
      <c r="F179" s="42"/>
      <c r="G179" s="32" t="s">
        <v>106</v>
      </c>
      <c r="H179" s="136" t="s">
        <v>2</v>
      </c>
      <c r="I179" s="136"/>
      <c r="J179" s="136"/>
      <c r="K179" s="136"/>
      <c r="L179" s="136"/>
      <c r="M179" s="136"/>
      <c r="N179" s="136"/>
    </row>
    <row r="180" customFormat="false" ht="12.75" hidden="false" customHeight="true" outlineLevel="0" collapsed="false">
      <c r="A180" s="69" t="str">
        <f aca="false">A6</f>
        <v>William Riley Casper</v>
      </c>
      <c r="B180" s="34"/>
      <c r="C180" s="34"/>
      <c r="D180" s="34"/>
      <c r="E180" s="34"/>
      <c r="F180" s="56"/>
      <c r="G180" s="137"/>
      <c r="H180" s="62" t="s">
        <v>107</v>
      </c>
      <c r="I180" s="62"/>
      <c r="J180" s="62"/>
      <c r="K180" s="62"/>
      <c r="L180" s="62"/>
      <c r="M180" s="62"/>
      <c r="N180" s="62"/>
    </row>
    <row r="181" customFormat="false" ht="12.75" hidden="false" customHeight="true" outlineLevel="0" collapsed="false">
      <c r="A181" s="26" t="s">
        <v>118</v>
      </c>
      <c r="B181" s="27"/>
      <c r="C181" s="27"/>
      <c r="D181" s="27"/>
      <c r="E181" s="27"/>
      <c r="F181" s="42"/>
      <c r="G181" s="32" t="s">
        <v>106</v>
      </c>
      <c r="H181" s="31" t="s">
        <v>109</v>
      </c>
      <c r="I181" s="31"/>
      <c r="J181" s="31" t="s">
        <v>110</v>
      </c>
      <c r="K181" s="31"/>
      <c r="L181" s="31"/>
      <c r="M181" s="138" t="s">
        <v>111</v>
      </c>
      <c r="N181" s="138"/>
    </row>
    <row r="182" customFormat="false" ht="12.75" hidden="false" customHeight="true" outlineLevel="0" collapsed="false">
      <c r="A182" s="130" t="str">
        <f aca="false">A60</f>
        <v>Darya Courville, Executive Director, Sponsored Programs</v>
      </c>
      <c r="B182" s="36"/>
      <c r="C182" s="36"/>
      <c r="D182" s="36"/>
      <c r="E182" s="36"/>
      <c r="F182" s="37"/>
      <c r="G182" s="40"/>
      <c r="H182" s="36"/>
      <c r="I182" s="37"/>
      <c r="J182" s="36"/>
      <c r="K182" s="36"/>
      <c r="L182" s="37"/>
      <c r="M182" s="36"/>
      <c r="N182" s="40"/>
    </row>
    <row r="183" customFormat="false" ht="12.75" hidden="false" customHeight="true" outlineLevel="0" collapsed="false">
      <c r="A183" s="139" t="s">
        <v>119</v>
      </c>
      <c r="B183" s="139"/>
      <c r="C183" s="139"/>
      <c r="D183" s="139"/>
      <c r="E183" s="140"/>
      <c r="F183" s="139"/>
      <c r="N183" s="141"/>
    </row>
    <row r="184" customFormat="false" ht="16" hidden="false" customHeight="false" outlineLevel="0" collapsed="false">
      <c r="A184" s="3"/>
      <c r="B184" s="2"/>
      <c r="C184" s="2"/>
      <c r="D184" s="4"/>
      <c r="E184" s="5"/>
      <c r="F184" s="6"/>
      <c r="G184" s="7"/>
      <c r="H184" s="8"/>
      <c r="L184" s="9" t="s">
        <v>123</v>
      </c>
    </row>
    <row r="185" customFormat="false" ht="16" hidden="false" customHeight="false" outlineLevel="0" collapsed="false">
      <c r="A185" s="11" t="s">
        <v>1</v>
      </c>
      <c r="B185" s="11"/>
      <c r="C185" s="11"/>
      <c r="D185" s="11"/>
      <c r="E185" s="11"/>
      <c r="F185" s="11"/>
      <c r="G185" s="11"/>
      <c r="H185" s="11"/>
      <c r="I185" s="12" t="s">
        <v>2</v>
      </c>
      <c r="J185" s="12"/>
      <c r="K185" s="12"/>
      <c r="L185" s="12"/>
      <c r="M185" s="12"/>
      <c r="N185" s="12"/>
    </row>
    <row r="186" customFormat="false" ht="13.5" hidden="false" customHeight="false" outlineLevel="0" collapsed="false">
      <c r="A186" s="13" t="s">
        <v>3</v>
      </c>
      <c r="B186" s="14"/>
      <c r="C186" s="14"/>
      <c r="D186" s="14"/>
      <c r="E186" s="14"/>
      <c r="F186" s="14"/>
      <c r="G186" s="14"/>
      <c r="H186" s="14"/>
      <c r="I186" s="15" t="s">
        <v>4</v>
      </c>
      <c r="J186" s="15"/>
      <c r="K186" s="15"/>
      <c r="L186" s="16" t="s">
        <v>5</v>
      </c>
      <c r="M186" s="16"/>
      <c r="N186" s="16"/>
    </row>
    <row r="187" customFormat="false" ht="13.5" hidden="false" customHeight="false" outlineLevel="0" collapsed="false">
      <c r="A187" s="17" t="s">
        <v>6</v>
      </c>
      <c r="B187" s="18"/>
      <c r="C187" s="19"/>
      <c r="D187" s="19"/>
      <c r="E187" s="19"/>
      <c r="F187" s="19"/>
      <c r="G187" s="19"/>
      <c r="H187" s="20"/>
      <c r="I187" s="21"/>
      <c r="J187" s="21"/>
      <c r="K187" s="22"/>
      <c r="L187" s="22" t="s">
        <v>7</v>
      </c>
      <c r="M187" s="22"/>
      <c r="N187" s="23" t="s">
        <v>8</v>
      </c>
    </row>
    <row r="188" customFormat="false" ht="13.5" hidden="false" customHeight="false" outlineLevel="0" collapsed="false">
      <c r="A188" s="26" t="s">
        <v>9</v>
      </c>
      <c r="B188" s="27"/>
      <c r="C188" s="27"/>
      <c r="D188" s="27"/>
      <c r="E188" s="27"/>
      <c r="F188" s="27"/>
      <c r="G188" s="27"/>
      <c r="H188" s="27"/>
      <c r="I188" s="28" t="s">
        <v>10</v>
      </c>
      <c r="J188" s="28"/>
      <c r="K188" s="29"/>
      <c r="L188" s="30"/>
      <c r="M188" s="31"/>
      <c r="N188" s="32"/>
    </row>
    <row r="189" customFormat="false" ht="14" hidden="false" customHeight="false" outlineLevel="0" collapsed="false">
      <c r="A189" s="33" t="str">
        <f aca="false">A6</f>
        <v>William Riley Casper</v>
      </c>
      <c r="B189" s="18"/>
      <c r="C189" s="34"/>
      <c r="D189" s="34"/>
      <c r="E189" s="34"/>
      <c r="F189" s="34"/>
      <c r="G189" s="34"/>
      <c r="H189" s="34"/>
      <c r="I189" s="35"/>
      <c r="J189" s="36"/>
      <c r="K189" s="37"/>
      <c r="L189" s="38"/>
      <c r="M189" s="39"/>
      <c r="N189" s="40"/>
    </row>
    <row r="190" customFormat="false" ht="13.5" hidden="false" customHeight="false" outlineLevel="0" collapsed="false">
      <c r="A190" s="26" t="s">
        <v>12</v>
      </c>
      <c r="B190" s="27"/>
      <c r="C190" s="27"/>
      <c r="D190" s="27"/>
      <c r="E190" s="41"/>
      <c r="F190" s="27"/>
      <c r="G190" s="42"/>
      <c r="H190" s="43" t="s">
        <v>13</v>
      </c>
      <c r="I190" s="43"/>
      <c r="J190" s="43"/>
      <c r="K190" s="43" t="s">
        <v>14</v>
      </c>
      <c r="L190" s="43"/>
      <c r="M190" s="44" t="s">
        <v>14</v>
      </c>
      <c r="N190" s="44"/>
    </row>
    <row r="191" customFormat="false" ht="13.5" hidden="false" customHeight="false" outlineLevel="0" collapsed="false">
      <c r="A191" s="26"/>
      <c r="B191" s="41" t="s">
        <v>16</v>
      </c>
      <c r="C191" s="27"/>
      <c r="D191" s="27"/>
      <c r="E191" s="27"/>
      <c r="F191" s="27"/>
      <c r="G191" s="42"/>
      <c r="H191" s="47" t="s">
        <v>17</v>
      </c>
      <c r="I191" s="47"/>
      <c r="J191" s="47"/>
      <c r="K191" s="43" t="s">
        <v>18</v>
      </c>
      <c r="L191" s="43"/>
      <c r="M191" s="44" t="s">
        <v>19</v>
      </c>
      <c r="N191" s="44"/>
    </row>
    <row r="192" customFormat="false" ht="13.5" hidden="false" customHeight="false" outlineLevel="0" collapsed="false">
      <c r="A192" s="49"/>
      <c r="B192" s="50"/>
      <c r="C192" s="21"/>
      <c r="D192" s="34"/>
      <c r="E192" s="34"/>
      <c r="F192" s="34"/>
      <c r="G192" s="51"/>
      <c r="H192" s="22" t="s">
        <v>20</v>
      </c>
      <c r="I192" s="22" t="s">
        <v>21</v>
      </c>
      <c r="J192" s="22" t="s">
        <v>22</v>
      </c>
      <c r="K192" s="47" t="s">
        <v>23</v>
      </c>
      <c r="L192" s="47"/>
      <c r="M192" s="52" t="s">
        <v>24</v>
      </c>
      <c r="N192" s="52"/>
    </row>
    <row r="193" customFormat="false" ht="12.75" hidden="false" customHeight="true" outlineLevel="0" collapsed="false">
      <c r="A193" s="53" t="s">
        <v>26</v>
      </c>
      <c r="B193" s="54"/>
      <c r="C193" s="56" t="str">
        <f aca="false">A128</f>
        <v>William Riley Casper</v>
      </c>
      <c r="D193" s="56"/>
      <c r="E193" s="56"/>
      <c r="F193" s="56"/>
      <c r="G193" s="57"/>
      <c r="H193" s="58"/>
      <c r="I193" s="58"/>
      <c r="J193" s="58"/>
      <c r="K193" s="60" t="n">
        <f aca="false">IF($P$13&gt;=4,ROUND(K132+(K132*$P$8),0),0)</f>
        <v>0</v>
      </c>
      <c r="L193" s="60"/>
      <c r="M193" s="61"/>
      <c r="N193" s="62"/>
      <c r="P193" s="142" t="s">
        <v>124</v>
      </c>
    </row>
    <row r="194" customFormat="false" ht="12.75" hidden="false" customHeight="true" outlineLevel="0" collapsed="false">
      <c r="A194" s="53" t="s">
        <v>28</v>
      </c>
      <c r="B194" s="63"/>
      <c r="C194" s="56" t="str">
        <f aca="false">IF(C11="","",C11)</f>
        <v/>
      </c>
      <c r="D194" s="56"/>
      <c r="E194" s="56"/>
      <c r="F194" s="56"/>
      <c r="G194" s="64"/>
      <c r="H194" s="58"/>
      <c r="I194" s="58"/>
      <c r="J194" s="58"/>
      <c r="K194" s="60" t="n">
        <f aca="false">IF($P$13&gt;=4,ROUND(K133+(K133*$P$8),0),0)</f>
        <v>0</v>
      </c>
      <c r="L194" s="60"/>
      <c r="M194" s="21"/>
      <c r="N194" s="62"/>
      <c r="P194" s="143" t="str">
        <f aca="false">IF($P$13&gt;3,P133+(12*31),"")</f>
        <v/>
      </c>
    </row>
    <row r="195" customFormat="false" ht="12.75" hidden="false" customHeight="true" outlineLevel="0" collapsed="false">
      <c r="A195" s="53" t="s">
        <v>29</v>
      </c>
      <c r="B195" s="56"/>
      <c r="C195" s="56" t="str">
        <f aca="false">IF(C12="","",C12)</f>
        <v/>
      </c>
      <c r="D195" s="56"/>
      <c r="E195" s="56"/>
      <c r="F195" s="56"/>
      <c r="G195" s="64"/>
      <c r="H195" s="58"/>
      <c r="I195" s="58"/>
      <c r="J195" s="58"/>
      <c r="K195" s="60" t="n">
        <f aca="false">IF($P$13&gt;=4,ROUND(K134+(K134*$P$8),0),0)</f>
        <v>0</v>
      </c>
      <c r="L195" s="60"/>
      <c r="M195" s="21"/>
      <c r="N195" s="62"/>
      <c r="P195" s="45"/>
    </row>
    <row r="196" customFormat="false" ht="12.75" hidden="false" customHeight="true" outlineLevel="0" collapsed="false">
      <c r="A196" s="53" t="s">
        <v>31</v>
      </c>
      <c r="B196" s="56"/>
      <c r="C196" s="56" t="str">
        <f aca="false">IF(C13="","",C13)</f>
        <v/>
      </c>
      <c r="D196" s="56"/>
      <c r="E196" s="56"/>
      <c r="F196" s="56"/>
      <c r="G196" s="64"/>
      <c r="H196" s="58"/>
      <c r="I196" s="58"/>
      <c r="J196" s="58"/>
      <c r="K196" s="60" t="n">
        <f aca="false">IF($P$13&gt;=4,ROUND(K135+(K135*$P$8),0),0)</f>
        <v>0</v>
      </c>
      <c r="L196" s="60"/>
      <c r="M196" s="21"/>
      <c r="N196" s="62"/>
      <c r="P196" s="83"/>
    </row>
    <row r="197" customFormat="false" ht="12.75" hidden="false" customHeight="true" outlineLevel="0" collapsed="false">
      <c r="A197" s="53" t="s">
        <v>32</v>
      </c>
      <c r="B197" s="56"/>
      <c r="C197" s="56" t="str">
        <f aca="false">IF(C14="","",C14)</f>
        <v/>
      </c>
      <c r="D197" s="56"/>
      <c r="E197" s="56"/>
      <c r="F197" s="56"/>
      <c r="G197" s="64"/>
      <c r="H197" s="58"/>
      <c r="I197" s="58"/>
      <c r="J197" s="58"/>
      <c r="K197" s="60" t="n">
        <f aca="false">IF($P$13&gt;=4,ROUND(K136+(K136*$P$8),0),0)</f>
        <v>0</v>
      </c>
      <c r="L197" s="60"/>
      <c r="M197" s="21"/>
      <c r="N197" s="62"/>
      <c r="P197" s="121" t="s">
        <v>54</v>
      </c>
    </row>
    <row r="198" customFormat="false" ht="12.75" hidden="false" customHeight="true" outlineLevel="0" collapsed="false">
      <c r="A198" s="53" t="s">
        <v>34</v>
      </c>
      <c r="B198" s="50"/>
      <c r="C198" s="34" t="s">
        <v>35</v>
      </c>
      <c r="D198" s="34"/>
      <c r="E198" s="34"/>
      <c r="F198" s="34"/>
      <c r="G198" s="51"/>
      <c r="H198" s="58"/>
      <c r="I198" s="58"/>
      <c r="J198" s="58"/>
      <c r="K198" s="60" t="n">
        <f aca="false">IF($P$13&gt;=4,ROUND(K137+(K137*$P$8),0),0)</f>
        <v>0</v>
      </c>
      <c r="L198" s="60"/>
      <c r="M198" s="21"/>
      <c r="N198" s="62"/>
      <c r="P198" s="87"/>
    </row>
    <row r="199" customFormat="false" ht="12.75" hidden="false" customHeight="true" outlineLevel="0" collapsed="false">
      <c r="A199" s="53" t="s">
        <v>36</v>
      </c>
      <c r="B199" s="50"/>
      <c r="C199" s="34" t="s">
        <v>37</v>
      </c>
      <c r="D199" s="34"/>
      <c r="E199" s="34"/>
      <c r="F199" s="34"/>
      <c r="G199" s="51"/>
      <c r="H199" s="58"/>
      <c r="I199" s="58"/>
      <c r="J199" s="58"/>
      <c r="K199" s="60" t="n">
        <f aca="false">SUM(K$193:K$198)</f>
        <v>0</v>
      </c>
      <c r="L199" s="60"/>
      <c r="M199" s="21"/>
      <c r="N199" s="62"/>
    </row>
    <row r="200" customFormat="false" ht="12.75" hidden="false" customHeight="true" outlineLevel="0" collapsed="false">
      <c r="A200" s="69" t="s">
        <v>39</v>
      </c>
      <c r="B200" s="34"/>
      <c r="C200" s="34"/>
      <c r="D200" s="34"/>
      <c r="E200" s="34"/>
      <c r="F200" s="34"/>
      <c r="G200" s="51"/>
      <c r="H200" s="144"/>
      <c r="I200" s="144"/>
      <c r="J200" s="144"/>
      <c r="K200" s="145"/>
      <c r="L200" s="146"/>
      <c r="M200" s="147"/>
      <c r="N200" s="148"/>
      <c r="P200" s="0" t="s">
        <v>59</v>
      </c>
    </row>
    <row r="201" customFormat="false" ht="12.75" hidden="false" customHeight="true" outlineLevel="0" collapsed="false">
      <c r="A201" s="53" t="s">
        <v>41</v>
      </c>
      <c r="B201" s="50"/>
      <c r="C201" s="34" t="s">
        <v>42</v>
      </c>
      <c r="D201" s="34"/>
      <c r="E201" s="34"/>
      <c r="F201" s="34"/>
      <c r="G201" s="51"/>
      <c r="H201" s="58"/>
      <c r="I201" s="58"/>
      <c r="J201" s="58"/>
      <c r="K201" s="60" t="n">
        <f aca="false">IF($P$13&gt;=4,ROUND(K140+(K140*$P$8),0),0)</f>
        <v>0</v>
      </c>
      <c r="L201" s="60"/>
      <c r="M201" s="21"/>
      <c r="N201" s="62"/>
      <c r="P201" s="95" t="str">
        <f aca="false">IF(P194="","",0.44)</f>
        <v/>
      </c>
      <c r="Q201" s="0" t="s">
        <v>60</v>
      </c>
    </row>
    <row r="202" customFormat="false" ht="12.75" hidden="false" customHeight="true" outlineLevel="0" collapsed="false">
      <c r="A202" s="53" t="s">
        <v>44</v>
      </c>
      <c r="B202" s="50"/>
      <c r="C202" s="34" t="s">
        <v>45</v>
      </c>
      <c r="D202" s="34"/>
      <c r="E202" s="34"/>
      <c r="F202" s="34"/>
      <c r="G202" s="34"/>
      <c r="H202" s="78"/>
      <c r="I202" s="78"/>
      <c r="J202" s="79"/>
      <c r="K202" s="60" t="n">
        <f aca="false">IF($P$13&gt;=4,ROUND(K141+(K141*$P$8),0),0)</f>
        <v>0</v>
      </c>
      <c r="L202" s="60"/>
      <c r="M202" s="21"/>
      <c r="N202" s="62"/>
      <c r="P202" s="97" t="str">
        <f aca="false">IF(P194="","",0.0765)</f>
        <v/>
      </c>
      <c r="Q202" s="0" t="s">
        <v>61</v>
      </c>
    </row>
    <row r="203" customFormat="false" ht="12.75" hidden="false" customHeight="true" outlineLevel="0" collapsed="false">
      <c r="A203" s="53" t="s">
        <v>46</v>
      </c>
      <c r="B203" s="50"/>
      <c r="C203" s="56" t="s">
        <v>47</v>
      </c>
      <c r="D203" s="34"/>
      <c r="E203" s="34"/>
      <c r="F203" s="80"/>
      <c r="G203" s="34"/>
      <c r="H203" s="81"/>
      <c r="I203" s="81"/>
      <c r="J203" s="82"/>
      <c r="K203" s="60" t="n">
        <f aca="false">IF($P$13&gt;=4,ROUND(K142+(K142*$P$8),0),0)</f>
        <v>0</v>
      </c>
      <c r="L203" s="60"/>
      <c r="M203" s="21"/>
      <c r="N203" s="62"/>
    </row>
    <row r="204" customFormat="false" ht="12.75" hidden="false" customHeight="true" outlineLevel="0" collapsed="false">
      <c r="A204" s="53" t="s">
        <v>48</v>
      </c>
      <c r="B204" s="50"/>
      <c r="C204" s="56" t="s">
        <v>49</v>
      </c>
      <c r="D204" s="34"/>
      <c r="E204" s="34"/>
      <c r="F204" s="80"/>
      <c r="G204" s="34"/>
      <c r="H204" s="81"/>
      <c r="I204" s="81"/>
      <c r="J204" s="82"/>
      <c r="K204" s="60" t="n">
        <f aca="false">IF($P$13&gt;=4,ROUND(K143+(K143*$P$8),0),0)</f>
        <v>0</v>
      </c>
      <c r="L204" s="60"/>
      <c r="M204" s="21"/>
      <c r="N204" s="62"/>
    </row>
    <row r="205" customFormat="false" ht="12.75" hidden="false" customHeight="true" outlineLevel="0" collapsed="false">
      <c r="A205" s="53" t="s">
        <v>50</v>
      </c>
      <c r="B205" s="50"/>
      <c r="C205" s="56" t="s">
        <v>51</v>
      </c>
      <c r="D205" s="34"/>
      <c r="E205" s="34"/>
      <c r="F205" s="34"/>
      <c r="G205" s="34"/>
      <c r="H205" s="34"/>
      <c r="I205" s="34"/>
      <c r="J205" s="51"/>
      <c r="K205" s="60" t="n">
        <f aca="false">IF($P$13&gt;=4,ROUND(K144+(K144*$P$8),0),0)</f>
        <v>0</v>
      </c>
      <c r="L205" s="60"/>
      <c r="M205" s="21"/>
      <c r="N205" s="62"/>
    </row>
    <row r="206" customFormat="false" ht="12.75" hidden="false" customHeight="true" outlineLevel="0" collapsed="false">
      <c r="A206" s="53" t="s">
        <v>34</v>
      </c>
      <c r="B206" s="50"/>
      <c r="C206" s="56" t="s">
        <v>52</v>
      </c>
      <c r="D206" s="34"/>
      <c r="E206" s="34"/>
      <c r="F206" s="34"/>
      <c r="G206" s="34"/>
      <c r="H206" s="34"/>
      <c r="I206" s="34"/>
      <c r="J206" s="51"/>
      <c r="K206" s="60" t="n">
        <f aca="false">IF($P$13&gt;=4,ROUND(K145+(K145*$P$8),0),0)</f>
        <v>0</v>
      </c>
      <c r="L206" s="60"/>
      <c r="M206" s="21"/>
      <c r="N206" s="62"/>
    </row>
    <row r="207" customFormat="false" ht="12.75" hidden="false" customHeight="true" outlineLevel="0" collapsed="false">
      <c r="A207" s="53"/>
      <c r="B207" s="56" t="s">
        <v>53</v>
      </c>
      <c r="C207" s="56"/>
      <c r="D207" s="34"/>
      <c r="E207" s="34"/>
      <c r="F207" s="34"/>
      <c r="G207" s="34"/>
      <c r="H207" s="34"/>
      <c r="I207" s="34"/>
      <c r="J207" s="51"/>
      <c r="K207" s="60" t="n">
        <f aca="false">K$199+SUM(K$201:K$206)</f>
        <v>0</v>
      </c>
      <c r="L207" s="60"/>
      <c r="M207" s="21"/>
      <c r="N207" s="62"/>
    </row>
    <row r="208" customFormat="false" ht="12.75" hidden="false" customHeight="true" outlineLevel="0" collapsed="false">
      <c r="A208" s="69" t="s">
        <v>55</v>
      </c>
      <c r="B208" s="34"/>
      <c r="C208" s="34"/>
      <c r="D208" s="34"/>
      <c r="E208" s="34"/>
      <c r="F208" s="34"/>
      <c r="G208" s="85" t="s">
        <v>56</v>
      </c>
      <c r="H208" s="86"/>
      <c r="I208" s="34"/>
      <c r="J208" s="51"/>
      <c r="K208" s="68" t="n">
        <f aca="false">IF(P194="",0,ROUND(((K207-K204-K203-P198)*P201)+(P198*P202),0))</f>
        <v>0</v>
      </c>
      <c r="L208" s="68"/>
      <c r="M208" s="21"/>
      <c r="N208" s="62"/>
    </row>
    <row r="209" customFormat="false" ht="12.75" hidden="false" customHeight="true" outlineLevel="0" collapsed="false">
      <c r="A209" s="69"/>
      <c r="B209" s="56" t="s">
        <v>57</v>
      </c>
      <c r="C209" s="34"/>
      <c r="D209" s="34"/>
      <c r="E209" s="34"/>
      <c r="F209" s="34"/>
      <c r="G209" s="34"/>
      <c r="H209" s="34"/>
      <c r="I209" s="34"/>
      <c r="J209" s="51"/>
      <c r="K209" s="60" t="n">
        <f aca="false">K$207+K$208</f>
        <v>0</v>
      </c>
      <c r="L209" s="60"/>
      <c r="M209" s="21"/>
      <c r="N209" s="62"/>
    </row>
    <row r="210" customFormat="false" ht="12.75" hidden="false" customHeight="true" outlineLevel="0" collapsed="false">
      <c r="A210" s="26" t="s">
        <v>58</v>
      </c>
      <c r="B210" s="27"/>
      <c r="C210" s="27"/>
      <c r="D210" s="27"/>
      <c r="E210" s="27"/>
      <c r="F210" s="27"/>
      <c r="G210" s="27"/>
      <c r="H210" s="27"/>
      <c r="I210" s="27"/>
      <c r="J210" s="42"/>
      <c r="K210" s="116"/>
      <c r="L210" s="149"/>
      <c r="M210" s="116"/>
      <c r="N210" s="117"/>
    </row>
    <row r="211" customFormat="false" ht="12.75" hidden="false" customHeight="true" outlineLevel="0" collapsed="false">
      <c r="A211" s="26"/>
      <c r="B211" s="92"/>
      <c r="C211" s="93"/>
      <c r="D211" s="27"/>
      <c r="E211" s="27"/>
      <c r="F211" s="27"/>
      <c r="G211" s="27"/>
      <c r="H211" s="94"/>
      <c r="I211" s="30"/>
      <c r="J211" s="42"/>
      <c r="K211" s="116"/>
      <c r="L211" s="149"/>
      <c r="M211" s="116"/>
      <c r="N211" s="117"/>
    </row>
    <row r="212" customFormat="false" ht="12.75" hidden="false" customHeight="true" outlineLevel="0" collapsed="false">
      <c r="A212" s="26"/>
      <c r="B212" s="96"/>
      <c r="C212" s="27"/>
      <c r="D212" s="27"/>
      <c r="E212" s="27"/>
      <c r="F212" s="27"/>
      <c r="G212" s="27"/>
      <c r="H212" s="27"/>
      <c r="I212" s="27"/>
      <c r="J212" s="42"/>
      <c r="K212" s="116"/>
      <c r="L212" s="149"/>
      <c r="M212" s="116"/>
      <c r="N212" s="117"/>
    </row>
    <row r="213" customFormat="false" ht="12.75" hidden="false" customHeight="true" outlineLevel="0" collapsed="false">
      <c r="A213" s="26"/>
      <c r="B213" s="27"/>
      <c r="C213" s="27"/>
      <c r="D213" s="27"/>
      <c r="E213" s="27"/>
      <c r="F213" s="27"/>
      <c r="G213" s="27"/>
      <c r="H213" s="27"/>
      <c r="I213" s="27"/>
      <c r="J213" s="42"/>
      <c r="K213" s="116"/>
      <c r="L213" s="149"/>
      <c r="M213" s="116"/>
      <c r="N213" s="117"/>
    </row>
    <row r="214" customFormat="false" ht="12.75" hidden="false" customHeight="true" outlineLevel="0" collapsed="false">
      <c r="A214" s="69"/>
      <c r="B214" s="56" t="s">
        <v>62</v>
      </c>
      <c r="C214" s="34"/>
      <c r="D214" s="34"/>
      <c r="E214" s="34"/>
      <c r="F214" s="34"/>
      <c r="G214" s="34"/>
      <c r="H214" s="34"/>
      <c r="I214" s="34"/>
      <c r="J214" s="51"/>
      <c r="K214" s="60"/>
      <c r="L214" s="60"/>
      <c r="M214" s="98"/>
      <c r="N214" s="99"/>
    </row>
    <row r="215" customFormat="false" ht="12.75" hidden="false" customHeight="true" outlineLevel="0" collapsed="false">
      <c r="A215" s="69" t="s">
        <v>63</v>
      </c>
      <c r="B215" s="34"/>
      <c r="C215" s="34"/>
      <c r="D215" s="34" t="s">
        <v>64</v>
      </c>
      <c r="E215" s="34"/>
      <c r="F215" s="34"/>
      <c r="G215" s="34"/>
      <c r="H215" s="34"/>
      <c r="I215" s="34"/>
      <c r="J215" s="51"/>
      <c r="K215" s="60" t="n">
        <f aca="false">IF($P$13&gt;=4,ROUND(K154+(K154*$P$11),0),0)</f>
        <v>0</v>
      </c>
      <c r="L215" s="60"/>
      <c r="M215" s="21"/>
      <c r="N215" s="62"/>
    </row>
    <row r="216" customFormat="false" ht="12.75" hidden="false" customHeight="true" outlineLevel="0" collapsed="false">
      <c r="A216" s="69"/>
      <c r="B216" s="34"/>
      <c r="C216" s="34"/>
      <c r="D216" s="34" t="s">
        <v>65</v>
      </c>
      <c r="E216" s="34"/>
      <c r="F216" s="34"/>
      <c r="G216" s="34"/>
      <c r="H216" s="34"/>
      <c r="I216" s="34"/>
      <c r="J216" s="51"/>
      <c r="K216" s="60" t="n">
        <f aca="false">IF($P$13&gt;=4,ROUND(K155+(K155*$P$11),0),0)</f>
        <v>0</v>
      </c>
      <c r="L216" s="60"/>
      <c r="M216" s="21"/>
      <c r="N216" s="62"/>
    </row>
    <row r="217" customFormat="false" ht="12.75" hidden="false" customHeight="true" outlineLevel="0" collapsed="false">
      <c r="A217" s="26" t="s">
        <v>66</v>
      </c>
      <c r="B217" s="27"/>
      <c r="C217" s="27"/>
      <c r="D217" s="27"/>
      <c r="E217" s="27"/>
      <c r="F217" s="27"/>
      <c r="G217" s="27"/>
      <c r="H217" s="27"/>
      <c r="I217" s="27"/>
      <c r="J217" s="42"/>
      <c r="K217" s="116"/>
      <c r="L217" s="149"/>
      <c r="M217" s="116"/>
      <c r="N217" s="117"/>
    </row>
    <row r="218" customFormat="false" ht="12.75" hidden="false" customHeight="true" outlineLevel="0" collapsed="false">
      <c r="A218" s="26"/>
      <c r="B218" s="27" t="s">
        <v>67</v>
      </c>
      <c r="C218" s="27"/>
      <c r="D218" s="100"/>
      <c r="E218" s="101"/>
      <c r="F218" s="27"/>
      <c r="G218" s="27"/>
      <c r="H218" s="27"/>
      <c r="I218" s="27"/>
      <c r="J218" s="42"/>
      <c r="K218" s="116"/>
      <c r="L218" s="149"/>
      <c r="M218" s="116"/>
      <c r="N218" s="117"/>
    </row>
    <row r="219" customFormat="false" ht="12.75" hidden="false" customHeight="true" outlineLevel="0" collapsed="false">
      <c r="A219" s="26"/>
      <c r="B219" s="27" t="s">
        <v>68</v>
      </c>
      <c r="C219" s="27"/>
      <c r="D219" s="27"/>
      <c r="E219" s="101"/>
      <c r="F219" s="27"/>
      <c r="G219" s="27"/>
      <c r="H219" s="27"/>
      <c r="I219" s="27"/>
      <c r="J219" s="42"/>
      <c r="K219" s="116"/>
      <c r="L219" s="149"/>
      <c r="M219" s="116"/>
      <c r="N219" s="117"/>
    </row>
    <row r="220" customFormat="false" ht="12.75" hidden="false" customHeight="true" outlineLevel="0" collapsed="false">
      <c r="A220" s="26"/>
      <c r="B220" s="27" t="s">
        <v>69</v>
      </c>
      <c r="C220" s="27"/>
      <c r="D220" s="27"/>
      <c r="E220" s="101"/>
      <c r="F220" s="27"/>
      <c r="G220" s="27"/>
      <c r="H220" s="27"/>
      <c r="I220" s="27"/>
      <c r="J220" s="42"/>
      <c r="K220" s="116"/>
      <c r="L220" s="149"/>
      <c r="M220" s="116"/>
      <c r="N220" s="117"/>
    </row>
    <row r="221" customFormat="false" ht="12.75" hidden="false" customHeight="true" outlineLevel="0" collapsed="false">
      <c r="A221" s="26"/>
      <c r="B221" s="27" t="s">
        <v>70</v>
      </c>
      <c r="C221" s="27"/>
      <c r="D221" s="27"/>
      <c r="E221" s="101"/>
      <c r="F221" s="27"/>
      <c r="G221" s="27"/>
      <c r="H221" s="27"/>
      <c r="I221" s="27"/>
      <c r="J221" s="42"/>
      <c r="K221" s="116"/>
      <c r="L221" s="149"/>
      <c r="M221" s="116"/>
      <c r="N221" s="117"/>
    </row>
    <row r="222" customFormat="false" ht="12.75" hidden="false" customHeight="true" outlineLevel="0" collapsed="false">
      <c r="A222" s="69"/>
      <c r="B222" s="34"/>
      <c r="C222" s="34"/>
      <c r="D222" s="34"/>
      <c r="E222" s="34"/>
      <c r="F222" s="34"/>
      <c r="G222" s="34"/>
      <c r="H222" s="34"/>
      <c r="I222" s="34"/>
      <c r="J222" s="51"/>
      <c r="K222" s="147"/>
      <c r="L222" s="150"/>
      <c r="M222" s="147"/>
      <c r="N222" s="148"/>
    </row>
    <row r="223" customFormat="false" ht="12.75" hidden="false" customHeight="true" outlineLevel="0" collapsed="false">
      <c r="A223" s="53" t="s">
        <v>116</v>
      </c>
      <c r="B223" s="56"/>
      <c r="C223" s="56"/>
      <c r="D223" s="34"/>
      <c r="E223" s="34"/>
      <c r="F223" s="34"/>
      <c r="G223" s="34"/>
      <c r="H223" s="34"/>
      <c r="I223" s="34"/>
      <c r="J223" s="103" t="s">
        <v>72</v>
      </c>
      <c r="K223" s="60" t="n">
        <f aca="false">SUM($E$218:$E$221)</f>
        <v>0</v>
      </c>
      <c r="L223" s="60"/>
      <c r="M223" s="21"/>
      <c r="N223" s="62"/>
    </row>
    <row r="224" customFormat="false" ht="12.75" hidden="false" customHeight="true" outlineLevel="0" collapsed="false">
      <c r="A224" s="69" t="s">
        <v>73</v>
      </c>
      <c r="B224" s="34"/>
      <c r="C224" s="34"/>
      <c r="D224" s="34"/>
      <c r="E224" s="34"/>
      <c r="F224" s="34"/>
      <c r="G224" s="34"/>
      <c r="H224" s="34"/>
      <c r="I224" s="34"/>
      <c r="J224" s="51"/>
      <c r="K224" s="147"/>
      <c r="L224" s="150"/>
      <c r="M224" s="147"/>
      <c r="N224" s="148"/>
    </row>
    <row r="225" customFormat="false" ht="12.75" hidden="false" customHeight="true" outlineLevel="0" collapsed="false">
      <c r="A225" s="69"/>
      <c r="B225" s="34" t="s">
        <v>74</v>
      </c>
      <c r="C225" s="34"/>
      <c r="D225" s="34"/>
      <c r="E225" s="34"/>
      <c r="F225" s="34"/>
      <c r="G225" s="34"/>
      <c r="H225" s="34"/>
      <c r="I225" s="34"/>
      <c r="J225" s="51"/>
      <c r="K225" s="60" t="n">
        <f aca="false">IF($P$13&gt;=4,ROUND(K164+(K164*$P$11),0),0)</f>
        <v>0</v>
      </c>
      <c r="L225" s="60"/>
      <c r="M225" s="21"/>
      <c r="N225" s="62"/>
    </row>
    <row r="226" customFormat="false" ht="12.75" hidden="false" customHeight="true" outlineLevel="0" collapsed="false">
      <c r="A226" s="69"/>
      <c r="B226" s="34" t="s">
        <v>75</v>
      </c>
      <c r="C226" s="34"/>
      <c r="D226" s="34"/>
      <c r="E226" s="34"/>
      <c r="F226" s="34"/>
      <c r="G226" s="34"/>
      <c r="H226" s="34"/>
      <c r="I226" s="34"/>
      <c r="J226" s="51"/>
      <c r="K226" s="60" t="n">
        <f aca="false">IF($P$13&gt;=4,ROUND(K165+(K165*$P$11),0),0)</f>
        <v>0</v>
      </c>
      <c r="L226" s="60"/>
      <c r="M226" s="21"/>
      <c r="N226" s="62"/>
    </row>
    <row r="227" customFormat="false" ht="12.75" hidden="false" customHeight="true" outlineLevel="0" collapsed="false">
      <c r="A227" s="69"/>
      <c r="B227" s="34" t="s">
        <v>76</v>
      </c>
      <c r="C227" s="34"/>
      <c r="D227" s="34"/>
      <c r="E227" s="34"/>
      <c r="F227" s="34"/>
      <c r="G227" s="34"/>
      <c r="H227" s="34"/>
      <c r="I227" s="34"/>
      <c r="J227" s="51"/>
      <c r="K227" s="60" t="n">
        <f aca="false">IF($P$13&gt;=4,ROUND(K166+(K166*$P$11),0),0)</f>
        <v>0</v>
      </c>
      <c r="L227" s="60"/>
      <c r="M227" s="21"/>
      <c r="N227" s="62"/>
      <c r="P227" s="104" t="s">
        <v>77</v>
      </c>
      <c r="R227" s="105" t="s">
        <v>78</v>
      </c>
    </row>
    <row r="228" customFormat="false" ht="12.75" hidden="false" customHeight="true" outlineLevel="0" collapsed="false">
      <c r="A228" s="69"/>
      <c r="B228" s="34" t="s">
        <v>79</v>
      </c>
      <c r="C228" s="34"/>
      <c r="D228" s="34"/>
      <c r="E228" s="34"/>
      <c r="F228" s="34"/>
      <c r="G228" s="34"/>
      <c r="H228" s="34"/>
      <c r="I228" s="34"/>
      <c r="J228" s="51"/>
      <c r="K228" s="60" t="n">
        <f aca="false">IF($P$13&gt;=4,ROUND(K167+(K167*$P$11),0),0)</f>
        <v>0</v>
      </c>
      <c r="L228" s="60"/>
      <c r="M228" s="21"/>
      <c r="N228" s="62"/>
      <c r="P228" s="104" t="s">
        <v>80</v>
      </c>
      <c r="Q228" s="106" t="s">
        <v>125</v>
      </c>
      <c r="R228" s="105" t="s">
        <v>82</v>
      </c>
    </row>
    <row r="229" customFormat="false" ht="12.75" hidden="false" customHeight="true" outlineLevel="0" collapsed="false">
      <c r="A229" s="69"/>
      <c r="B229" s="34" t="s">
        <v>83</v>
      </c>
      <c r="C229" s="34"/>
      <c r="D229" s="34"/>
      <c r="E229" s="34"/>
      <c r="F229" s="34"/>
      <c r="G229" s="34"/>
      <c r="H229" s="34"/>
      <c r="I229" s="34"/>
      <c r="J229" s="51"/>
      <c r="K229" s="60" t="n">
        <f aca="false">SUM(Q229:Q232)</f>
        <v>0</v>
      </c>
      <c r="L229" s="60"/>
      <c r="M229" s="21"/>
      <c r="N229" s="62"/>
      <c r="P229" s="107" t="s">
        <v>84</v>
      </c>
      <c r="Q229" s="108"/>
      <c r="R229" s="105" t="s">
        <v>85</v>
      </c>
    </row>
    <row r="230" customFormat="false" ht="12.75" hidden="false" customHeight="true" outlineLevel="0" collapsed="false">
      <c r="A230" s="69"/>
      <c r="B230" s="34" t="s">
        <v>86</v>
      </c>
      <c r="C230" s="34"/>
      <c r="D230" s="34"/>
      <c r="E230" s="34"/>
      <c r="F230" s="80"/>
      <c r="G230" s="34"/>
      <c r="H230" s="34"/>
      <c r="I230" s="34"/>
      <c r="J230" s="51"/>
      <c r="K230" s="60" t="n">
        <f aca="false">Q236+Q237</f>
        <v>0</v>
      </c>
      <c r="L230" s="60"/>
      <c r="M230" s="21"/>
      <c r="N230" s="62"/>
      <c r="P230" s="109" t="s">
        <v>87</v>
      </c>
      <c r="Q230" s="110"/>
      <c r="R230" s="111" t="n">
        <f aca="false">IF(Q229+R47+R108+R169&gt;=25000,25000-(R47+R108+R169),Q229)</f>
        <v>0</v>
      </c>
    </row>
    <row r="231" customFormat="false" ht="12.75" hidden="false" customHeight="true" outlineLevel="0" collapsed="false">
      <c r="A231" s="69"/>
      <c r="B231" s="34"/>
      <c r="C231" s="34" t="s">
        <v>88</v>
      </c>
      <c r="D231" s="34"/>
      <c r="E231" s="34"/>
      <c r="F231" s="34"/>
      <c r="G231" s="34"/>
      <c r="H231" s="34"/>
      <c r="I231" s="34"/>
      <c r="J231" s="51"/>
      <c r="K231" s="60" t="n">
        <f aca="false">SUM(K$225:K$230)</f>
        <v>0</v>
      </c>
      <c r="L231" s="60"/>
      <c r="M231" s="21"/>
      <c r="N231" s="62"/>
      <c r="P231" s="109" t="s">
        <v>89</v>
      </c>
      <c r="Q231" s="110"/>
      <c r="R231" s="111" t="n">
        <f aca="false">IF(Q230+R48+R109+R170&gt;=25000,25000-(R48+R109+R170),Q230)</f>
        <v>0</v>
      </c>
    </row>
    <row r="232" customFormat="false" ht="12.75" hidden="false" customHeight="true" outlineLevel="0" collapsed="false">
      <c r="A232" s="69" t="s">
        <v>90</v>
      </c>
      <c r="B232" s="34"/>
      <c r="C232" s="34"/>
      <c r="D232" s="34"/>
      <c r="E232" s="34"/>
      <c r="F232" s="34"/>
      <c r="G232" s="34"/>
      <c r="H232" s="34"/>
      <c r="I232" s="34"/>
      <c r="J232" s="51"/>
      <c r="K232" s="153" t="n">
        <f aca="false">K$209+SUM(K$214:K$216)+K$223+K$231</f>
        <v>0</v>
      </c>
      <c r="L232" s="153"/>
      <c r="M232" s="21"/>
      <c r="N232" s="62"/>
      <c r="P232" s="112" t="s">
        <v>91</v>
      </c>
      <c r="Q232" s="113"/>
      <c r="R232" s="111" t="n">
        <f aca="false">IF(Q231+R49+R110+R171&gt;=25000,25000-(R49+R110+R171),Q231)</f>
        <v>0</v>
      </c>
    </row>
    <row r="233" customFormat="false" ht="12.75" hidden="false" customHeight="true" outlineLevel="0" collapsed="false">
      <c r="A233" s="26" t="s">
        <v>92</v>
      </c>
      <c r="B233" s="27"/>
      <c r="C233" s="27"/>
      <c r="D233" s="27"/>
      <c r="E233" s="27"/>
      <c r="F233" s="27"/>
      <c r="G233" s="27"/>
      <c r="H233" s="27"/>
      <c r="I233" s="27"/>
      <c r="J233" s="42"/>
      <c r="K233" s="114"/>
      <c r="L233" s="115"/>
      <c r="M233" s="116"/>
      <c r="N233" s="117"/>
      <c r="R233" s="111" t="n">
        <f aca="false">IF(Q232+R50+R111+R172&gt;=25000,25000-(R50+R111+R172),Q232)</f>
        <v>0</v>
      </c>
    </row>
    <row r="234" customFormat="false" ht="12.75" hidden="false" customHeight="true" outlineLevel="0" collapsed="false">
      <c r="A234" s="119" t="s">
        <v>93</v>
      </c>
      <c r="B234" s="119"/>
      <c r="C234" s="119"/>
      <c r="D234" s="119"/>
      <c r="E234" s="119"/>
      <c r="F234" s="119"/>
      <c r="G234" s="120" t="n">
        <f aca="false">IF(R230&gt;25000,"25000",R230)+IF(R231&gt;25000,"25000",R231)+IF(R232&gt;25000,"25000",R232)+IF(R233&gt;25000,"25000",R233)+K232-K214-K223-K229-Q236</f>
        <v>0</v>
      </c>
      <c r="H234" s="120"/>
      <c r="I234" s="27"/>
      <c r="J234" s="42"/>
      <c r="K234" s="114"/>
      <c r="L234" s="115"/>
      <c r="M234" s="116"/>
      <c r="N234" s="117"/>
      <c r="P234" s="121" t="s">
        <v>94</v>
      </c>
    </row>
    <row r="235" customFormat="false" ht="12.75" hidden="false" customHeight="true" outlineLevel="0" collapsed="false">
      <c r="A235" s="69" t="s">
        <v>95</v>
      </c>
      <c r="B235" s="34"/>
      <c r="C235" s="34"/>
      <c r="D235" s="34"/>
      <c r="E235" s="34"/>
      <c r="F235" s="34"/>
      <c r="G235" s="85" t="s">
        <v>96</v>
      </c>
      <c r="H235" s="122" t="n">
        <f aca="false">IF(P13&gt;3,H52,0)</f>
        <v>0</v>
      </c>
      <c r="I235" s="34"/>
      <c r="J235" s="51"/>
      <c r="K235" s="60" t="n">
        <f aca="false">ROUND($G$234 * $H$235,0)</f>
        <v>0</v>
      </c>
      <c r="L235" s="60"/>
      <c r="M235" s="123"/>
      <c r="N235" s="124"/>
      <c r="P235" s="121" t="s">
        <v>97</v>
      </c>
      <c r="Q235" s="125" t="s">
        <v>125</v>
      </c>
    </row>
    <row r="236" customFormat="false" ht="12.75" hidden="false" customHeight="true" outlineLevel="0" collapsed="false">
      <c r="A236" s="69" t="s">
        <v>98</v>
      </c>
      <c r="B236" s="34"/>
      <c r="C236" s="34"/>
      <c r="D236" s="34"/>
      <c r="E236" s="34"/>
      <c r="F236" s="34"/>
      <c r="G236" s="34"/>
      <c r="H236" s="34"/>
      <c r="I236" s="34"/>
      <c r="J236" s="51"/>
      <c r="K236" s="153" t="n">
        <f aca="false">K$232+K$235</f>
        <v>0</v>
      </c>
      <c r="L236" s="153"/>
      <c r="M236" s="21"/>
      <c r="N236" s="62"/>
      <c r="P236" s="125" t="s">
        <v>99</v>
      </c>
      <c r="Q236" s="129" t="n">
        <f aca="false">IF(P194="",0,ROUND(K203*R237,0))</f>
        <v>0</v>
      </c>
    </row>
    <row r="237" customFormat="false" ht="12.75" hidden="false" customHeight="true" outlineLevel="0" collapsed="false">
      <c r="A237" s="69" t="s">
        <v>100</v>
      </c>
      <c r="B237" s="34"/>
      <c r="C237" s="34"/>
      <c r="D237" s="34"/>
      <c r="E237" s="34"/>
      <c r="F237" s="34"/>
      <c r="G237" s="34"/>
      <c r="H237" s="34"/>
      <c r="I237" s="34"/>
      <c r="J237" s="51"/>
      <c r="K237" s="60"/>
      <c r="L237" s="60"/>
      <c r="M237" s="21"/>
      <c r="N237" s="62"/>
      <c r="P237" s="125" t="s">
        <v>101</v>
      </c>
      <c r="Q237" s="129" t="n">
        <f aca="false">IF($P$13&gt;=4,ROUND(Q176+(Q176*$P$11),0),0)</f>
        <v>0</v>
      </c>
      <c r="R237" s="95" t="str">
        <f aca="false">IF(P194="","",0.36)</f>
        <v/>
      </c>
    </row>
    <row r="238" customFormat="false" ht="12.75" hidden="false" customHeight="true" outlineLevel="0" collapsed="false">
      <c r="A238" s="130" t="s">
        <v>102</v>
      </c>
      <c r="B238" s="36"/>
      <c r="C238" s="36"/>
      <c r="D238" s="36"/>
      <c r="E238" s="36"/>
      <c r="F238" s="36"/>
      <c r="G238" s="36"/>
      <c r="H238" s="36"/>
      <c r="I238" s="36"/>
      <c r="J238" s="37"/>
      <c r="K238" s="154" t="n">
        <f aca="false">K$236-K$237</f>
        <v>0</v>
      </c>
      <c r="L238" s="154"/>
      <c r="M238" s="132"/>
      <c r="N238" s="133"/>
    </row>
    <row r="239" customFormat="false" ht="12.75" hidden="false" customHeight="true" outlineLevel="0" collapsed="false">
      <c r="A239" s="130" t="s">
        <v>103</v>
      </c>
      <c r="B239" s="36"/>
      <c r="C239" s="36"/>
      <c r="D239" s="36"/>
      <c r="E239" s="36"/>
      <c r="F239" s="132"/>
      <c r="G239" s="134" t="s">
        <v>104</v>
      </c>
      <c r="H239" s="36"/>
      <c r="I239" s="36"/>
      <c r="J239" s="38"/>
      <c r="K239" s="132"/>
      <c r="L239" s="132"/>
      <c r="M239" s="38"/>
      <c r="N239" s="135"/>
    </row>
    <row r="240" customFormat="false" ht="12.75" hidden="false" customHeight="true" outlineLevel="0" collapsed="false">
      <c r="A240" s="26" t="s">
        <v>105</v>
      </c>
      <c r="B240" s="27"/>
      <c r="C240" s="27"/>
      <c r="D240" s="27"/>
      <c r="E240" s="27"/>
      <c r="F240" s="42"/>
      <c r="G240" s="32" t="s">
        <v>106</v>
      </c>
      <c r="H240" s="136" t="s">
        <v>2</v>
      </c>
      <c r="I240" s="136"/>
      <c r="J240" s="136"/>
      <c r="K240" s="136"/>
      <c r="L240" s="136"/>
      <c r="M240" s="136"/>
      <c r="N240" s="136"/>
    </row>
    <row r="241" customFormat="false" ht="12.75" hidden="false" customHeight="true" outlineLevel="0" collapsed="false">
      <c r="A241" s="69" t="str">
        <f aca="false">A6</f>
        <v>William Riley Casper</v>
      </c>
      <c r="B241" s="34"/>
      <c r="C241" s="34"/>
      <c r="D241" s="34"/>
      <c r="E241" s="34"/>
      <c r="F241" s="56"/>
      <c r="G241" s="137"/>
      <c r="H241" s="62" t="s">
        <v>107</v>
      </c>
      <c r="I241" s="62"/>
      <c r="J241" s="62"/>
      <c r="K241" s="62"/>
      <c r="L241" s="62"/>
      <c r="M241" s="62"/>
      <c r="N241" s="62"/>
    </row>
    <row r="242" customFormat="false" ht="12.75" hidden="false" customHeight="true" outlineLevel="0" collapsed="false">
      <c r="A242" s="26" t="s">
        <v>118</v>
      </c>
      <c r="B242" s="27"/>
      <c r="C242" s="27"/>
      <c r="D242" s="27"/>
      <c r="E242" s="27"/>
      <c r="F242" s="42"/>
      <c r="G242" s="32" t="s">
        <v>106</v>
      </c>
      <c r="H242" s="31" t="s">
        <v>109</v>
      </c>
      <c r="I242" s="31"/>
      <c r="J242" s="31" t="s">
        <v>110</v>
      </c>
      <c r="K242" s="31"/>
      <c r="L242" s="31"/>
      <c r="M242" s="138" t="s">
        <v>111</v>
      </c>
      <c r="N242" s="138"/>
    </row>
    <row r="243" customFormat="false" ht="12.75" hidden="false" customHeight="true" outlineLevel="0" collapsed="false">
      <c r="A243" s="130" t="str">
        <f aca="false">A60</f>
        <v>Darya Courville, Executive Director, Sponsored Programs</v>
      </c>
      <c r="B243" s="36"/>
      <c r="C243" s="36"/>
      <c r="D243" s="36"/>
      <c r="E243" s="36"/>
      <c r="F243" s="37"/>
      <c r="G243" s="40"/>
      <c r="H243" s="36"/>
      <c r="I243" s="37"/>
      <c r="J243" s="36"/>
      <c r="K243" s="36"/>
      <c r="L243" s="37"/>
      <c r="M243" s="36"/>
      <c r="N243" s="40"/>
    </row>
    <row r="244" customFormat="false" ht="12.75" hidden="false" customHeight="true" outlineLevel="0" collapsed="false">
      <c r="A244" s="139" t="s">
        <v>113</v>
      </c>
      <c r="B244" s="139"/>
      <c r="C244" s="139"/>
      <c r="D244" s="139"/>
      <c r="E244" s="140"/>
      <c r="F244" s="139"/>
      <c r="N244" s="141"/>
    </row>
    <row r="245" customFormat="false" ht="16" hidden="false" customHeight="false" outlineLevel="0" collapsed="false">
      <c r="A245" s="3"/>
      <c r="B245" s="2"/>
      <c r="C245" s="2"/>
      <c r="D245" s="4"/>
      <c r="E245" s="5"/>
      <c r="F245" s="6"/>
      <c r="G245" s="7"/>
      <c r="H245" s="8"/>
      <c r="L245" s="9" t="s">
        <v>126</v>
      </c>
    </row>
    <row r="246" customFormat="false" ht="16" hidden="false" customHeight="false" outlineLevel="0" collapsed="false">
      <c r="A246" s="11" t="s">
        <v>1</v>
      </c>
      <c r="B246" s="11"/>
      <c r="C246" s="11"/>
      <c r="D246" s="11"/>
      <c r="E246" s="11"/>
      <c r="F246" s="11"/>
      <c r="G246" s="11"/>
      <c r="H246" s="11"/>
      <c r="I246" s="12" t="s">
        <v>2</v>
      </c>
      <c r="J246" s="12"/>
      <c r="K246" s="12"/>
      <c r="L246" s="12"/>
      <c r="M246" s="12"/>
      <c r="N246" s="12"/>
    </row>
    <row r="247" customFormat="false" ht="13.5" hidden="false" customHeight="false" outlineLevel="0" collapsed="false">
      <c r="A247" s="13" t="s">
        <v>3</v>
      </c>
      <c r="B247" s="14"/>
      <c r="C247" s="14"/>
      <c r="D247" s="14"/>
      <c r="E247" s="14"/>
      <c r="F247" s="14"/>
      <c r="G247" s="14"/>
      <c r="H247" s="14"/>
      <c r="I247" s="15" t="s">
        <v>4</v>
      </c>
      <c r="J247" s="15"/>
      <c r="K247" s="15"/>
      <c r="L247" s="16" t="s">
        <v>5</v>
      </c>
      <c r="M247" s="16"/>
      <c r="N247" s="16"/>
    </row>
    <row r="248" customFormat="false" ht="13.5" hidden="false" customHeight="false" outlineLevel="0" collapsed="false">
      <c r="A248" s="17" t="s">
        <v>6</v>
      </c>
      <c r="B248" s="18"/>
      <c r="C248" s="19"/>
      <c r="D248" s="19"/>
      <c r="E248" s="19"/>
      <c r="F248" s="19"/>
      <c r="G248" s="19"/>
      <c r="H248" s="20"/>
      <c r="I248" s="21"/>
      <c r="J248" s="21"/>
      <c r="K248" s="22"/>
      <c r="L248" s="22" t="s">
        <v>7</v>
      </c>
      <c r="M248" s="22"/>
      <c r="N248" s="23" t="s">
        <v>8</v>
      </c>
    </row>
    <row r="249" customFormat="false" ht="13.5" hidden="false" customHeight="false" outlineLevel="0" collapsed="false">
      <c r="A249" s="26" t="s">
        <v>9</v>
      </c>
      <c r="B249" s="27"/>
      <c r="C249" s="27"/>
      <c r="D249" s="27"/>
      <c r="E249" s="27"/>
      <c r="F249" s="27"/>
      <c r="G249" s="27"/>
      <c r="H249" s="27"/>
      <c r="I249" s="28" t="s">
        <v>10</v>
      </c>
      <c r="J249" s="28"/>
      <c r="K249" s="29"/>
      <c r="L249" s="30"/>
      <c r="M249" s="31"/>
      <c r="N249" s="32"/>
    </row>
    <row r="250" customFormat="false" ht="14" hidden="false" customHeight="false" outlineLevel="0" collapsed="false">
      <c r="A250" s="33" t="str">
        <f aca="false">A6</f>
        <v>William Riley Casper</v>
      </c>
      <c r="B250" s="18"/>
      <c r="C250" s="34"/>
      <c r="D250" s="34"/>
      <c r="E250" s="34"/>
      <c r="F250" s="34"/>
      <c r="G250" s="34"/>
      <c r="H250" s="34"/>
      <c r="I250" s="35"/>
      <c r="J250" s="36"/>
      <c r="K250" s="37"/>
      <c r="L250" s="38"/>
      <c r="M250" s="39"/>
      <c r="N250" s="40"/>
    </row>
    <row r="251" customFormat="false" ht="13.5" hidden="false" customHeight="false" outlineLevel="0" collapsed="false">
      <c r="A251" s="26" t="s">
        <v>12</v>
      </c>
      <c r="B251" s="27"/>
      <c r="C251" s="27"/>
      <c r="D251" s="27"/>
      <c r="E251" s="41"/>
      <c r="F251" s="27"/>
      <c r="G251" s="42"/>
      <c r="H251" s="43" t="s">
        <v>13</v>
      </c>
      <c r="I251" s="43"/>
      <c r="J251" s="43"/>
      <c r="K251" s="43" t="s">
        <v>14</v>
      </c>
      <c r="L251" s="43"/>
      <c r="M251" s="44" t="s">
        <v>14</v>
      </c>
      <c r="N251" s="44"/>
    </row>
    <row r="252" customFormat="false" ht="13.5" hidden="false" customHeight="false" outlineLevel="0" collapsed="false">
      <c r="A252" s="26"/>
      <c r="B252" s="41" t="s">
        <v>16</v>
      </c>
      <c r="C252" s="27"/>
      <c r="D252" s="27"/>
      <c r="E252" s="27"/>
      <c r="F252" s="27"/>
      <c r="G252" s="42"/>
      <c r="H252" s="47" t="s">
        <v>17</v>
      </c>
      <c r="I252" s="47"/>
      <c r="J252" s="47"/>
      <c r="K252" s="43" t="s">
        <v>18</v>
      </c>
      <c r="L252" s="43"/>
      <c r="M252" s="44" t="s">
        <v>19</v>
      </c>
      <c r="N252" s="44"/>
    </row>
    <row r="253" customFormat="false" ht="13.5" hidden="false" customHeight="false" outlineLevel="0" collapsed="false">
      <c r="A253" s="49"/>
      <c r="B253" s="50"/>
      <c r="C253" s="21"/>
      <c r="D253" s="34"/>
      <c r="E253" s="34"/>
      <c r="F253" s="34"/>
      <c r="G253" s="51"/>
      <c r="H253" s="22" t="s">
        <v>20</v>
      </c>
      <c r="I253" s="22" t="s">
        <v>21</v>
      </c>
      <c r="J253" s="22" t="s">
        <v>22</v>
      </c>
      <c r="K253" s="47" t="s">
        <v>23</v>
      </c>
      <c r="L253" s="47"/>
      <c r="M253" s="52" t="s">
        <v>24</v>
      </c>
      <c r="N253" s="52"/>
    </row>
    <row r="254" customFormat="false" ht="12.75" hidden="false" customHeight="true" outlineLevel="0" collapsed="false">
      <c r="A254" s="53" t="s">
        <v>26</v>
      </c>
      <c r="B254" s="54"/>
      <c r="C254" s="56" t="str">
        <f aca="false">A189</f>
        <v>William Riley Casper</v>
      </c>
      <c r="D254" s="56"/>
      <c r="E254" s="56"/>
      <c r="F254" s="56"/>
      <c r="G254" s="57"/>
      <c r="H254" s="58"/>
      <c r="I254" s="58"/>
      <c r="J254" s="58"/>
      <c r="K254" s="60" t="n">
        <f aca="false">IF($P$13&gt;=5,ROUND(K193+(K193*$P$8),0),0)</f>
        <v>0</v>
      </c>
      <c r="L254" s="60"/>
      <c r="M254" s="61"/>
      <c r="N254" s="62"/>
      <c r="P254" s="142" t="s">
        <v>127</v>
      </c>
    </row>
    <row r="255" customFormat="false" ht="12.75" hidden="false" customHeight="true" outlineLevel="0" collapsed="false">
      <c r="A255" s="53" t="s">
        <v>28</v>
      </c>
      <c r="B255" s="63"/>
      <c r="C255" s="56" t="str">
        <f aca="false">IF(C11="","",C11)</f>
        <v/>
      </c>
      <c r="D255" s="56"/>
      <c r="E255" s="56"/>
      <c r="F255" s="56"/>
      <c r="G255" s="64"/>
      <c r="H255" s="58"/>
      <c r="I255" s="58"/>
      <c r="J255" s="58"/>
      <c r="K255" s="60" t="n">
        <f aca="false">IF($P$13&gt;=5,ROUND(K194+(K194*$P$8),0),0)</f>
        <v>0</v>
      </c>
      <c r="L255" s="60"/>
      <c r="M255" s="21"/>
      <c r="N255" s="62"/>
      <c r="P255" s="143" t="str">
        <f aca="false">IF($P$13&gt;4,P194+(12*31),"")</f>
        <v/>
      </c>
    </row>
    <row r="256" customFormat="false" ht="12.75" hidden="false" customHeight="true" outlineLevel="0" collapsed="false">
      <c r="A256" s="53" t="s">
        <v>29</v>
      </c>
      <c r="B256" s="56"/>
      <c r="C256" s="56" t="str">
        <f aca="false">IF(C12="","",C12)</f>
        <v/>
      </c>
      <c r="D256" s="56"/>
      <c r="E256" s="56"/>
      <c r="F256" s="56"/>
      <c r="G256" s="64"/>
      <c r="H256" s="58"/>
      <c r="I256" s="58"/>
      <c r="J256" s="58"/>
      <c r="K256" s="60" t="n">
        <f aca="false">IF($P$13&gt;=5,ROUND(K195+(K195*$P$8),0),0)</f>
        <v>0</v>
      </c>
      <c r="L256" s="60"/>
      <c r="M256" s="21"/>
      <c r="N256" s="62"/>
      <c r="P256" s="45"/>
    </row>
    <row r="257" customFormat="false" ht="12.75" hidden="false" customHeight="true" outlineLevel="0" collapsed="false">
      <c r="A257" s="53" t="s">
        <v>31</v>
      </c>
      <c r="B257" s="56"/>
      <c r="C257" s="56" t="str">
        <f aca="false">IF(C13="","",C13)</f>
        <v/>
      </c>
      <c r="D257" s="56"/>
      <c r="E257" s="56"/>
      <c r="F257" s="56"/>
      <c r="G257" s="64"/>
      <c r="H257" s="58"/>
      <c r="I257" s="58"/>
      <c r="J257" s="58"/>
      <c r="K257" s="60" t="n">
        <f aca="false">IF($P$13&gt;=5,ROUND(K196+(K196*$P$8),0),0)</f>
        <v>0</v>
      </c>
      <c r="L257" s="60"/>
      <c r="M257" s="21"/>
      <c r="N257" s="62"/>
      <c r="P257" s="83"/>
    </row>
    <row r="258" customFormat="false" ht="12.75" hidden="false" customHeight="true" outlineLevel="0" collapsed="false">
      <c r="A258" s="53" t="s">
        <v>32</v>
      </c>
      <c r="B258" s="56"/>
      <c r="C258" s="56" t="str">
        <f aca="false">IF(C14="","",C14)</f>
        <v/>
      </c>
      <c r="D258" s="56"/>
      <c r="E258" s="56"/>
      <c r="F258" s="56"/>
      <c r="G258" s="64"/>
      <c r="H258" s="58"/>
      <c r="I258" s="58"/>
      <c r="J258" s="58"/>
      <c r="K258" s="60" t="n">
        <f aca="false">IF($P$13&gt;=5,ROUND(K197+(K197*$P$8),0),0)</f>
        <v>0</v>
      </c>
      <c r="L258" s="60"/>
      <c r="M258" s="21"/>
      <c r="N258" s="62"/>
      <c r="P258" s="121" t="s">
        <v>54</v>
      </c>
    </row>
    <row r="259" customFormat="false" ht="12.75" hidden="false" customHeight="true" outlineLevel="0" collapsed="false">
      <c r="A259" s="53" t="s">
        <v>34</v>
      </c>
      <c r="B259" s="50"/>
      <c r="C259" s="34" t="s">
        <v>35</v>
      </c>
      <c r="D259" s="34"/>
      <c r="E259" s="34"/>
      <c r="F259" s="34"/>
      <c r="G259" s="51"/>
      <c r="H259" s="58"/>
      <c r="I259" s="58"/>
      <c r="J259" s="58"/>
      <c r="K259" s="60" t="n">
        <f aca="false">IF($P$13&gt;=5,ROUND(K198+(K198*$P$8),0),0)</f>
        <v>0</v>
      </c>
      <c r="L259" s="60"/>
      <c r="M259" s="21"/>
      <c r="N259" s="62"/>
      <c r="P259" s="87"/>
    </row>
    <row r="260" customFormat="false" ht="12.75" hidden="false" customHeight="true" outlineLevel="0" collapsed="false">
      <c r="A260" s="53" t="s">
        <v>36</v>
      </c>
      <c r="B260" s="50"/>
      <c r="C260" s="34" t="s">
        <v>37</v>
      </c>
      <c r="D260" s="34"/>
      <c r="E260" s="34"/>
      <c r="F260" s="34"/>
      <c r="G260" s="51"/>
      <c r="H260" s="58"/>
      <c r="I260" s="58"/>
      <c r="J260" s="58"/>
      <c r="K260" s="60" t="n">
        <f aca="false">SUM(K$254:K$259)</f>
        <v>0</v>
      </c>
      <c r="L260" s="60"/>
      <c r="M260" s="21"/>
      <c r="N260" s="62"/>
    </row>
    <row r="261" customFormat="false" ht="12.75" hidden="false" customHeight="true" outlineLevel="0" collapsed="false">
      <c r="A261" s="69" t="s">
        <v>39</v>
      </c>
      <c r="B261" s="34"/>
      <c r="C261" s="34"/>
      <c r="D261" s="34"/>
      <c r="E261" s="34"/>
      <c r="F261" s="34"/>
      <c r="G261" s="51"/>
      <c r="H261" s="144"/>
      <c r="I261" s="144"/>
      <c r="J261" s="144"/>
      <c r="K261" s="145"/>
      <c r="L261" s="146"/>
      <c r="M261" s="147"/>
      <c r="N261" s="148"/>
      <c r="P261" s="0" t="s">
        <v>59</v>
      </c>
    </row>
    <row r="262" customFormat="false" ht="12.75" hidden="false" customHeight="true" outlineLevel="0" collapsed="false">
      <c r="A262" s="53" t="s">
        <v>41</v>
      </c>
      <c r="B262" s="50"/>
      <c r="C262" s="34" t="s">
        <v>42</v>
      </c>
      <c r="D262" s="34"/>
      <c r="E262" s="34"/>
      <c r="F262" s="34"/>
      <c r="G262" s="51"/>
      <c r="H262" s="58"/>
      <c r="I262" s="58"/>
      <c r="J262" s="58"/>
      <c r="K262" s="60" t="n">
        <f aca="false">IF($P$13&gt;=5,ROUND(K201+(K201*$P$8),0),0)</f>
        <v>0</v>
      </c>
      <c r="L262" s="60"/>
      <c r="M262" s="21"/>
      <c r="N262" s="62"/>
      <c r="P262" s="95" t="str">
        <f aca="false">IF(P255="","",0.44)</f>
        <v/>
      </c>
      <c r="Q262" s="0" t="s">
        <v>60</v>
      </c>
    </row>
    <row r="263" customFormat="false" ht="12.75" hidden="false" customHeight="true" outlineLevel="0" collapsed="false">
      <c r="A263" s="53" t="s">
        <v>44</v>
      </c>
      <c r="B263" s="50"/>
      <c r="C263" s="34" t="s">
        <v>45</v>
      </c>
      <c r="D263" s="34"/>
      <c r="E263" s="34"/>
      <c r="F263" s="34"/>
      <c r="G263" s="34"/>
      <c r="H263" s="78"/>
      <c r="I263" s="78"/>
      <c r="J263" s="79"/>
      <c r="K263" s="60" t="n">
        <f aca="false">IF($P$13&gt;=5,ROUND(K202+(K202*$P$8),0),0)</f>
        <v>0</v>
      </c>
      <c r="L263" s="60"/>
      <c r="M263" s="21"/>
      <c r="N263" s="62"/>
      <c r="P263" s="97" t="str">
        <f aca="false">IF(P255="","",0.0765)</f>
        <v/>
      </c>
      <c r="Q263" s="0" t="s">
        <v>61</v>
      </c>
    </row>
    <row r="264" customFormat="false" ht="12.75" hidden="false" customHeight="true" outlineLevel="0" collapsed="false">
      <c r="A264" s="53" t="s">
        <v>46</v>
      </c>
      <c r="B264" s="50"/>
      <c r="C264" s="56" t="s">
        <v>47</v>
      </c>
      <c r="D264" s="34"/>
      <c r="E264" s="34"/>
      <c r="F264" s="80"/>
      <c r="G264" s="34"/>
      <c r="H264" s="81"/>
      <c r="I264" s="81"/>
      <c r="J264" s="82"/>
      <c r="K264" s="60" t="n">
        <f aca="false">IF($P$13&gt;=5,ROUND(K203+(K203*$P$8),0),0)</f>
        <v>0</v>
      </c>
      <c r="L264" s="60"/>
      <c r="M264" s="21"/>
      <c r="N264" s="62"/>
    </row>
    <row r="265" customFormat="false" ht="12.75" hidden="false" customHeight="true" outlineLevel="0" collapsed="false">
      <c r="A265" s="53" t="s">
        <v>48</v>
      </c>
      <c r="B265" s="50"/>
      <c r="C265" s="56" t="s">
        <v>49</v>
      </c>
      <c r="D265" s="34"/>
      <c r="E265" s="34"/>
      <c r="F265" s="80"/>
      <c r="G265" s="34"/>
      <c r="H265" s="81"/>
      <c r="I265" s="81"/>
      <c r="J265" s="82"/>
      <c r="K265" s="60" t="n">
        <f aca="false">IF($P$13&gt;=5,ROUND(K204+(K204*$P$8),0),0)</f>
        <v>0</v>
      </c>
      <c r="L265" s="60"/>
      <c r="M265" s="21"/>
      <c r="N265" s="62"/>
    </row>
    <row r="266" customFormat="false" ht="12.75" hidden="false" customHeight="true" outlineLevel="0" collapsed="false">
      <c r="A266" s="53" t="s">
        <v>50</v>
      </c>
      <c r="B266" s="50"/>
      <c r="C266" s="56" t="s">
        <v>51</v>
      </c>
      <c r="D266" s="34"/>
      <c r="E266" s="34"/>
      <c r="F266" s="34"/>
      <c r="G266" s="34"/>
      <c r="H266" s="34"/>
      <c r="I266" s="34"/>
      <c r="J266" s="51"/>
      <c r="K266" s="60" t="n">
        <f aca="false">IF($P$13&gt;=5,ROUND(K205+(K205*$P$8),0),0)</f>
        <v>0</v>
      </c>
      <c r="L266" s="60"/>
      <c r="M266" s="21"/>
      <c r="N266" s="62"/>
    </row>
    <row r="267" customFormat="false" ht="12.75" hidden="false" customHeight="true" outlineLevel="0" collapsed="false">
      <c r="A267" s="53" t="s">
        <v>34</v>
      </c>
      <c r="B267" s="50"/>
      <c r="C267" s="56" t="s">
        <v>52</v>
      </c>
      <c r="D267" s="34"/>
      <c r="E267" s="34"/>
      <c r="F267" s="34"/>
      <c r="G267" s="34"/>
      <c r="H267" s="34"/>
      <c r="I267" s="34"/>
      <c r="J267" s="51"/>
      <c r="K267" s="60" t="n">
        <f aca="false">IF($P$13&gt;=5,ROUND(K206+(K206*$P$8),0),0)</f>
        <v>0</v>
      </c>
      <c r="L267" s="60"/>
      <c r="M267" s="21"/>
      <c r="N267" s="62"/>
    </row>
    <row r="268" customFormat="false" ht="12.75" hidden="false" customHeight="true" outlineLevel="0" collapsed="false">
      <c r="A268" s="53"/>
      <c r="B268" s="56" t="s">
        <v>53</v>
      </c>
      <c r="C268" s="56"/>
      <c r="D268" s="34"/>
      <c r="E268" s="34"/>
      <c r="F268" s="34"/>
      <c r="G268" s="34"/>
      <c r="H268" s="34"/>
      <c r="I268" s="34"/>
      <c r="J268" s="51"/>
      <c r="K268" s="60" t="n">
        <f aca="false">K$260+SUM(K$262:K$267)</f>
        <v>0</v>
      </c>
      <c r="L268" s="60"/>
      <c r="M268" s="21"/>
      <c r="N268" s="62"/>
    </row>
    <row r="269" customFormat="false" ht="12.75" hidden="false" customHeight="true" outlineLevel="0" collapsed="false">
      <c r="A269" s="69" t="s">
        <v>55</v>
      </c>
      <c r="B269" s="34"/>
      <c r="C269" s="34"/>
      <c r="D269" s="34"/>
      <c r="E269" s="34"/>
      <c r="F269" s="34"/>
      <c r="G269" s="85" t="s">
        <v>56</v>
      </c>
      <c r="H269" s="86"/>
      <c r="I269" s="34"/>
      <c r="J269" s="51"/>
      <c r="K269" s="68" t="n">
        <f aca="false">IF(P255="",0,ROUND(((K268-K265-K264-P259)*P262)+(P259*P263),0))</f>
        <v>0</v>
      </c>
      <c r="L269" s="68"/>
      <c r="M269" s="21"/>
      <c r="N269" s="62"/>
    </row>
    <row r="270" customFormat="false" ht="12.75" hidden="false" customHeight="true" outlineLevel="0" collapsed="false">
      <c r="A270" s="69"/>
      <c r="B270" s="56" t="s">
        <v>57</v>
      </c>
      <c r="C270" s="34"/>
      <c r="D270" s="34"/>
      <c r="E270" s="34"/>
      <c r="F270" s="34"/>
      <c r="G270" s="34"/>
      <c r="H270" s="34"/>
      <c r="I270" s="34"/>
      <c r="J270" s="51"/>
      <c r="K270" s="60" t="n">
        <f aca="false">K$268+K$269</f>
        <v>0</v>
      </c>
      <c r="L270" s="60"/>
      <c r="M270" s="21"/>
      <c r="N270" s="62"/>
    </row>
    <row r="271" customFormat="false" ht="12.75" hidden="false" customHeight="true" outlineLevel="0" collapsed="false">
      <c r="A271" s="26" t="s">
        <v>58</v>
      </c>
      <c r="B271" s="27"/>
      <c r="C271" s="27"/>
      <c r="D271" s="27"/>
      <c r="E271" s="27"/>
      <c r="F271" s="27"/>
      <c r="G271" s="27"/>
      <c r="H271" s="27"/>
      <c r="I271" s="27"/>
      <c r="J271" s="42"/>
      <c r="K271" s="116"/>
      <c r="L271" s="149"/>
      <c r="M271" s="116"/>
      <c r="N271" s="117"/>
    </row>
    <row r="272" customFormat="false" ht="12.75" hidden="false" customHeight="true" outlineLevel="0" collapsed="false">
      <c r="A272" s="26"/>
      <c r="B272" s="92"/>
      <c r="C272" s="93"/>
      <c r="D272" s="27"/>
      <c r="E272" s="27"/>
      <c r="F272" s="27"/>
      <c r="G272" s="27"/>
      <c r="H272" s="94"/>
      <c r="I272" s="30"/>
      <c r="J272" s="42"/>
      <c r="K272" s="116"/>
      <c r="L272" s="149"/>
      <c r="M272" s="116"/>
      <c r="N272" s="117"/>
    </row>
    <row r="273" customFormat="false" ht="12.75" hidden="false" customHeight="true" outlineLevel="0" collapsed="false">
      <c r="A273" s="26"/>
      <c r="B273" s="96"/>
      <c r="C273" s="27"/>
      <c r="D273" s="27"/>
      <c r="E273" s="27"/>
      <c r="F273" s="27"/>
      <c r="G273" s="27"/>
      <c r="H273" s="27"/>
      <c r="I273" s="27"/>
      <c r="J273" s="42"/>
      <c r="K273" s="116"/>
      <c r="L273" s="149"/>
      <c r="M273" s="116"/>
      <c r="N273" s="117"/>
    </row>
    <row r="274" customFormat="false" ht="12.75" hidden="false" customHeight="true" outlineLevel="0" collapsed="false">
      <c r="A274" s="26"/>
      <c r="B274" s="27"/>
      <c r="C274" s="27"/>
      <c r="D274" s="27"/>
      <c r="E274" s="27"/>
      <c r="F274" s="27"/>
      <c r="G274" s="27"/>
      <c r="H274" s="27"/>
      <c r="I274" s="27"/>
      <c r="J274" s="42"/>
      <c r="K274" s="116"/>
      <c r="L274" s="149"/>
      <c r="M274" s="116"/>
      <c r="N274" s="117"/>
    </row>
    <row r="275" customFormat="false" ht="12.75" hidden="false" customHeight="true" outlineLevel="0" collapsed="false">
      <c r="A275" s="69"/>
      <c r="B275" s="56" t="s">
        <v>62</v>
      </c>
      <c r="C275" s="34"/>
      <c r="D275" s="34"/>
      <c r="E275" s="34"/>
      <c r="F275" s="34"/>
      <c r="G275" s="34"/>
      <c r="H275" s="34"/>
      <c r="I275" s="34"/>
      <c r="J275" s="51"/>
      <c r="K275" s="60"/>
      <c r="L275" s="60"/>
      <c r="M275" s="98"/>
      <c r="N275" s="99"/>
    </row>
    <row r="276" customFormat="false" ht="12.75" hidden="false" customHeight="true" outlineLevel="0" collapsed="false">
      <c r="A276" s="69" t="s">
        <v>63</v>
      </c>
      <c r="B276" s="34"/>
      <c r="C276" s="34"/>
      <c r="D276" s="34" t="s">
        <v>64</v>
      </c>
      <c r="E276" s="34"/>
      <c r="F276" s="34"/>
      <c r="G276" s="34"/>
      <c r="H276" s="34"/>
      <c r="I276" s="34"/>
      <c r="J276" s="51"/>
      <c r="K276" s="60" t="n">
        <f aca="false">IF($P$13&gt;=5,ROUND(K215+(K215*$P$11),0),0)</f>
        <v>0</v>
      </c>
      <c r="L276" s="60"/>
      <c r="M276" s="21"/>
      <c r="N276" s="62"/>
    </row>
    <row r="277" customFormat="false" ht="12.75" hidden="false" customHeight="true" outlineLevel="0" collapsed="false">
      <c r="A277" s="69"/>
      <c r="B277" s="34"/>
      <c r="C277" s="34"/>
      <c r="D277" s="34" t="s">
        <v>65</v>
      </c>
      <c r="E277" s="34"/>
      <c r="F277" s="34"/>
      <c r="G277" s="34"/>
      <c r="H277" s="34"/>
      <c r="I277" s="34"/>
      <c r="J277" s="51"/>
      <c r="K277" s="60" t="n">
        <f aca="false">IF($P$13&gt;=5,ROUND(K216+(K216*$P$11),0),0)</f>
        <v>0</v>
      </c>
      <c r="L277" s="60"/>
      <c r="M277" s="21"/>
      <c r="N277" s="62"/>
    </row>
    <row r="278" customFormat="false" ht="12.75" hidden="false" customHeight="true" outlineLevel="0" collapsed="false">
      <c r="A278" s="26" t="s">
        <v>66</v>
      </c>
      <c r="B278" s="27"/>
      <c r="C278" s="27"/>
      <c r="D278" s="27"/>
      <c r="E278" s="27"/>
      <c r="F278" s="27"/>
      <c r="G278" s="27"/>
      <c r="H278" s="27"/>
      <c r="I278" s="27"/>
      <c r="J278" s="42"/>
      <c r="K278" s="116"/>
      <c r="L278" s="149"/>
      <c r="M278" s="116"/>
      <c r="N278" s="117"/>
    </row>
    <row r="279" customFormat="false" ht="12.75" hidden="false" customHeight="true" outlineLevel="0" collapsed="false">
      <c r="A279" s="26"/>
      <c r="B279" s="27" t="s">
        <v>67</v>
      </c>
      <c r="C279" s="27"/>
      <c r="D279" s="100"/>
      <c r="E279" s="101"/>
      <c r="F279" s="27"/>
      <c r="G279" s="27"/>
      <c r="H279" s="27"/>
      <c r="I279" s="27"/>
      <c r="J279" s="42"/>
      <c r="K279" s="116"/>
      <c r="L279" s="149"/>
      <c r="M279" s="116"/>
      <c r="N279" s="117"/>
    </row>
    <row r="280" customFormat="false" ht="12.75" hidden="false" customHeight="true" outlineLevel="0" collapsed="false">
      <c r="A280" s="26"/>
      <c r="B280" s="27" t="s">
        <v>68</v>
      </c>
      <c r="C280" s="27"/>
      <c r="D280" s="27"/>
      <c r="E280" s="101"/>
      <c r="F280" s="27"/>
      <c r="G280" s="27"/>
      <c r="H280" s="27"/>
      <c r="I280" s="27"/>
      <c r="J280" s="42"/>
      <c r="K280" s="116"/>
      <c r="L280" s="149"/>
      <c r="M280" s="116"/>
      <c r="N280" s="117"/>
    </row>
    <row r="281" customFormat="false" ht="12.75" hidden="false" customHeight="true" outlineLevel="0" collapsed="false">
      <c r="A281" s="26"/>
      <c r="B281" s="27" t="s">
        <v>69</v>
      </c>
      <c r="C281" s="27"/>
      <c r="D281" s="27"/>
      <c r="E281" s="101"/>
      <c r="F281" s="27"/>
      <c r="G281" s="27"/>
      <c r="H281" s="27"/>
      <c r="I281" s="27"/>
      <c r="J281" s="42"/>
      <c r="K281" s="116"/>
      <c r="L281" s="149"/>
      <c r="M281" s="116"/>
      <c r="N281" s="117"/>
    </row>
    <row r="282" customFormat="false" ht="12.75" hidden="false" customHeight="true" outlineLevel="0" collapsed="false">
      <c r="A282" s="26"/>
      <c r="B282" s="27" t="s">
        <v>70</v>
      </c>
      <c r="C282" s="27"/>
      <c r="D282" s="27"/>
      <c r="E282" s="101"/>
      <c r="F282" s="27"/>
      <c r="G282" s="27"/>
      <c r="H282" s="27"/>
      <c r="I282" s="27"/>
      <c r="J282" s="42"/>
      <c r="K282" s="116"/>
      <c r="L282" s="149"/>
      <c r="M282" s="116"/>
      <c r="N282" s="117"/>
    </row>
    <row r="283" customFormat="false" ht="12.75" hidden="false" customHeight="true" outlineLevel="0" collapsed="false">
      <c r="A283" s="69"/>
      <c r="B283" s="34"/>
      <c r="C283" s="34"/>
      <c r="D283" s="34"/>
      <c r="E283" s="34"/>
      <c r="F283" s="34"/>
      <c r="G283" s="34"/>
      <c r="H283" s="34"/>
      <c r="I283" s="34"/>
      <c r="J283" s="51"/>
      <c r="K283" s="147"/>
      <c r="L283" s="150"/>
      <c r="M283" s="147"/>
      <c r="N283" s="148"/>
    </row>
    <row r="284" customFormat="false" ht="12.75" hidden="false" customHeight="true" outlineLevel="0" collapsed="false">
      <c r="A284" s="53" t="s">
        <v>116</v>
      </c>
      <c r="B284" s="56"/>
      <c r="C284" s="56"/>
      <c r="D284" s="34"/>
      <c r="E284" s="34"/>
      <c r="F284" s="34"/>
      <c r="G284" s="34"/>
      <c r="H284" s="34"/>
      <c r="I284" s="34"/>
      <c r="J284" s="103" t="s">
        <v>72</v>
      </c>
      <c r="K284" s="60" t="n">
        <f aca="false">SUM($E$279:$E$282)</f>
        <v>0</v>
      </c>
      <c r="L284" s="60"/>
      <c r="M284" s="21"/>
      <c r="N284" s="62"/>
    </row>
    <row r="285" customFormat="false" ht="12.75" hidden="false" customHeight="true" outlineLevel="0" collapsed="false">
      <c r="A285" s="69" t="s">
        <v>73</v>
      </c>
      <c r="B285" s="34"/>
      <c r="C285" s="34"/>
      <c r="D285" s="34"/>
      <c r="E285" s="34"/>
      <c r="F285" s="34"/>
      <c r="G285" s="34"/>
      <c r="H285" s="34"/>
      <c r="I285" s="34"/>
      <c r="J285" s="51"/>
      <c r="K285" s="147"/>
      <c r="L285" s="150"/>
      <c r="M285" s="147"/>
      <c r="N285" s="148"/>
    </row>
    <row r="286" customFormat="false" ht="12.75" hidden="false" customHeight="true" outlineLevel="0" collapsed="false">
      <c r="A286" s="69"/>
      <c r="B286" s="34" t="s">
        <v>74</v>
      </c>
      <c r="C286" s="34"/>
      <c r="D286" s="34"/>
      <c r="E286" s="34"/>
      <c r="F286" s="34"/>
      <c r="G286" s="34"/>
      <c r="H286" s="34"/>
      <c r="I286" s="34"/>
      <c r="J286" s="51"/>
      <c r="K286" s="60" t="n">
        <f aca="false">IF($P$13&gt;=5,ROUND(K225+(K225*$P$11),0),0)</f>
        <v>0</v>
      </c>
      <c r="L286" s="60"/>
      <c r="M286" s="21"/>
      <c r="N286" s="62"/>
    </row>
    <row r="287" customFormat="false" ht="12.75" hidden="false" customHeight="true" outlineLevel="0" collapsed="false">
      <c r="A287" s="69"/>
      <c r="B287" s="34" t="s">
        <v>75</v>
      </c>
      <c r="C287" s="34"/>
      <c r="D287" s="34"/>
      <c r="E287" s="34"/>
      <c r="F287" s="34"/>
      <c r="G287" s="34"/>
      <c r="H287" s="34"/>
      <c r="I287" s="34"/>
      <c r="J287" s="51"/>
      <c r="K287" s="60" t="n">
        <f aca="false">IF($P$13&gt;=5,ROUND(K226+(K226*$P$11),0),0)</f>
        <v>0</v>
      </c>
      <c r="L287" s="60"/>
      <c r="M287" s="21"/>
      <c r="N287" s="62"/>
    </row>
    <row r="288" customFormat="false" ht="12.75" hidden="false" customHeight="true" outlineLevel="0" collapsed="false">
      <c r="A288" s="69"/>
      <c r="B288" s="34" t="s">
        <v>76</v>
      </c>
      <c r="C288" s="34"/>
      <c r="D288" s="34"/>
      <c r="E288" s="34"/>
      <c r="F288" s="34"/>
      <c r="G288" s="34"/>
      <c r="H288" s="34"/>
      <c r="I288" s="34"/>
      <c r="J288" s="51"/>
      <c r="K288" s="60" t="n">
        <f aca="false">IF($P$13&gt;=5,ROUND(K227+(K227*$P$11),0),0)</f>
        <v>0</v>
      </c>
      <c r="L288" s="60"/>
      <c r="M288" s="21"/>
      <c r="N288" s="62"/>
      <c r="P288" s="104" t="s">
        <v>77</v>
      </c>
      <c r="R288" s="105" t="s">
        <v>78</v>
      </c>
    </row>
    <row r="289" customFormat="false" ht="12.75" hidden="false" customHeight="true" outlineLevel="0" collapsed="false">
      <c r="A289" s="69"/>
      <c r="B289" s="34" t="s">
        <v>79</v>
      </c>
      <c r="C289" s="34"/>
      <c r="D289" s="34"/>
      <c r="E289" s="34"/>
      <c r="F289" s="34"/>
      <c r="G289" s="34"/>
      <c r="H289" s="34"/>
      <c r="I289" s="34"/>
      <c r="J289" s="51"/>
      <c r="K289" s="60" t="n">
        <f aca="false">IF($P$13&gt;=5,ROUND(K228+(K228*$P$11),0),0)</f>
        <v>0</v>
      </c>
      <c r="L289" s="60"/>
      <c r="M289" s="21"/>
      <c r="N289" s="62"/>
      <c r="P289" s="104" t="s">
        <v>80</v>
      </c>
      <c r="Q289" s="106" t="s">
        <v>128</v>
      </c>
      <c r="R289" s="105" t="s">
        <v>82</v>
      </c>
    </row>
    <row r="290" customFormat="false" ht="12.75" hidden="false" customHeight="true" outlineLevel="0" collapsed="false">
      <c r="A290" s="69"/>
      <c r="B290" s="34" t="s">
        <v>83</v>
      </c>
      <c r="C290" s="34"/>
      <c r="D290" s="34"/>
      <c r="E290" s="34"/>
      <c r="F290" s="34"/>
      <c r="G290" s="34"/>
      <c r="H290" s="34"/>
      <c r="I290" s="34"/>
      <c r="J290" s="51"/>
      <c r="K290" s="60" t="n">
        <f aca="false">SUM(Q290:Q293)</f>
        <v>0</v>
      </c>
      <c r="L290" s="60"/>
      <c r="M290" s="21"/>
      <c r="N290" s="62"/>
      <c r="P290" s="107" t="s">
        <v>84</v>
      </c>
      <c r="Q290" s="108"/>
      <c r="R290" s="105" t="s">
        <v>85</v>
      </c>
    </row>
    <row r="291" customFormat="false" ht="12.75" hidden="false" customHeight="true" outlineLevel="0" collapsed="false">
      <c r="A291" s="69"/>
      <c r="B291" s="34" t="s">
        <v>86</v>
      </c>
      <c r="C291" s="34"/>
      <c r="D291" s="34"/>
      <c r="E291" s="34"/>
      <c r="F291" s="80"/>
      <c r="G291" s="34"/>
      <c r="H291" s="34"/>
      <c r="I291" s="34"/>
      <c r="J291" s="51"/>
      <c r="K291" s="60" t="n">
        <f aca="false">Q297+Q298</f>
        <v>0</v>
      </c>
      <c r="L291" s="60"/>
      <c r="M291" s="21"/>
      <c r="N291" s="62"/>
      <c r="P291" s="109" t="s">
        <v>87</v>
      </c>
      <c r="Q291" s="110"/>
      <c r="R291" s="111" t="n">
        <f aca="false">IF(Q290+R47+R108+R169+R230&gt;=25000,25000-(R47+R108+R169+R230),Q290)</f>
        <v>0</v>
      </c>
    </row>
    <row r="292" customFormat="false" ht="12.75" hidden="false" customHeight="true" outlineLevel="0" collapsed="false">
      <c r="A292" s="69"/>
      <c r="B292" s="34"/>
      <c r="C292" s="34" t="s">
        <v>88</v>
      </c>
      <c r="D292" s="34"/>
      <c r="E292" s="34"/>
      <c r="F292" s="34"/>
      <c r="G292" s="34"/>
      <c r="H292" s="34"/>
      <c r="I292" s="34"/>
      <c r="J292" s="51"/>
      <c r="K292" s="60" t="n">
        <f aca="false">SUM(K$286:K$291)</f>
        <v>0</v>
      </c>
      <c r="L292" s="60"/>
      <c r="M292" s="21"/>
      <c r="N292" s="62"/>
      <c r="P292" s="109" t="s">
        <v>89</v>
      </c>
      <c r="Q292" s="110"/>
      <c r="R292" s="111" t="n">
        <f aca="false">IF(Q291+R48+R109+R170+R231&gt;=25000,25000-(R48+R109+R170+R231),Q291)</f>
        <v>0</v>
      </c>
    </row>
    <row r="293" customFormat="false" ht="12.75" hidden="false" customHeight="true" outlineLevel="0" collapsed="false">
      <c r="A293" s="69" t="s">
        <v>90</v>
      </c>
      <c r="B293" s="34"/>
      <c r="C293" s="34"/>
      <c r="D293" s="34"/>
      <c r="E293" s="34"/>
      <c r="F293" s="34"/>
      <c r="G293" s="34"/>
      <c r="H293" s="34"/>
      <c r="I293" s="34"/>
      <c r="J293" s="51"/>
      <c r="K293" s="60" t="n">
        <f aca="false">K$270+SUM(K$275:K$277)+K$284+K$292</f>
        <v>0</v>
      </c>
      <c r="L293" s="60"/>
      <c r="M293" s="21"/>
      <c r="N293" s="62"/>
      <c r="P293" s="112" t="s">
        <v>91</v>
      </c>
      <c r="Q293" s="113"/>
      <c r="R293" s="111" t="n">
        <f aca="false">IF(Q292+R49+R110+R171+R232&gt;=25000,25000-(R49+R110+R171+R232),Q292)</f>
        <v>0</v>
      </c>
    </row>
    <row r="294" customFormat="false" ht="12.75" hidden="false" customHeight="true" outlineLevel="0" collapsed="false">
      <c r="A294" s="26" t="s">
        <v>92</v>
      </c>
      <c r="B294" s="27"/>
      <c r="C294" s="27"/>
      <c r="D294" s="27"/>
      <c r="E294" s="27"/>
      <c r="F294" s="27"/>
      <c r="G294" s="27"/>
      <c r="H294" s="27"/>
      <c r="I294" s="27"/>
      <c r="J294" s="42"/>
      <c r="K294" s="114"/>
      <c r="L294" s="115"/>
      <c r="M294" s="116"/>
      <c r="N294" s="117"/>
      <c r="R294" s="111" t="n">
        <f aca="false">IF(Q293+R50+R111+R172+R233&gt;=25000,25000-(R50+R111+R172+R233),Q293)</f>
        <v>0</v>
      </c>
    </row>
    <row r="295" customFormat="false" ht="12.75" hidden="false" customHeight="true" outlineLevel="0" collapsed="false">
      <c r="A295" s="119" t="s">
        <v>93</v>
      </c>
      <c r="B295" s="119"/>
      <c r="C295" s="119"/>
      <c r="D295" s="119"/>
      <c r="E295" s="119"/>
      <c r="F295" s="119"/>
      <c r="G295" s="120" t="n">
        <f aca="false">IF(R291&gt;25000,"25000",R291)+IF(R292&gt;25000,"25000",R292)+IF(R293&gt;25000,"25000",R293)+IF(R294&gt;25000,"25000",R294)+K293-K275-K284-K290-Q297</f>
        <v>0</v>
      </c>
      <c r="H295" s="120"/>
      <c r="I295" s="27"/>
      <c r="J295" s="42"/>
      <c r="K295" s="114"/>
      <c r="L295" s="115"/>
      <c r="M295" s="116"/>
      <c r="N295" s="117"/>
      <c r="P295" s="121" t="s">
        <v>94</v>
      </c>
    </row>
    <row r="296" customFormat="false" ht="12.75" hidden="false" customHeight="true" outlineLevel="0" collapsed="false">
      <c r="A296" s="69" t="s">
        <v>95</v>
      </c>
      <c r="B296" s="34"/>
      <c r="C296" s="34"/>
      <c r="D296" s="34"/>
      <c r="E296" s="34"/>
      <c r="F296" s="34"/>
      <c r="G296" s="85" t="s">
        <v>96</v>
      </c>
      <c r="H296" s="122" t="n">
        <f aca="false">IF(P13&gt;4,H52,0)</f>
        <v>0</v>
      </c>
      <c r="I296" s="34"/>
      <c r="J296" s="51"/>
      <c r="K296" s="60" t="n">
        <f aca="false">ROUND($G$295 * $H$296,0)</f>
        <v>0</v>
      </c>
      <c r="L296" s="60"/>
      <c r="M296" s="123"/>
      <c r="N296" s="124"/>
      <c r="P296" s="121" t="s">
        <v>97</v>
      </c>
      <c r="Q296" s="125" t="s">
        <v>128</v>
      </c>
    </row>
    <row r="297" customFormat="false" ht="12.75" hidden="false" customHeight="true" outlineLevel="0" collapsed="false">
      <c r="A297" s="69" t="s">
        <v>98</v>
      </c>
      <c r="B297" s="34"/>
      <c r="C297" s="34"/>
      <c r="D297" s="34"/>
      <c r="E297" s="34"/>
      <c r="F297" s="34"/>
      <c r="G297" s="34"/>
      <c r="H297" s="34"/>
      <c r="I297" s="34"/>
      <c r="J297" s="51"/>
      <c r="K297" s="153" t="n">
        <f aca="false">K$293+K$296</f>
        <v>0</v>
      </c>
      <c r="L297" s="153"/>
      <c r="M297" s="21"/>
      <c r="N297" s="62"/>
      <c r="P297" s="125" t="s">
        <v>99</v>
      </c>
      <c r="Q297" s="129" t="n">
        <f aca="false">IF(P255="",0,ROUND(K264*R298,0))</f>
        <v>0</v>
      </c>
    </row>
    <row r="298" customFormat="false" ht="12.75" hidden="false" customHeight="true" outlineLevel="0" collapsed="false">
      <c r="A298" s="69" t="s">
        <v>100</v>
      </c>
      <c r="B298" s="34"/>
      <c r="C298" s="34"/>
      <c r="D298" s="34"/>
      <c r="E298" s="34"/>
      <c r="F298" s="34"/>
      <c r="G298" s="34"/>
      <c r="H298" s="34"/>
      <c r="I298" s="34"/>
      <c r="J298" s="51"/>
      <c r="K298" s="60"/>
      <c r="L298" s="60"/>
      <c r="M298" s="21"/>
      <c r="N298" s="62"/>
      <c r="P298" s="125" t="s">
        <v>101</v>
      </c>
      <c r="Q298" s="129" t="n">
        <f aca="false">IF($P$13&gt;=5,ROUND(Q237+(Q237*$P$11),0),0)</f>
        <v>0</v>
      </c>
      <c r="R298" s="95" t="str">
        <f aca="false">IF(P255="","",0.36)</f>
        <v/>
      </c>
    </row>
    <row r="299" customFormat="false" ht="12.75" hidden="false" customHeight="true" outlineLevel="0" collapsed="false">
      <c r="A299" s="130" t="s">
        <v>102</v>
      </c>
      <c r="B299" s="36"/>
      <c r="C299" s="36"/>
      <c r="D299" s="36"/>
      <c r="E299" s="36"/>
      <c r="F299" s="36"/>
      <c r="G299" s="36"/>
      <c r="H299" s="36"/>
      <c r="I299" s="36"/>
      <c r="J299" s="37"/>
      <c r="K299" s="154" t="n">
        <f aca="false">K$297-K$298</f>
        <v>0</v>
      </c>
      <c r="L299" s="154"/>
      <c r="M299" s="132"/>
      <c r="N299" s="133"/>
    </row>
    <row r="300" customFormat="false" ht="12.75" hidden="false" customHeight="true" outlineLevel="0" collapsed="false">
      <c r="A300" s="130" t="s">
        <v>103</v>
      </c>
      <c r="B300" s="36"/>
      <c r="C300" s="36"/>
      <c r="D300" s="36"/>
      <c r="E300" s="36"/>
      <c r="F300" s="132"/>
      <c r="G300" s="134" t="s">
        <v>104</v>
      </c>
      <c r="H300" s="36"/>
      <c r="I300" s="36"/>
      <c r="J300" s="38"/>
      <c r="K300" s="132"/>
      <c r="L300" s="132"/>
      <c r="M300" s="38"/>
      <c r="N300" s="135"/>
    </row>
    <row r="301" customFormat="false" ht="12.75" hidden="false" customHeight="true" outlineLevel="0" collapsed="false">
      <c r="A301" s="26" t="s">
        <v>105</v>
      </c>
      <c r="B301" s="27"/>
      <c r="C301" s="27"/>
      <c r="D301" s="27"/>
      <c r="E301" s="27"/>
      <c r="F301" s="42"/>
      <c r="G301" s="32" t="s">
        <v>106</v>
      </c>
      <c r="H301" s="136" t="s">
        <v>2</v>
      </c>
      <c r="I301" s="136"/>
      <c r="J301" s="136"/>
      <c r="K301" s="136"/>
      <c r="L301" s="136"/>
      <c r="M301" s="136"/>
      <c r="N301" s="136"/>
    </row>
    <row r="302" customFormat="false" ht="12.75" hidden="false" customHeight="true" outlineLevel="0" collapsed="false">
      <c r="A302" s="69" t="str">
        <f aca="false">A6</f>
        <v>William Riley Casper</v>
      </c>
      <c r="B302" s="34"/>
      <c r="C302" s="34"/>
      <c r="D302" s="34"/>
      <c r="E302" s="34"/>
      <c r="F302" s="56"/>
      <c r="G302" s="137"/>
      <c r="H302" s="62" t="s">
        <v>107</v>
      </c>
      <c r="I302" s="62"/>
      <c r="J302" s="62"/>
      <c r="K302" s="62"/>
      <c r="L302" s="62"/>
      <c r="M302" s="62"/>
      <c r="N302" s="62"/>
    </row>
    <row r="303" customFormat="false" ht="12.75" hidden="false" customHeight="true" outlineLevel="0" collapsed="false">
      <c r="A303" s="26" t="s">
        <v>118</v>
      </c>
      <c r="B303" s="27"/>
      <c r="C303" s="27"/>
      <c r="D303" s="27"/>
      <c r="E303" s="27"/>
      <c r="F303" s="42"/>
      <c r="G303" s="32" t="s">
        <v>106</v>
      </c>
      <c r="H303" s="31" t="s">
        <v>109</v>
      </c>
      <c r="I303" s="31"/>
      <c r="J303" s="31" t="s">
        <v>110</v>
      </c>
      <c r="K303" s="31"/>
      <c r="L303" s="31"/>
      <c r="M303" s="138" t="s">
        <v>111</v>
      </c>
      <c r="N303" s="138"/>
    </row>
    <row r="304" customFormat="false" ht="12.75" hidden="false" customHeight="true" outlineLevel="0" collapsed="false">
      <c r="A304" s="130" t="str">
        <f aca="false">A60</f>
        <v>Darya Courville, Executive Director, Sponsored Programs</v>
      </c>
      <c r="B304" s="36"/>
      <c r="C304" s="36"/>
      <c r="D304" s="36"/>
      <c r="E304" s="36"/>
      <c r="F304" s="37"/>
      <c r="G304" s="40"/>
      <c r="H304" s="36"/>
      <c r="I304" s="37"/>
      <c r="J304" s="36"/>
      <c r="K304" s="36"/>
      <c r="L304" s="37"/>
      <c r="M304" s="36"/>
      <c r="N304" s="40"/>
    </row>
    <row r="305" customFormat="false" ht="12.75" hidden="false" customHeight="true" outlineLevel="0" collapsed="false">
      <c r="A305" s="139" t="s">
        <v>119</v>
      </c>
      <c r="B305" s="139"/>
      <c r="C305" s="139"/>
      <c r="D305" s="139"/>
      <c r="E305" s="140"/>
      <c r="F305" s="139"/>
      <c r="N305" s="141"/>
    </row>
    <row r="306" customFormat="false" ht="16" hidden="false" customHeight="false" outlineLevel="0" collapsed="false">
      <c r="A306" s="3"/>
      <c r="B306" s="2"/>
      <c r="C306" s="2"/>
      <c r="D306" s="4"/>
      <c r="E306" s="5"/>
      <c r="F306" s="6"/>
      <c r="G306" s="7"/>
      <c r="H306" s="8"/>
      <c r="K306" s="155" t="s">
        <v>129</v>
      </c>
      <c r="L306" s="155"/>
      <c r="M306" s="155"/>
    </row>
    <row r="307" customFormat="false" ht="16" hidden="false" customHeight="false" outlineLevel="0" collapsed="false">
      <c r="A307" s="11" t="s">
        <v>1</v>
      </c>
      <c r="B307" s="11"/>
      <c r="C307" s="11"/>
      <c r="D307" s="11"/>
      <c r="E307" s="11"/>
      <c r="F307" s="11"/>
      <c r="G307" s="11"/>
      <c r="H307" s="11"/>
      <c r="I307" s="12" t="s">
        <v>2</v>
      </c>
      <c r="J307" s="12"/>
      <c r="K307" s="12"/>
      <c r="L307" s="12"/>
      <c r="M307" s="12"/>
      <c r="N307" s="12"/>
    </row>
    <row r="308" customFormat="false" ht="13.5" hidden="false" customHeight="false" outlineLevel="0" collapsed="false">
      <c r="A308" s="13" t="s">
        <v>3</v>
      </c>
      <c r="B308" s="14"/>
      <c r="C308" s="14"/>
      <c r="D308" s="14"/>
      <c r="E308" s="14"/>
      <c r="F308" s="14"/>
      <c r="G308" s="14"/>
      <c r="H308" s="14"/>
      <c r="I308" s="15" t="s">
        <v>4</v>
      </c>
      <c r="J308" s="15"/>
      <c r="K308" s="15"/>
      <c r="L308" s="16" t="s">
        <v>5</v>
      </c>
      <c r="M308" s="16"/>
      <c r="N308" s="16"/>
    </row>
    <row r="309" customFormat="false" ht="13.5" hidden="false" customHeight="false" outlineLevel="0" collapsed="false">
      <c r="A309" s="17" t="s">
        <v>6</v>
      </c>
      <c r="B309" s="18"/>
      <c r="C309" s="19"/>
      <c r="D309" s="19"/>
      <c r="E309" s="19"/>
      <c r="F309" s="19"/>
      <c r="G309" s="19"/>
      <c r="H309" s="20"/>
      <c r="I309" s="21"/>
      <c r="J309" s="21"/>
      <c r="K309" s="22"/>
      <c r="L309" s="22" t="s">
        <v>7</v>
      </c>
      <c r="M309" s="22"/>
      <c r="N309" s="23" t="s">
        <v>8</v>
      </c>
    </row>
    <row r="310" customFormat="false" ht="13.5" hidden="false" customHeight="false" outlineLevel="0" collapsed="false">
      <c r="A310" s="26" t="s">
        <v>9</v>
      </c>
      <c r="B310" s="27"/>
      <c r="C310" s="27"/>
      <c r="D310" s="27"/>
      <c r="E310" s="27"/>
      <c r="F310" s="27"/>
      <c r="G310" s="27"/>
      <c r="H310" s="27"/>
      <c r="I310" s="28" t="s">
        <v>10</v>
      </c>
      <c r="J310" s="28"/>
      <c r="K310" s="29"/>
      <c r="L310" s="30"/>
      <c r="M310" s="31"/>
      <c r="N310" s="32"/>
    </row>
    <row r="311" customFormat="false" ht="14" hidden="false" customHeight="false" outlineLevel="0" collapsed="false">
      <c r="A311" s="33" t="str">
        <f aca="false">A6</f>
        <v>William Riley Casper</v>
      </c>
      <c r="B311" s="18"/>
      <c r="C311" s="34"/>
      <c r="D311" s="34"/>
      <c r="E311" s="34"/>
      <c r="F311" s="34"/>
      <c r="G311" s="34"/>
      <c r="H311" s="34"/>
      <c r="I311" s="35"/>
      <c r="J311" s="36"/>
      <c r="K311" s="37"/>
      <c r="L311" s="38"/>
      <c r="M311" s="39"/>
      <c r="N311" s="40"/>
    </row>
    <row r="312" customFormat="false" ht="13.5" hidden="false" customHeight="false" outlineLevel="0" collapsed="false">
      <c r="A312" s="26" t="s">
        <v>12</v>
      </c>
      <c r="B312" s="27"/>
      <c r="C312" s="27"/>
      <c r="D312" s="27"/>
      <c r="E312" s="41"/>
      <c r="F312" s="27"/>
      <c r="G312" s="42"/>
      <c r="H312" s="43" t="s">
        <v>13</v>
      </c>
      <c r="I312" s="43"/>
      <c r="J312" s="43"/>
      <c r="K312" s="43" t="s">
        <v>14</v>
      </c>
      <c r="L312" s="43"/>
      <c r="M312" s="44" t="s">
        <v>14</v>
      </c>
      <c r="N312" s="44"/>
    </row>
    <row r="313" customFormat="false" ht="13.5" hidden="false" customHeight="false" outlineLevel="0" collapsed="false">
      <c r="A313" s="26"/>
      <c r="B313" s="41" t="s">
        <v>16</v>
      </c>
      <c r="C313" s="27"/>
      <c r="D313" s="27"/>
      <c r="E313" s="27"/>
      <c r="F313" s="27"/>
      <c r="G313" s="42"/>
      <c r="H313" s="47" t="s">
        <v>17</v>
      </c>
      <c r="I313" s="47"/>
      <c r="J313" s="47"/>
      <c r="K313" s="43" t="s">
        <v>18</v>
      </c>
      <c r="L313" s="43"/>
      <c r="M313" s="44" t="s">
        <v>19</v>
      </c>
      <c r="N313" s="44"/>
    </row>
    <row r="314" customFormat="false" ht="13.5" hidden="false" customHeight="false" outlineLevel="0" collapsed="false">
      <c r="A314" s="49"/>
      <c r="B314" s="50"/>
      <c r="C314" s="21"/>
      <c r="D314" s="34"/>
      <c r="E314" s="34"/>
      <c r="F314" s="34"/>
      <c r="G314" s="51"/>
      <c r="H314" s="22" t="s">
        <v>20</v>
      </c>
      <c r="I314" s="22" t="s">
        <v>21</v>
      </c>
      <c r="J314" s="22" t="s">
        <v>22</v>
      </c>
      <c r="K314" s="47" t="s">
        <v>23</v>
      </c>
      <c r="L314" s="47"/>
      <c r="M314" s="52" t="s">
        <v>24</v>
      </c>
      <c r="N314" s="52"/>
    </row>
    <row r="315" customFormat="false" ht="12.75" hidden="false" customHeight="true" outlineLevel="0" collapsed="false">
      <c r="A315" s="53" t="s">
        <v>26</v>
      </c>
      <c r="B315" s="54"/>
      <c r="C315" s="56" t="str">
        <f aca="false">A311</f>
        <v>William Riley Casper</v>
      </c>
      <c r="D315" s="56"/>
      <c r="E315" s="56"/>
      <c r="F315" s="56"/>
      <c r="G315" s="57"/>
      <c r="H315" s="58"/>
      <c r="I315" s="58"/>
      <c r="J315" s="58"/>
      <c r="K315" s="153" t="n">
        <f aca="false">SUM(K10+K71+K132+K193+K254)</f>
        <v>36793</v>
      </c>
      <c r="L315" s="153"/>
      <c r="M315" s="61"/>
      <c r="N315" s="62"/>
    </row>
    <row r="316" customFormat="false" ht="12.75" hidden="false" customHeight="true" outlineLevel="0" collapsed="false">
      <c r="A316" s="53" t="s">
        <v>28</v>
      </c>
      <c r="B316" s="63"/>
      <c r="C316" s="56" t="str">
        <f aca="false">IF(C11="","",C11)</f>
        <v/>
      </c>
      <c r="D316" s="56"/>
      <c r="E316" s="56"/>
      <c r="F316" s="56"/>
      <c r="G316" s="64"/>
      <c r="H316" s="58"/>
      <c r="I316" s="58"/>
      <c r="J316" s="58"/>
      <c r="K316" s="153" t="n">
        <f aca="false">SUM(K11+K72+K133+K194+K255)</f>
        <v>0</v>
      </c>
      <c r="L316" s="153"/>
      <c r="M316" s="21"/>
      <c r="N316" s="62"/>
    </row>
    <row r="317" customFormat="false" ht="12.75" hidden="false" customHeight="true" outlineLevel="0" collapsed="false">
      <c r="A317" s="53" t="s">
        <v>29</v>
      </c>
      <c r="B317" s="56"/>
      <c r="C317" s="56" t="str">
        <f aca="false">IF(C12="","",C12)</f>
        <v/>
      </c>
      <c r="D317" s="56"/>
      <c r="E317" s="56"/>
      <c r="F317" s="56"/>
      <c r="G317" s="64"/>
      <c r="H317" s="58"/>
      <c r="I317" s="58"/>
      <c r="J317" s="58"/>
      <c r="K317" s="153" t="n">
        <f aca="false">SUM(K12+K73+K134+K195+K256)</f>
        <v>0</v>
      </c>
      <c r="L317" s="153"/>
      <c r="M317" s="21"/>
      <c r="N317" s="62"/>
    </row>
    <row r="318" customFormat="false" ht="12.75" hidden="false" customHeight="true" outlineLevel="0" collapsed="false">
      <c r="A318" s="53" t="s">
        <v>31</v>
      </c>
      <c r="B318" s="56"/>
      <c r="C318" s="56" t="str">
        <f aca="false">IF(C13="","",C13)</f>
        <v/>
      </c>
      <c r="D318" s="56"/>
      <c r="E318" s="56"/>
      <c r="F318" s="56"/>
      <c r="G318" s="64"/>
      <c r="H318" s="58"/>
      <c r="I318" s="58"/>
      <c r="J318" s="58"/>
      <c r="K318" s="153" t="n">
        <f aca="false">SUM(K13+K74+K135+K196+K257)</f>
        <v>0</v>
      </c>
      <c r="L318" s="153"/>
      <c r="M318" s="21"/>
      <c r="N318" s="62"/>
    </row>
    <row r="319" customFormat="false" ht="12.75" hidden="false" customHeight="true" outlineLevel="0" collapsed="false">
      <c r="A319" s="53" t="s">
        <v>32</v>
      </c>
      <c r="B319" s="56"/>
      <c r="C319" s="56" t="str">
        <f aca="false">IF(C14="","",C14)</f>
        <v/>
      </c>
      <c r="D319" s="56"/>
      <c r="E319" s="56"/>
      <c r="F319" s="56"/>
      <c r="G319" s="64"/>
      <c r="H319" s="58"/>
      <c r="I319" s="58"/>
      <c r="J319" s="58"/>
      <c r="K319" s="153" t="n">
        <f aca="false">SUM(K14+K75+K136+K197+K258)</f>
        <v>0</v>
      </c>
      <c r="L319" s="153"/>
      <c r="M319" s="21"/>
      <c r="N319" s="62"/>
    </row>
    <row r="320" customFormat="false" ht="12.75" hidden="false" customHeight="true" outlineLevel="0" collapsed="false">
      <c r="A320" s="53" t="s">
        <v>34</v>
      </c>
      <c r="B320" s="50"/>
      <c r="C320" s="34" t="s">
        <v>35</v>
      </c>
      <c r="D320" s="34"/>
      <c r="E320" s="34"/>
      <c r="F320" s="34"/>
      <c r="G320" s="51"/>
      <c r="H320" s="58"/>
      <c r="I320" s="58"/>
      <c r="J320" s="58"/>
      <c r="K320" s="153" t="n">
        <f aca="false">SUM(K15+K76+K137+K198+K259)</f>
        <v>0</v>
      </c>
      <c r="L320" s="153"/>
      <c r="M320" s="21"/>
      <c r="N320" s="62"/>
    </row>
    <row r="321" customFormat="false" ht="12.75" hidden="false" customHeight="true" outlineLevel="0" collapsed="false">
      <c r="A321" s="53" t="s">
        <v>36</v>
      </c>
      <c r="B321" s="50"/>
      <c r="C321" s="34" t="s">
        <v>37</v>
      </c>
      <c r="D321" s="34"/>
      <c r="E321" s="34"/>
      <c r="F321" s="34"/>
      <c r="G321" s="51"/>
      <c r="H321" s="58"/>
      <c r="I321" s="58"/>
      <c r="J321" s="58"/>
      <c r="K321" s="153" t="n">
        <f aca="false">SUM(K16+K77+K138+K199+K260)</f>
        <v>36793</v>
      </c>
      <c r="L321" s="153"/>
      <c r="M321" s="21"/>
      <c r="N321" s="62"/>
    </row>
    <row r="322" customFormat="false" ht="12.75" hidden="false" customHeight="true" outlineLevel="0" collapsed="false">
      <c r="A322" s="69" t="s">
        <v>39</v>
      </c>
      <c r="B322" s="34"/>
      <c r="C322" s="34"/>
      <c r="D322" s="34"/>
      <c r="E322" s="34"/>
      <c r="F322" s="34"/>
      <c r="G322" s="51"/>
      <c r="H322" s="144"/>
      <c r="I322" s="144"/>
      <c r="J322" s="144"/>
      <c r="K322" s="145"/>
      <c r="L322" s="146"/>
      <c r="M322" s="147"/>
      <c r="N322" s="148"/>
    </row>
    <row r="323" customFormat="false" ht="12.75" hidden="false" customHeight="true" outlineLevel="0" collapsed="false">
      <c r="A323" s="53" t="s">
        <v>41</v>
      </c>
      <c r="B323" s="50"/>
      <c r="C323" s="34" t="s">
        <v>42</v>
      </c>
      <c r="D323" s="34"/>
      <c r="E323" s="34"/>
      <c r="F323" s="34"/>
      <c r="G323" s="51"/>
      <c r="H323" s="58"/>
      <c r="I323" s="58"/>
      <c r="J323" s="58"/>
      <c r="K323" s="153" t="n">
        <f aca="false">SUM(K18+K79+K140+K201+K262)</f>
        <v>0</v>
      </c>
      <c r="L323" s="153"/>
      <c r="M323" s="21"/>
      <c r="N323" s="62"/>
    </row>
    <row r="324" customFormat="false" ht="12.75" hidden="false" customHeight="true" outlineLevel="0" collapsed="false">
      <c r="A324" s="53" t="s">
        <v>44</v>
      </c>
      <c r="B324" s="50"/>
      <c r="C324" s="34" t="s">
        <v>45</v>
      </c>
      <c r="D324" s="34"/>
      <c r="E324" s="34"/>
      <c r="F324" s="34"/>
      <c r="G324" s="34"/>
      <c r="H324" s="78"/>
      <c r="I324" s="78"/>
      <c r="J324" s="79"/>
      <c r="K324" s="153" t="n">
        <f aca="false">SUM(K19+K80+K141+K202+K263)</f>
        <v>0</v>
      </c>
      <c r="L324" s="153"/>
      <c r="M324" s="21"/>
      <c r="N324" s="62"/>
    </row>
    <row r="325" customFormat="false" ht="12.75" hidden="false" customHeight="true" outlineLevel="0" collapsed="false">
      <c r="A325" s="53" t="s">
        <v>46</v>
      </c>
      <c r="B325" s="50"/>
      <c r="C325" s="56" t="s">
        <v>47</v>
      </c>
      <c r="D325" s="34"/>
      <c r="E325" s="34"/>
      <c r="F325" s="80"/>
      <c r="G325" s="34"/>
      <c r="H325" s="81"/>
      <c r="I325" s="81"/>
      <c r="J325" s="82"/>
      <c r="K325" s="153" t="n">
        <f aca="false">SUM(K20+K81+K142+K203+K264)</f>
        <v>0</v>
      </c>
      <c r="L325" s="153"/>
      <c r="M325" s="21"/>
      <c r="N325" s="62"/>
    </row>
    <row r="326" customFormat="false" ht="12.75" hidden="false" customHeight="true" outlineLevel="0" collapsed="false">
      <c r="A326" s="53" t="s">
        <v>48</v>
      </c>
      <c r="B326" s="50"/>
      <c r="C326" s="56" t="s">
        <v>49</v>
      </c>
      <c r="D326" s="34"/>
      <c r="E326" s="34"/>
      <c r="F326" s="80"/>
      <c r="G326" s="34"/>
      <c r="H326" s="81"/>
      <c r="I326" s="81"/>
      <c r="J326" s="82"/>
      <c r="K326" s="153" t="n">
        <f aca="false">SUM(K21+K82+K143+K204+K265)</f>
        <v>0</v>
      </c>
      <c r="L326" s="153"/>
      <c r="M326" s="21"/>
      <c r="N326" s="62"/>
    </row>
    <row r="327" customFormat="false" ht="12.75" hidden="false" customHeight="true" outlineLevel="0" collapsed="false">
      <c r="A327" s="53" t="s">
        <v>50</v>
      </c>
      <c r="B327" s="50"/>
      <c r="C327" s="56" t="s">
        <v>51</v>
      </c>
      <c r="D327" s="34"/>
      <c r="E327" s="34"/>
      <c r="F327" s="34"/>
      <c r="G327" s="34"/>
      <c r="H327" s="34"/>
      <c r="I327" s="34"/>
      <c r="J327" s="51"/>
      <c r="K327" s="153" t="n">
        <f aca="false">SUM(K22+K83+K144+K205+K266)</f>
        <v>0</v>
      </c>
      <c r="L327" s="153"/>
      <c r="M327" s="21"/>
      <c r="N327" s="62"/>
    </row>
    <row r="328" customFormat="false" ht="12.75" hidden="false" customHeight="true" outlineLevel="0" collapsed="false">
      <c r="A328" s="53" t="s">
        <v>34</v>
      </c>
      <c r="B328" s="50"/>
      <c r="C328" s="56" t="s">
        <v>52</v>
      </c>
      <c r="D328" s="34"/>
      <c r="E328" s="34"/>
      <c r="F328" s="34"/>
      <c r="G328" s="34"/>
      <c r="H328" s="34"/>
      <c r="I328" s="34"/>
      <c r="J328" s="51"/>
      <c r="K328" s="153" t="n">
        <f aca="false">SUM(K23+K84+K145+K206+K267)</f>
        <v>0</v>
      </c>
      <c r="L328" s="153"/>
      <c r="M328" s="21"/>
      <c r="N328" s="62"/>
    </row>
    <row r="329" customFormat="false" ht="12.75" hidden="false" customHeight="true" outlineLevel="0" collapsed="false">
      <c r="A329" s="53"/>
      <c r="B329" s="56" t="s">
        <v>53</v>
      </c>
      <c r="C329" s="56"/>
      <c r="D329" s="34"/>
      <c r="E329" s="34"/>
      <c r="F329" s="34"/>
      <c r="G329" s="34"/>
      <c r="H329" s="34"/>
      <c r="I329" s="34"/>
      <c r="J329" s="51"/>
      <c r="K329" s="153" t="n">
        <f aca="false">SUM(K24+K85+K146+K207+K268)</f>
        <v>36793</v>
      </c>
      <c r="L329" s="153"/>
      <c r="M329" s="21"/>
      <c r="N329" s="62"/>
    </row>
    <row r="330" customFormat="false" ht="12.75" hidden="false" customHeight="true" outlineLevel="0" collapsed="false">
      <c r="A330" s="69" t="s">
        <v>55</v>
      </c>
      <c r="B330" s="34"/>
      <c r="C330" s="34"/>
      <c r="D330" s="34"/>
      <c r="E330" s="34"/>
      <c r="F330" s="34"/>
      <c r="G330" s="85" t="s">
        <v>56</v>
      </c>
      <c r="H330" s="86"/>
      <c r="I330" s="34"/>
      <c r="J330" s="51"/>
      <c r="K330" s="153" t="n">
        <f aca="false">SUM(K25+K86+K147+K208+K269)</f>
        <v>16189</v>
      </c>
      <c r="L330" s="153"/>
      <c r="M330" s="21"/>
      <c r="N330" s="62"/>
    </row>
    <row r="331" customFormat="false" ht="12.75" hidden="false" customHeight="true" outlineLevel="0" collapsed="false">
      <c r="A331" s="69"/>
      <c r="B331" s="56" t="s">
        <v>57</v>
      </c>
      <c r="C331" s="34"/>
      <c r="D331" s="34"/>
      <c r="E331" s="34"/>
      <c r="F331" s="34"/>
      <c r="G331" s="34"/>
      <c r="H331" s="34"/>
      <c r="I331" s="34"/>
      <c r="J331" s="51"/>
      <c r="K331" s="153" t="n">
        <f aca="false">SUM(K26+K87+K148+K209+K270)</f>
        <v>52982</v>
      </c>
      <c r="L331" s="153"/>
      <c r="M331" s="21"/>
      <c r="N331" s="62"/>
    </row>
    <row r="332" customFormat="false" ht="12.75" hidden="false" customHeight="true" outlineLevel="0" collapsed="false">
      <c r="A332" s="26" t="s">
        <v>58</v>
      </c>
      <c r="B332" s="27"/>
      <c r="C332" s="27"/>
      <c r="D332" s="27"/>
      <c r="E332" s="27"/>
      <c r="F332" s="27"/>
      <c r="G332" s="27"/>
      <c r="H332" s="27"/>
      <c r="I332" s="27"/>
      <c r="J332" s="42"/>
      <c r="K332" s="116"/>
      <c r="L332" s="149"/>
      <c r="M332" s="116"/>
      <c r="N332" s="117"/>
    </row>
    <row r="333" customFormat="false" ht="12.75" hidden="false" customHeight="true" outlineLevel="0" collapsed="false">
      <c r="A333" s="26"/>
      <c r="B333" s="92"/>
      <c r="C333" s="93"/>
      <c r="D333" s="27"/>
      <c r="E333" s="27"/>
      <c r="F333" s="27"/>
      <c r="G333" s="27"/>
      <c r="H333" s="94"/>
      <c r="I333" s="30"/>
      <c r="J333" s="42"/>
      <c r="K333" s="116"/>
      <c r="L333" s="149"/>
      <c r="M333" s="116"/>
      <c r="N333" s="117"/>
    </row>
    <row r="334" customFormat="false" ht="12.75" hidden="false" customHeight="true" outlineLevel="0" collapsed="false">
      <c r="A334" s="26"/>
      <c r="B334" s="96"/>
      <c r="C334" s="27"/>
      <c r="D334" s="27"/>
      <c r="E334" s="27"/>
      <c r="F334" s="27"/>
      <c r="G334" s="27"/>
      <c r="H334" s="27"/>
      <c r="I334" s="27"/>
      <c r="J334" s="42"/>
      <c r="K334" s="116"/>
      <c r="L334" s="149"/>
      <c r="M334" s="116"/>
      <c r="N334" s="117"/>
    </row>
    <row r="335" customFormat="false" ht="12.75" hidden="false" customHeight="true" outlineLevel="0" collapsed="false">
      <c r="A335" s="26"/>
      <c r="B335" s="27"/>
      <c r="C335" s="27"/>
      <c r="D335" s="27"/>
      <c r="E335" s="27"/>
      <c r="F335" s="27"/>
      <c r="G335" s="27"/>
      <c r="H335" s="27"/>
      <c r="I335" s="27"/>
      <c r="J335" s="42"/>
      <c r="K335" s="147"/>
      <c r="L335" s="149"/>
      <c r="M335" s="116"/>
      <c r="N335" s="117"/>
    </row>
    <row r="336" customFormat="false" ht="12.75" hidden="false" customHeight="true" outlineLevel="0" collapsed="false">
      <c r="A336" s="69"/>
      <c r="B336" s="56" t="s">
        <v>62</v>
      </c>
      <c r="C336" s="34"/>
      <c r="D336" s="34"/>
      <c r="E336" s="34"/>
      <c r="F336" s="34"/>
      <c r="G336" s="34"/>
      <c r="H336" s="34"/>
      <c r="I336" s="34"/>
      <c r="J336" s="51"/>
      <c r="K336" s="153" t="n">
        <f aca="false">SUM(K31+K92+K153+K214+K275)</f>
        <v>0</v>
      </c>
      <c r="L336" s="153"/>
      <c r="M336" s="98"/>
      <c r="N336" s="99"/>
    </row>
    <row r="337" customFormat="false" ht="12.75" hidden="false" customHeight="true" outlineLevel="0" collapsed="false">
      <c r="A337" s="69" t="s">
        <v>63</v>
      </c>
      <c r="B337" s="34"/>
      <c r="C337" s="34"/>
      <c r="D337" s="34" t="s">
        <v>64</v>
      </c>
      <c r="E337" s="34"/>
      <c r="F337" s="34"/>
      <c r="G337" s="34"/>
      <c r="H337" s="34"/>
      <c r="I337" s="34"/>
      <c r="J337" s="51"/>
      <c r="K337" s="153" t="n">
        <f aca="false">SUM(K32+K93+K154+K215+K276)</f>
        <v>12000</v>
      </c>
      <c r="L337" s="153"/>
      <c r="M337" s="21"/>
      <c r="N337" s="62"/>
    </row>
    <row r="338" customFormat="false" ht="12.75" hidden="false" customHeight="true" outlineLevel="0" collapsed="false">
      <c r="A338" s="69"/>
      <c r="B338" s="34"/>
      <c r="C338" s="34"/>
      <c r="D338" s="34" t="s">
        <v>65</v>
      </c>
      <c r="E338" s="34"/>
      <c r="F338" s="34"/>
      <c r="G338" s="34"/>
      <c r="H338" s="34"/>
      <c r="I338" s="34"/>
      <c r="J338" s="51"/>
      <c r="K338" s="153" t="n">
        <f aca="false">SUM(K33+K94+K155+K216+K277)</f>
        <v>12000</v>
      </c>
      <c r="L338" s="153"/>
      <c r="M338" s="21"/>
      <c r="N338" s="62"/>
    </row>
    <row r="339" customFormat="false" ht="12.75" hidden="false" customHeight="true" outlineLevel="0" collapsed="false">
      <c r="A339" s="26" t="s">
        <v>66</v>
      </c>
      <c r="B339" s="27"/>
      <c r="C339" s="27"/>
      <c r="D339" s="27"/>
      <c r="E339" s="27"/>
      <c r="F339" s="27"/>
      <c r="G339" s="27"/>
      <c r="H339" s="27"/>
      <c r="I339" s="27"/>
      <c r="J339" s="42"/>
      <c r="K339" s="116"/>
      <c r="L339" s="116"/>
      <c r="M339" s="116"/>
      <c r="N339" s="117"/>
    </row>
    <row r="340" customFormat="false" ht="12.75" hidden="false" customHeight="true" outlineLevel="0" collapsed="false">
      <c r="A340" s="26"/>
      <c r="B340" s="27" t="s">
        <v>67</v>
      </c>
      <c r="C340" s="27"/>
      <c r="D340" s="100"/>
      <c r="E340" s="156" t="n">
        <f aca="false">SUM('NSF 1030 10-99'!E35+'NSF 1030 10-99'!E96+'NSF 1030 10-99'!E157+'NSF 1030 10-99'!E218+'NSF 1030 10-99'!E279)</f>
        <v>0</v>
      </c>
      <c r="F340" s="157"/>
      <c r="G340" s="27"/>
      <c r="H340" s="27"/>
      <c r="I340" s="27"/>
      <c r="J340" s="42"/>
      <c r="K340" s="116"/>
      <c r="L340" s="116"/>
      <c r="M340" s="116"/>
      <c r="N340" s="117"/>
    </row>
    <row r="341" customFormat="false" ht="12.75" hidden="false" customHeight="true" outlineLevel="0" collapsed="false">
      <c r="A341" s="26"/>
      <c r="B341" s="27" t="s">
        <v>68</v>
      </c>
      <c r="C341" s="27"/>
      <c r="D341" s="27"/>
      <c r="E341" s="156" t="n">
        <f aca="false">SUM('NSF 1030 10-99'!E36+'NSF 1030 10-99'!E97+'NSF 1030 10-99'!E158+'NSF 1030 10-99'!E219+'NSF 1030 10-99'!E280)</f>
        <v>0</v>
      </c>
      <c r="F341" s="157"/>
      <c r="G341" s="27"/>
      <c r="H341" s="27"/>
      <c r="I341" s="27"/>
      <c r="J341" s="42"/>
      <c r="K341" s="116"/>
      <c r="L341" s="116"/>
      <c r="M341" s="116"/>
      <c r="N341" s="117"/>
    </row>
    <row r="342" customFormat="false" ht="12.75" hidden="false" customHeight="true" outlineLevel="0" collapsed="false">
      <c r="A342" s="26"/>
      <c r="B342" s="27" t="s">
        <v>69</v>
      </c>
      <c r="C342" s="27"/>
      <c r="D342" s="27"/>
      <c r="E342" s="156" t="n">
        <f aca="false">SUM('NSF 1030 10-99'!E37+'NSF 1030 10-99'!E98+'NSF 1030 10-99'!E159+'NSF 1030 10-99'!E220+'NSF 1030 10-99'!E281)</f>
        <v>0</v>
      </c>
      <c r="F342" s="157"/>
      <c r="G342" s="27"/>
      <c r="H342" s="27"/>
      <c r="I342" s="27"/>
      <c r="J342" s="42"/>
      <c r="K342" s="116"/>
      <c r="L342" s="116"/>
      <c r="M342" s="116"/>
      <c r="N342" s="117"/>
    </row>
    <row r="343" customFormat="false" ht="12.75" hidden="false" customHeight="true" outlineLevel="0" collapsed="false">
      <c r="A343" s="26"/>
      <c r="B343" s="27" t="s">
        <v>70</v>
      </c>
      <c r="C343" s="27"/>
      <c r="D343" s="27"/>
      <c r="E343" s="156" t="n">
        <f aca="false">SUM('NSF 1030 10-99'!E38+'NSF 1030 10-99'!E99+'NSF 1030 10-99'!E160+'NSF 1030 10-99'!E221+'NSF 1030 10-99'!E282)</f>
        <v>0</v>
      </c>
      <c r="F343" s="157"/>
      <c r="G343" s="27"/>
      <c r="H343" s="27"/>
      <c r="I343" s="27"/>
      <c r="J343" s="42"/>
      <c r="K343" s="116"/>
      <c r="L343" s="116"/>
      <c r="M343" s="116"/>
      <c r="N343" s="117"/>
    </row>
    <row r="344" customFormat="false" ht="12.75" hidden="false" customHeight="true" outlineLevel="0" collapsed="false">
      <c r="A344" s="69"/>
      <c r="B344" s="34"/>
      <c r="C344" s="34"/>
      <c r="D344" s="34"/>
      <c r="E344" s="34"/>
      <c r="F344" s="34"/>
      <c r="G344" s="34"/>
      <c r="H344" s="34"/>
      <c r="I344" s="34"/>
      <c r="J344" s="51"/>
      <c r="K344" s="147"/>
      <c r="L344" s="147"/>
      <c r="M344" s="147"/>
      <c r="N344" s="148"/>
    </row>
    <row r="345" customFormat="false" ht="12.75" hidden="false" customHeight="true" outlineLevel="0" collapsed="false">
      <c r="A345" s="53" t="s">
        <v>116</v>
      </c>
      <c r="B345" s="56"/>
      <c r="C345" s="56"/>
      <c r="D345" s="34"/>
      <c r="E345" s="34"/>
      <c r="F345" s="34"/>
      <c r="G345" s="34"/>
      <c r="H345" s="34"/>
      <c r="I345" s="34"/>
      <c r="J345" s="103" t="s">
        <v>72</v>
      </c>
      <c r="K345" s="153" t="n">
        <f aca="false">SUM(K40+K101+K162+K223+K284)</f>
        <v>0</v>
      </c>
      <c r="L345" s="153"/>
      <c r="M345" s="21"/>
      <c r="N345" s="62"/>
    </row>
    <row r="346" customFormat="false" ht="12.75" hidden="false" customHeight="true" outlineLevel="0" collapsed="false">
      <c r="A346" s="69" t="s">
        <v>73</v>
      </c>
      <c r="B346" s="34"/>
      <c r="C346" s="34"/>
      <c r="D346" s="34"/>
      <c r="E346" s="34"/>
      <c r="F346" s="34"/>
      <c r="G346" s="34"/>
      <c r="H346" s="34"/>
      <c r="I346" s="34"/>
      <c r="J346" s="51"/>
      <c r="K346" s="147"/>
      <c r="L346" s="147"/>
      <c r="M346" s="147"/>
      <c r="N346" s="148"/>
    </row>
    <row r="347" customFormat="false" ht="12.75" hidden="false" customHeight="true" outlineLevel="0" collapsed="false">
      <c r="A347" s="69"/>
      <c r="B347" s="34" t="s">
        <v>74</v>
      </c>
      <c r="C347" s="34"/>
      <c r="D347" s="34"/>
      <c r="E347" s="34"/>
      <c r="F347" s="34"/>
      <c r="G347" s="34"/>
      <c r="H347" s="34"/>
      <c r="I347" s="34"/>
      <c r="J347" s="51"/>
      <c r="K347" s="153" t="n">
        <f aca="false">SUM(K42+K103+K164+K225+K286)</f>
        <v>6000</v>
      </c>
      <c r="L347" s="153"/>
      <c r="M347" s="21"/>
      <c r="N347" s="62"/>
    </row>
    <row r="348" customFormat="false" ht="12.75" hidden="false" customHeight="true" outlineLevel="0" collapsed="false">
      <c r="A348" s="69"/>
      <c r="B348" s="34" t="s">
        <v>75</v>
      </c>
      <c r="C348" s="34"/>
      <c r="D348" s="34"/>
      <c r="E348" s="34"/>
      <c r="F348" s="34"/>
      <c r="G348" s="34"/>
      <c r="H348" s="34"/>
      <c r="I348" s="34"/>
      <c r="J348" s="51"/>
      <c r="K348" s="153" t="n">
        <f aca="false">SUM(K43+K104+K165+K226+K287)</f>
        <v>0</v>
      </c>
      <c r="L348" s="153"/>
      <c r="M348" s="21"/>
      <c r="N348" s="62"/>
    </row>
    <row r="349" customFormat="false" ht="12.75" hidden="false" customHeight="true" outlineLevel="0" collapsed="false">
      <c r="A349" s="69"/>
      <c r="B349" s="34" t="s">
        <v>76</v>
      </c>
      <c r="C349" s="34"/>
      <c r="D349" s="34"/>
      <c r="E349" s="34"/>
      <c r="F349" s="34"/>
      <c r="G349" s="34"/>
      <c r="H349" s="34"/>
      <c r="I349" s="34"/>
      <c r="J349" s="51"/>
      <c r="K349" s="153" t="n">
        <f aca="false">SUM(K44+K105+K166+K227+K288)</f>
        <v>0</v>
      </c>
      <c r="L349" s="153"/>
      <c r="M349" s="21"/>
      <c r="N349" s="62"/>
    </row>
    <row r="350" customFormat="false" ht="12.75" hidden="false" customHeight="true" outlineLevel="0" collapsed="false">
      <c r="A350" s="69"/>
      <c r="B350" s="34" t="s">
        <v>79</v>
      </c>
      <c r="C350" s="34"/>
      <c r="D350" s="34"/>
      <c r="E350" s="34"/>
      <c r="F350" s="34"/>
      <c r="G350" s="34"/>
      <c r="H350" s="34"/>
      <c r="I350" s="34"/>
      <c r="J350" s="51"/>
      <c r="K350" s="153" t="n">
        <f aca="false">SUM(K45+K106+K167+K228+K289)</f>
        <v>0</v>
      </c>
      <c r="L350" s="153"/>
      <c r="M350" s="21"/>
      <c r="N350" s="62"/>
    </row>
    <row r="351" customFormat="false" ht="12.75" hidden="false" customHeight="true" outlineLevel="0" collapsed="false">
      <c r="A351" s="69"/>
      <c r="B351" s="34" t="s">
        <v>83</v>
      </c>
      <c r="C351" s="34"/>
      <c r="D351" s="34"/>
      <c r="E351" s="34"/>
      <c r="F351" s="34"/>
      <c r="G351" s="34"/>
      <c r="H351" s="34"/>
      <c r="I351" s="34"/>
      <c r="J351" s="51"/>
      <c r="K351" s="153" t="n">
        <f aca="false">SUM(K46+K107+K168+K229+K290)</f>
        <v>0</v>
      </c>
      <c r="L351" s="153"/>
      <c r="M351" s="21"/>
      <c r="N351" s="62"/>
    </row>
    <row r="352" customFormat="false" ht="12.75" hidden="false" customHeight="true" outlineLevel="0" collapsed="false">
      <c r="A352" s="69"/>
      <c r="B352" s="34" t="s">
        <v>86</v>
      </c>
      <c r="C352" s="34"/>
      <c r="D352" s="34"/>
      <c r="E352" s="34"/>
      <c r="F352" s="80"/>
      <c r="G352" s="34"/>
      <c r="H352" s="34"/>
      <c r="I352" s="34"/>
      <c r="J352" s="51"/>
      <c r="K352" s="153" t="n">
        <f aca="false">SUM(K47+K108+K169+K230+K291)</f>
        <v>0</v>
      </c>
      <c r="L352" s="153"/>
      <c r="M352" s="21"/>
      <c r="N352" s="62"/>
    </row>
    <row r="353" customFormat="false" ht="12.75" hidden="false" customHeight="true" outlineLevel="0" collapsed="false">
      <c r="A353" s="69"/>
      <c r="B353" s="34"/>
      <c r="C353" s="34" t="s">
        <v>88</v>
      </c>
      <c r="D353" s="34"/>
      <c r="E353" s="34"/>
      <c r="F353" s="34"/>
      <c r="G353" s="34"/>
      <c r="H353" s="34"/>
      <c r="I353" s="34"/>
      <c r="J353" s="51"/>
      <c r="K353" s="153" t="n">
        <f aca="false">SUM(K48+K109+K170+K231+K292)</f>
        <v>6000</v>
      </c>
      <c r="L353" s="153"/>
      <c r="M353" s="21"/>
      <c r="N353" s="62"/>
    </row>
    <row r="354" customFormat="false" ht="12.75" hidden="false" customHeight="true" outlineLevel="0" collapsed="false">
      <c r="A354" s="69" t="s">
        <v>90</v>
      </c>
      <c r="B354" s="34"/>
      <c r="C354" s="34"/>
      <c r="D354" s="34"/>
      <c r="E354" s="34"/>
      <c r="F354" s="34"/>
      <c r="G354" s="34"/>
      <c r="H354" s="34"/>
      <c r="I354" s="34"/>
      <c r="J354" s="51"/>
      <c r="K354" s="153" t="n">
        <f aca="false">SUM(K49+K110+K171+K232+K293)</f>
        <v>82982</v>
      </c>
      <c r="L354" s="153"/>
      <c r="M354" s="21"/>
      <c r="N354" s="62"/>
    </row>
    <row r="355" customFormat="false" ht="12.75" hidden="false" customHeight="true" outlineLevel="0" collapsed="false">
      <c r="A355" s="26" t="s">
        <v>92</v>
      </c>
      <c r="B355" s="27"/>
      <c r="C355" s="27"/>
      <c r="D355" s="27"/>
      <c r="E355" s="27"/>
      <c r="F355" s="27"/>
      <c r="G355" s="27"/>
      <c r="H355" s="27"/>
      <c r="I355" s="27"/>
      <c r="J355" s="42"/>
      <c r="K355" s="114"/>
      <c r="L355" s="114"/>
      <c r="M355" s="116"/>
      <c r="N355" s="117"/>
    </row>
    <row r="356" customFormat="false" ht="12.75" hidden="false" customHeight="true" outlineLevel="0" collapsed="false">
      <c r="A356" s="119" t="s">
        <v>93</v>
      </c>
      <c r="B356" s="119"/>
      <c r="C356" s="119"/>
      <c r="D356" s="119"/>
      <c r="E356" s="119"/>
      <c r="F356" s="119"/>
      <c r="G356" s="120" t="n">
        <f aca="false">SUM(G51+G112+G173+G234+G295)</f>
        <v>82982</v>
      </c>
      <c r="H356" s="120"/>
      <c r="I356" s="27"/>
      <c r="J356" s="42"/>
      <c r="K356" s="145"/>
      <c r="L356" s="114"/>
      <c r="M356" s="116"/>
      <c r="N356" s="117"/>
    </row>
    <row r="357" customFormat="false" ht="12.75" hidden="false" customHeight="true" outlineLevel="0" collapsed="false">
      <c r="A357" s="69" t="s">
        <v>95</v>
      </c>
      <c r="B357" s="34"/>
      <c r="C357" s="34"/>
      <c r="D357" s="34"/>
      <c r="E357" s="34"/>
      <c r="F357" s="34"/>
      <c r="G357" s="85" t="s">
        <v>96</v>
      </c>
      <c r="H357" s="122" t="n">
        <f aca="false">H52</f>
        <v>0.48</v>
      </c>
      <c r="I357" s="34"/>
      <c r="J357" s="51"/>
      <c r="K357" s="153" t="n">
        <f aca="false">SUM(K52+K113+K174+K235+K296)</f>
        <v>39831</v>
      </c>
      <c r="L357" s="153"/>
      <c r="M357" s="123"/>
      <c r="N357" s="124"/>
    </row>
    <row r="358" customFormat="false" ht="12.75" hidden="false" customHeight="true" outlineLevel="0" collapsed="false">
      <c r="A358" s="69" t="s">
        <v>98</v>
      </c>
      <c r="B358" s="34"/>
      <c r="C358" s="34"/>
      <c r="D358" s="34"/>
      <c r="E358" s="34"/>
      <c r="F358" s="34"/>
      <c r="G358" s="34"/>
      <c r="H358" s="34"/>
      <c r="I358" s="34"/>
      <c r="J358" s="51"/>
      <c r="K358" s="153" t="n">
        <f aca="false">SUM(K53+K114+K175+K236+K297)</f>
        <v>122813</v>
      </c>
      <c r="L358" s="153"/>
      <c r="M358" s="21"/>
      <c r="N358" s="62"/>
    </row>
    <row r="359" customFormat="false" ht="12.75" hidden="false" customHeight="true" outlineLevel="0" collapsed="false">
      <c r="A359" s="69" t="s">
        <v>100</v>
      </c>
      <c r="B359" s="34"/>
      <c r="C359" s="34"/>
      <c r="D359" s="34"/>
      <c r="E359" s="34"/>
      <c r="F359" s="34"/>
      <c r="G359" s="34"/>
      <c r="H359" s="34"/>
      <c r="I359" s="34"/>
      <c r="J359" s="51"/>
      <c r="K359" s="60" t="n">
        <v>0</v>
      </c>
      <c r="L359" s="60"/>
      <c r="M359" s="21"/>
      <c r="N359" s="62"/>
    </row>
    <row r="360" customFormat="false" ht="12.75" hidden="false" customHeight="true" outlineLevel="0" collapsed="false">
      <c r="A360" s="130" t="s">
        <v>102</v>
      </c>
      <c r="B360" s="36"/>
      <c r="C360" s="36"/>
      <c r="D360" s="36"/>
      <c r="E360" s="36"/>
      <c r="F360" s="36"/>
      <c r="G360" s="36"/>
      <c r="H360" s="36"/>
      <c r="I360" s="36"/>
      <c r="J360" s="37"/>
      <c r="K360" s="131" t="n">
        <f aca="false">SUM(K55+K116+K177+K238+K299)</f>
        <v>122813</v>
      </c>
      <c r="L360" s="131"/>
      <c r="M360" s="132"/>
      <c r="N360" s="133"/>
    </row>
    <row r="361" customFormat="false" ht="12.75" hidden="false" customHeight="true" outlineLevel="0" collapsed="false">
      <c r="A361" s="130" t="s">
        <v>103</v>
      </c>
      <c r="B361" s="36"/>
      <c r="C361" s="36"/>
      <c r="D361" s="36"/>
      <c r="E361" s="36"/>
      <c r="F361" s="158" t="n">
        <f aca="false">SUM(F56+F117+F178+F239+F300)</f>
        <v>0</v>
      </c>
      <c r="G361" s="134" t="s">
        <v>104</v>
      </c>
      <c r="H361" s="36"/>
      <c r="I361" s="36"/>
      <c r="J361" s="38"/>
      <c r="K361" s="132"/>
      <c r="L361" s="132"/>
      <c r="M361" s="38"/>
      <c r="N361" s="135"/>
    </row>
    <row r="362" customFormat="false" ht="12.75" hidden="false" customHeight="true" outlineLevel="0" collapsed="false">
      <c r="A362" s="26" t="s">
        <v>105</v>
      </c>
      <c r="B362" s="27"/>
      <c r="C362" s="27"/>
      <c r="D362" s="27"/>
      <c r="E362" s="27"/>
      <c r="F362" s="42"/>
      <c r="G362" s="32" t="s">
        <v>106</v>
      </c>
      <c r="H362" s="136" t="s">
        <v>2</v>
      </c>
      <c r="I362" s="136"/>
      <c r="J362" s="136"/>
      <c r="K362" s="136"/>
      <c r="L362" s="136"/>
      <c r="M362" s="136"/>
      <c r="N362" s="136"/>
    </row>
    <row r="363" customFormat="false" ht="12.75" hidden="false" customHeight="true" outlineLevel="0" collapsed="false">
      <c r="A363" s="69" t="str">
        <f aca="false">A6</f>
        <v>William Riley Casper</v>
      </c>
      <c r="B363" s="34"/>
      <c r="C363" s="34"/>
      <c r="D363" s="34"/>
      <c r="E363" s="34"/>
      <c r="F363" s="56"/>
      <c r="G363" s="137"/>
      <c r="H363" s="62" t="s">
        <v>107</v>
      </c>
      <c r="I363" s="62"/>
      <c r="J363" s="62"/>
      <c r="K363" s="62"/>
      <c r="L363" s="62"/>
      <c r="M363" s="62"/>
      <c r="N363" s="62"/>
    </row>
    <row r="364" customFormat="false" ht="12.75" hidden="false" customHeight="true" outlineLevel="0" collapsed="false">
      <c r="A364" s="26" t="s">
        <v>118</v>
      </c>
      <c r="B364" s="27"/>
      <c r="C364" s="27"/>
      <c r="D364" s="27"/>
      <c r="E364" s="27"/>
      <c r="F364" s="42"/>
      <c r="G364" s="32" t="s">
        <v>106</v>
      </c>
      <c r="H364" s="31" t="s">
        <v>109</v>
      </c>
      <c r="I364" s="31"/>
      <c r="J364" s="31" t="s">
        <v>110</v>
      </c>
      <c r="K364" s="31"/>
      <c r="L364" s="31"/>
      <c r="M364" s="138" t="s">
        <v>111</v>
      </c>
      <c r="N364" s="138"/>
    </row>
    <row r="365" customFormat="false" ht="12.75" hidden="false" customHeight="true" outlineLevel="0" collapsed="false">
      <c r="A365" s="130" t="str">
        <f aca="false">A60</f>
        <v>Darya Courville, Executive Director, Sponsored Programs</v>
      </c>
      <c r="B365" s="36"/>
      <c r="C365" s="36"/>
      <c r="D365" s="36"/>
      <c r="E365" s="36"/>
      <c r="F365" s="37"/>
      <c r="G365" s="40"/>
      <c r="H365" s="36"/>
      <c r="I365" s="37"/>
      <c r="J365" s="36"/>
      <c r="K365" s="36"/>
      <c r="L365" s="37"/>
      <c r="M365" s="36"/>
      <c r="N365" s="40"/>
    </row>
    <row r="366" customFormat="false" ht="12.75" hidden="false" customHeight="true" outlineLevel="0" collapsed="false">
      <c r="A366" s="139" t="s">
        <v>119</v>
      </c>
      <c r="B366" s="139"/>
      <c r="C366" s="139"/>
      <c r="D366" s="139"/>
      <c r="E366" s="140"/>
      <c r="F366" s="139"/>
      <c r="N366" s="141"/>
    </row>
  </sheetData>
  <mergeCells count="320">
    <mergeCell ref="A2:H2"/>
    <mergeCell ref="I2:N2"/>
    <mergeCell ref="I3:K3"/>
    <mergeCell ref="L3:N3"/>
    <mergeCell ref="L4:M4"/>
    <mergeCell ref="I5:J5"/>
    <mergeCell ref="H7:J7"/>
    <mergeCell ref="K7:L7"/>
    <mergeCell ref="M7:N7"/>
    <mergeCell ref="H8:J8"/>
    <mergeCell ref="K8:L8"/>
    <mergeCell ref="M8:N8"/>
    <mergeCell ref="K9:L9"/>
    <mergeCell ref="M9:N9"/>
    <mergeCell ref="K10:L10"/>
    <mergeCell ref="K11:L11"/>
    <mergeCell ref="K12:L12"/>
    <mergeCell ref="K13:L13"/>
    <mergeCell ref="K14:L14"/>
    <mergeCell ref="K15:L15"/>
    <mergeCell ref="K16:L16"/>
    <mergeCell ref="P17:R17"/>
    <mergeCell ref="K18:L18"/>
    <mergeCell ref="K19:L19"/>
    <mergeCell ref="K20:L20"/>
    <mergeCell ref="K21:L21"/>
    <mergeCell ref="K22:L22"/>
    <mergeCell ref="K23:L23"/>
    <mergeCell ref="K24:L24"/>
    <mergeCell ref="K25:L25"/>
    <mergeCell ref="K26:L26"/>
    <mergeCell ref="K31:L31"/>
    <mergeCell ref="K32:L32"/>
    <mergeCell ref="K33:L33"/>
    <mergeCell ref="K40:L40"/>
    <mergeCell ref="K42:L42"/>
    <mergeCell ref="K43:L43"/>
    <mergeCell ref="K44:L44"/>
    <mergeCell ref="K45:L45"/>
    <mergeCell ref="K46:L46"/>
    <mergeCell ref="K47:L47"/>
    <mergeCell ref="K48:L48"/>
    <mergeCell ref="K49:L49"/>
    <mergeCell ref="A51:F51"/>
    <mergeCell ref="G51:H51"/>
    <mergeCell ref="K52:L52"/>
    <mergeCell ref="K53:L53"/>
    <mergeCell ref="K54:L54"/>
    <mergeCell ref="K55:L55"/>
    <mergeCell ref="H57:N57"/>
    <mergeCell ref="H58:N58"/>
    <mergeCell ref="H59:I59"/>
    <mergeCell ref="J59:L59"/>
    <mergeCell ref="M59:N59"/>
    <mergeCell ref="A63:H63"/>
    <mergeCell ref="I63:N63"/>
    <mergeCell ref="I64:K64"/>
    <mergeCell ref="L64:N64"/>
    <mergeCell ref="L65:M65"/>
    <mergeCell ref="I66:J66"/>
    <mergeCell ref="H68:J68"/>
    <mergeCell ref="K68:L68"/>
    <mergeCell ref="M68:N68"/>
    <mergeCell ref="H69:J69"/>
    <mergeCell ref="K69:L69"/>
    <mergeCell ref="M69:N69"/>
    <mergeCell ref="K70:L70"/>
    <mergeCell ref="M70:N70"/>
    <mergeCell ref="K71:L71"/>
    <mergeCell ref="K72:L72"/>
    <mergeCell ref="K73:L73"/>
    <mergeCell ref="K74:L74"/>
    <mergeCell ref="K75:L75"/>
    <mergeCell ref="K76:L76"/>
    <mergeCell ref="K77:L77"/>
    <mergeCell ref="K79:L79"/>
    <mergeCell ref="K80:L80"/>
    <mergeCell ref="K81:L81"/>
    <mergeCell ref="K82:L82"/>
    <mergeCell ref="K83:L83"/>
    <mergeCell ref="K84:L84"/>
    <mergeCell ref="K85:L85"/>
    <mergeCell ref="K86:L86"/>
    <mergeCell ref="K87:L87"/>
    <mergeCell ref="K92:L92"/>
    <mergeCell ref="K93:L93"/>
    <mergeCell ref="K94:L94"/>
    <mergeCell ref="K101:L101"/>
    <mergeCell ref="K103:L103"/>
    <mergeCell ref="K104:L104"/>
    <mergeCell ref="K105:L105"/>
    <mergeCell ref="K106:L106"/>
    <mergeCell ref="K107:L107"/>
    <mergeCell ref="K108:L108"/>
    <mergeCell ref="K109:L109"/>
    <mergeCell ref="K110:L110"/>
    <mergeCell ref="A112:F112"/>
    <mergeCell ref="G112:H112"/>
    <mergeCell ref="K113:L113"/>
    <mergeCell ref="K114:L114"/>
    <mergeCell ref="K115:L115"/>
    <mergeCell ref="K116:L116"/>
    <mergeCell ref="H118:N118"/>
    <mergeCell ref="H119:N119"/>
    <mergeCell ref="H120:I120"/>
    <mergeCell ref="J120:L120"/>
    <mergeCell ref="M120:N120"/>
    <mergeCell ref="A124:H124"/>
    <mergeCell ref="I124:N124"/>
    <mergeCell ref="I125:K125"/>
    <mergeCell ref="L125:N125"/>
    <mergeCell ref="L126:M126"/>
    <mergeCell ref="I127:J127"/>
    <mergeCell ref="H129:J129"/>
    <mergeCell ref="K129:L129"/>
    <mergeCell ref="M129:N129"/>
    <mergeCell ref="H130:J130"/>
    <mergeCell ref="K130:L130"/>
    <mergeCell ref="M130:N130"/>
    <mergeCell ref="K131:L131"/>
    <mergeCell ref="M131:N131"/>
    <mergeCell ref="K132:L132"/>
    <mergeCell ref="K133:L133"/>
    <mergeCell ref="K134:L134"/>
    <mergeCell ref="K135:L135"/>
    <mergeCell ref="K136:L136"/>
    <mergeCell ref="K137:L137"/>
    <mergeCell ref="K138:L138"/>
    <mergeCell ref="K140:L140"/>
    <mergeCell ref="K141:L141"/>
    <mergeCell ref="K142:L142"/>
    <mergeCell ref="K143:L143"/>
    <mergeCell ref="K144:L144"/>
    <mergeCell ref="K145:L145"/>
    <mergeCell ref="K146:L146"/>
    <mergeCell ref="K147:L147"/>
    <mergeCell ref="K148:L148"/>
    <mergeCell ref="K153:L153"/>
    <mergeCell ref="K154:L154"/>
    <mergeCell ref="K155:L155"/>
    <mergeCell ref="K162:L162"/>
    <mergeCell ref="K164:L164"/>
    <mergeCell ref="K165:L165"/>
    <mergeCell ref="K166:L166"/>
    <mergeCell ref="K167:L167"/>
    <mergeCell ref="K168:L168"/>
    <mergeCell ref="K169:L169"/>
    <mergeCell ref="K170:L170"/>
    <mergeCell ref="K171:L171"/>
    <mergeCell ref="A173:F173"/>
    <mergeCell ref="G173:H173"/>
    <mergeCell ref="K174:L174"/>
    <mergeCell ref="K175:L175"/>
    <mergeCell ref="K176:L176"/>
    <mergeCell ref="K177:L177"/>
    <mergeCell ref="H179:N179"/>
    <mergeCell ref="H180:N180"/>
    <mergeCell ref="H181:I181"/>
    <mergeCell ref="J181:L181"/>
    <mergeCell ref="M181:N181"/>
    <mergeCell ref="A185:H185"/>
    <mergeCell ref="I185:N185"/>
    <mergeCell ref="I186:K186"/>
    <mergeCell ref="L186:N186"/>
    <mergeCell ref="L187:M187"/>
    <mergeCell ref="I188:J188"/>
    <mergeCell ref="H190:J190"/>
    <mergeCell ref="K190:L190"/>
    <mergeCell ref="M190:N190"/>
    <mergeCell ref="H191:J191"/>
    <mergeCell ref="K191:L191"/>
    <mergeCell ref="M191:N191"/>
    <mergeCell ref="K192:L192"/>
    <mergeCell ref="M192:N192"/>
    <mergeCell ref="K193:L193"/>
    <mergeCell ref="K194:L194"/>
    <mergeCell ref="K195:L195"/>
    <mergeCell ref="K196:L196"/>
    <mergeCell ref="K197:L197"/>
    <mergeCell ref="K198:L198"/>
    <mergeCell ref="K199:L199"/>
    <mergeCell ref="K201:L201"/>
    <mergeCell ref="K202:L202"/>
    <mergeCell ref="K203:L203"/>
    <mergeCell ref="K204:L204"/>
    <mergeCell ref="K205:L205"/>
    <mergeCell ref="K206:L206"/>
    <mergeCell ref="K207:L207"/>
    <mergeCell ref="K208:L208"/>
    <mergeCell ref="K209:L209"/>
    <mergeCell ref="K214:L214"/>
    <mergeCell ref="K215:L215"/>
    <mergeCell ref="K216:L216"/>
    <mergeCell ref="K223:L223"/>
    <mergeCell ref="K225:L225"/>
    <mergeCell ref="K226:L226"/>
    <mergeCell ref="K227:L227"/>
    <mergeCell ref="K228:L228"/>
    <mergeCell ref="K229:L229"/>
    <mergeCell ref="K230:L230"/>
    <mergeCell ref="K231:L231"/>
    <mergeCell ref="K232:L232"/>
    <mergeCell ref="A234:F234"/>
    <mergeCell ref="G234:H234"/>
    <mergeCell ref="K235:L235"/>
    <mergeCell ref="K236:L236"/>
    <mergeCell ref="K237:L237"/>
    <mergeCell ref="K238:L238"/>
    <mergeCell ref="H240:N240"/>
    <mergeCell ref="H241:N241"/>
    <mergeCell ref="H242:I242"/>
    <mergeCell ref="J242:L242"/>
    <mergeCell ref="M242:N242"/>
    <mergeCell ref="A246:H246"/>
    <mergeCell ref="I246:N246"/>
    <mergeCell ref="I247:K247"/>
    <mergeCell ref="L247:N247"/>
    <mergeCell ref="L248:M248"/>
    <mergeCell ref="I249:J249"/>
    <mergeCell ref="H251:J251"/>
    <mergeCell ref="K251:L251"/>
    <mergeCell ref="M251:N251"/>
    <mergeCell ref="H252:J252"/>
    <mergeCell ref="K252:L252"/>
    <mergeCell ref="M252:N252"/>
    <mergeCell ref="K253:L253"/>
    <mergeCell ref="M253:N253"/>
    <mergeCell ref="K254:L254"/>
    <mergeCell ref="K255:L255"/>
    <mergeCell ref="K256:L256"/>
    <mergeCell ref="K257:L257"/>
    <mergeCell ref="K258:L258"/>
    <mergeCell ref="K259:L259"/>
    <mergeCell ref="K260:L260"/>
    <mergeCell ref="K262:L262"/>
    <mergeCell ref="K263:L263"/>
    <mergeCell ref="K264:L264"/>
    <mergeCell ref="K265:L265"/>
    <mergeCell ref="K266:L266"/>
    <mergeCell ref="K267:L267"/>
    <mergeCell ref="K268:L268"/>
    <mergeCell ref="K269:L269"/>
    <mergeCell ref="K270:L270"/>
    <mergeCell ref="K275:L275"/>
    <mergeCell ref="K276:L276"/>
    <mergeCell ref="K277:L277"/>
    <mergeCell ref="K284:L284"/>
    <mergeCell ref="K286:L286"/>
    <mergeCell ref="K287:L287"/>
    <mergeCell ref="K288:L288"/>
    <mergeCell ref="K289:L289"/>
    <mergeCell ref="K290:L290"/>
    <mergeCell ref="K291:L291"/>
    <mergeCell ref="K292:L292"/>
    <mergeCell ref="K293:L293"/>
    <mergeCell ref="A295:F295"/>
    <mergeCell ref="G295:H295"/>
    <mergeCell ref="K296:L296"/>
    <mergeCell ref="K297:L297"/>
    <mergeCell ref="K298:L298"/>
    <mergeCell ref="K299:L299"/>
    <mergeCell ref="H301:N301"/>
    <mergeCell ref="H302:N302"/>
    <mergeCell ref="H303:I303"/>
    <mergeCell ref="J303:L303"/>
    <mergeCell ref="M303:N303"/>
    <mergeCell ref="K306:M306"/>
    <mergeCell ref="A307:H307"/>
    <mergeCell ref="I307:N307"/>
    <mergeCell ref="I308:K308"/>
    <mergeCell ref="L308:N308"/>
    <mergeCell ref="L309:M309"/>
    <mergeCell ref="I310:J310"/>
    <mergeCell ref="H312:J312"/>
    <mergeCell ref="K312:L312"/>
    <mergeCell ref="M312:N312"/>
    <mergeCell ref="H313:J313"/>
    <mergeCell ref="K313:L313"/>
    <mergeCell ref="M313:N313"/>
    <mergeCell ref="K314:L314"/>
    <mergeCell ref="M314:N314"/>
    <mergeCell ref="K315:L315"/>
    <mergeCell ref="K316:L316"/>
    <mergeCell ref="K317:L317"/>
    <mergeCell ref="K318:L318"/>
    <mergeCell ref="K319:L319"/>
    <mergeCell ref="K320:L320"/>
    <mergeCell ref="K321:L321"/>
    <mergeCell ref="K323:L323"/>
    <mergeCell ref="K324:L324"/>
    <mergeCell ref="K325:L325"/>
    <mergeCell ref="K326:L326"/>
    <mergeCell ref="K327:L327"/>
    <mergeCell ref="K328:L328"/>
    <mergeCell ref="K329:L329"/>
    <mergeCell ref="K330:L330"/>
    <mergeCell ref="K331:L331"/>
    <mergeCell ref="K336:L336"/>
    <mergeCell ref="K337:L337"/>
    <mergeCell ref="K338:L338"/>
    <mergeCell ref="K345:L345"/>
    <mergeCell ref="K347:L347"/>
    <mergeCell ref="K348:L348"/>
    <mergeCell ref="K349:L349"/>
    <mergeCell ref="K350:L350"/>
    <mergeCell ref="K351:L351"/>
    <mergeCell ref="K352:L352"/>
    <mergeCell ref="K353:L353"/>
    <mergeCell ref="K354:L354"/>
    <mergeCell ref="A356:F356"/>
    <mergeCell ref="G356:H356"/>
    <mergeCell ref="K357:L357"/>
    <mergeCell ref="K358:L358"/>
    <mergeCell ref="K359:L359"/>
    <mergeCell ref="K360:L360"/>
    <mergeCell ref="H362:N362"/>
    <mergeCell ref="H363:N363"/>
    <mergeCell ref="H364:I364"/>
    <mergeCell ref="J364:L364"/>
    <mergeCell ref="M364:N364"/>
  </mergeCells>
  <dataValidations count="4">
    <dataValidation allowBlank="false" operator="between" showDropDown="false" showErrorMessage="true" showInputMessage="true" sqref="P72 P133 P194 P255" type="none">
      <formula1>0</formula1>
      <formula2>0</formula2>
    </dataValidation>
    <dataValidation allowBlank="true" operator="between" showDropDown="false" showErrorMessage="true" showInputMessage="true" sqref="P17:R17" type="list">
      <formula1>ProjectType</formula1>
      <formula2>0</formula2>
    </dataValidation>
    <dataValidation allowBlank="true" operator="between" showDropDown="false" showErrorMessage="true" showInputMessage="true" sqref="S23" type="list">
      <formula1>Answers</formula1>
      <formula2>0</formula2>
    </dataValidation>
    <dataValidation allowBlank="false" operator="between" showDropDown="false" showErrorMessage="true" showInputMessage="true" sqref="P15" type="list">
      <formula1>'Look up tables'!$A$2:$A$31</formula1>
      <formula2>0</formula2>
    </dataValidation>
  </dataValidations>
  <printOptions headings="false" gridLines="false" gridLinesSet="true" horizontalCentered="true" verticalCentered="true"/>
  <pageMargins left="0.25" right="0.3" top="0.5" bottom="0.5" header="0.511805555555555" footer="0.511805555555555"/>
  <pageSetup paperSize="1" scale="87" firstPageNumber="1" fitToWidth="1" fitToHeight="1" pageOrder="downThenOver" orientation="portrait" blackAndWhite="false" draft="false" cellComments="none" useFirstPageNumber="true" horizontalDpi="300" verticalDpi="300" copies="1"/>
  <headerFooter differentFirst="false" differentOddEven="false">
    <oddHeader/>
    <oddFooter/>
  </headerFooter>
  <rowBreaks count="5" manualBreakCount="5">
    <brk id="61" man="true" max="16383" min="0"/>
    <brk id="122" man="true" max="16383" min="0"/>
    <brk id="183" man="true" max="16383" min="0"/>
    <brk id="244" man="true" max="16383" min="0"/>
    <brk id="305" man="true" max="16383" min="0"/>
  </rowBreaks>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2.5" zeroHeight="false" outlineLevelRow="0" outlineLevelCol="0"/>
  <cols>
    <col collapsed="false" customWidth="true" hidden="false" outlineLevel="0" max="1" min="1" style="0" width="15"/>
    <col collapsed="false" customWidth="true" hidden="false" outlineLevel="0" max="3" min="2" style="0" width="9.36"/>
    <col collapsed="false" customWidth="true" hidden="false" outlineLevel="0" max="4" min="4" style="0" width="10.09"/>
    <col collapsed="false" customWidth="true" hidden="false" outlineLevel="0" max="5" min="5" style="0" width="10.91"/>
    <col collapsed="false" customWidth="true" hidden="false" outlineLevel="0" max="1025" min="6" style="0" width="8.67"/>
  </cols>
  <sheetData>
    <row r="1" customFormat="false" ht="12.5" hidden="false" customHeight="false" outlineLevel="0" collapsed="false">
      <c r="B1" s="159"/>
      <c r="C1" s="159"/>
      <c r="D1" s="159"/>
      <c r="E1" s="159"/>
    </row>
    <row r="2" customFormat="false" ht="12.5" hidden="false" customHeight="false" outlineLevel="0" collapsed="false">
      <c r="A2" s="160" t="n">
        <v>43466</v>
      </c>
      <c r="B2" s="161"/>
      <c r="C2" s="161"/>
      <c r="D2" s="161"/>
      <c r="E2" s="162"/>
      <c r="F2" s="76" t="s">
        <v>40</v>
      </c>
    </row>
    <row r="3" customFormat="false" ht="12.5" hidden="false" customHeight="false" outlineLevel="0" collapsed="false">
      <c r="A3" s="160" t="n">
        <v>43497</v>
      </c>
      <c r="B3" s="161"/>
      <c r="C3" s="161"/>
      <c r="D3" s="161"/>
      <c r="E3" s="162"/>
      <c r="F3" s="0" t="s">
        <v>130</v>
      </c>
    </row>
    <row r="4" customFormat="false" ht="12.5" hidden="false" customHeight="false" outlineLevel="0" collapsed="false">
      <c r="A4" s="160" t="n">
        <v>43525</v>
      </c>
      <c r="B4" s="161"/>
      <c r="C4" s="161"/>
      <c r="D4" s="161"/>
      <c r="E4" s="162"/>
      <c r="F4" s="0" t="s">
        <v>131</v>
      </c>
    </row>
    <row r="5" customFormat="false" ht="12.5" hidden="false" customHeight="false" outlineLevel="0" collapsed="false">
      <c r="A5" s="160" t="n">
        <v>43556</v>
      </c>
      <c r="B5" s="161"/>
      <c r="C5" s="161"/>
      <c r="D5" s="161"/>
      <c r="E5" s="162"/>
      <c r="F5" s="0" t="s">
        <v>132</v>
      </c>
    </row>
    <row r="6" customFormat="false" ht="12.5" hidden="false" customHeight="false" outlineLevel="0" collapsed="false">
      <c r="A6" s="160" t="n">
        <v>43586</v>
      </c>
      <c r="B6" s="161"/>
      <c r="C6" s="161"/>
      <c r="D6" s="161"/>
      <c r="E6" s="162"/>
      <c r="F6" s="0" t="s">
        <v>133</v>
      </c>
    </row>
    <row r="7" customFormat="false" ht="12.5" hidden="false" customHeight="false" outlineLevel="0" collapsed="false">
      <c r="A7" s="160" t="n">
        <v>43617</v>
      </c>
      <c r="B7" s="161"/>
      <c r="C7" s="161"/>
      <c r="D7" s="161"/>
      <c r="E7" s="162"/>
    </row>
    <row r="8" customFormat="false" ht="12.5" hidden="false" customHeight="false" outlineLevel="0" collapsed="false">
      <c r="A8" s="160" t="n">
        <v>43647</v>
      </c>
      <c r="B8" s="161"/>
      <c r="C8" s="161"/>
      <c r="D8" s="161"/>
      <c r="E8" s="162"/>
    </row>
    <row r="9" customFormat="false" ht="12.5" hidden="false" customHeight="false" outlineLevel="0" collapsed="false">
      <c r="A9" s="160" t="n">
        <v>43678</v>
      </c>
      <c r="B9" s="161"/>
      <c r="C9" s="161"/>
      <c r="D9" s="161"/>
      <c r="E9" s="162"/>
      <c r="F9" s="0" t="s">
        <v>134</v>
      </c>
    </row>
    <row r="10" customFormat="false" ht="12.5" hidden="false" customHeight="false" outlineLevel="0" collapsed="false">
      <c r="A10" s="160" t="n">
        <v>43709</v>
      </c>
      <c r="B10" s="161"/>
      <c r="C10" s="161"/>
      <c r="D10" s="161"/>
      <c r="E10" s="162"/>
      <c r="F10" s="0" t="s">
        <v>135</v>
      </c>
    </row>
    <row r="11" customFormat="false" ht="12.5" hidden="false" customHeight="false" outlineLevel="0" collapsed="false">
      <c r="A11" s="160" t="n">
        <v>43739</v>
      </c>
      <c r="B11" s="161"/>
      <c r="C11" s="161"/>
      <c r="D11" s="161"/>
      <c r="E11" s="162"/>
    </row>
    <row r="12" customFormat="false" ht="12.5" hidden="false" customHeight="false" outlineLevel="0" collapsed="false">
      <c r="A12" s="160" t="n">
        <v>43770</v>
      </c>
      <c r="B12" s="161"/>
      <c r="C12" s="161"/>
      <c r="D12" s="161"/>
      <c r="E12" s="162"/>
    </row>
    <row r="13" customFormat="false" ht="12.5" hidden="false" customHeight="false" outlineLevel="0" collapsed="false">
      <c r="A13" s="160" t="n">
        <v>43800</v>
      </c>
      <c r="B13" s="161"/>
      <c r="C13" s="161"/>
      <c r="D13" s="161"/>
      <c r="E13" s="162"/>
    </row>
    <row r="14" customFormat="false" ht="12.5" hidden="false" customHeight="false" outlineLevel="0" collapsed="false">
      <c r="A14" s="160" t="n">
        <v>43831</v>
      </c>
      <c r="B14" s="161"/>
      <c r="C14" s="161"/>
      <c r="D14" s="161"/>
      <c r="E14" s="162"/>
    </row>
    <row r="15" customFormat="false" ht="12.5" hidden="false" customHeight="false" outlineLevel="0" collapsed="false">
      <c r="A15" s="160" t="n">
        <v>43862</v>
      </c>
      <c r="B15" s="161"/>
      <c r="C15" s="161"/>
      <c r="D15" s="161"/>
      <c r="E15" s="162"/>
    </row>
    <row r="16" customFormat="false" ht="12.5" hidden="false" customHeight="false" outlineLevel="0" collapsed="false">
      <c r="A16" s="160" t="n">
        <v>43891</v>
      </c>
      <c r="B16" s="161"/>
      <c r="C16" s="161"/>
      <c r="D16" s="161"/>
      <c r="E16" s="162"/>
    </row>
    <row r="17" customFormat="false" ht="12.5" hidden="false" customHeight="false" outlineLevel="0" collapsed="false">
      <c r="A17" s="160" t="n">
        <v>43922</v>
      </c>
      <c r="B17" s="161"/>
      <c r="C17" s="161"/>
      <c r="D17" s="161"/>
      <c r="E17" s="162"/>
    </row>
    <row r="18" customFormat="false" ht="12.5" hidden="false" customHeight="false" outlineLevel="0" collapsed="false">
      <c r="A18" s="160" t="n">
        <v>43952</v>
      </c>
      <c r="B18" s="161"/>
      <c r="C18" s="161"/>
      <c r="D18" s="161"/>
      <c r="E18" s="162"/>
    </row>
    <row r="19" customFormat="false" ht="12.5" hidden="false" customHeight="false" outlineLevel="0" collapsed="false">
      <c r="A19" s="160" t="n">
        <v>43983</v>
      </c>
      <c r="B19" s="161"/>
      <c r="C19" s="161"/>
      <c r="D19" s="161"/>
      <c r="E19" s="162"/>
    </row>
    <row r="20" customFormat="false" ht="12.5" hidden="false" customHeight="false" outlineLevel="0" collapsed="false">
      <c r="A20" s="160" t="n">
        <v>44013</v>
      </c>
      <c r="B20" s="161"/>
      <c r="C20" s="161"/>
      <c r="D20" s="161"/>
      <c r="E20" s="162"/>
    </row>
    <row r="21" customFormat="false" ht="12.5" hidden="false" customHeight="false" outlineLevel="0" collapsed="false">
      <c r="A21" s="160" t="n">
        <v>44044</v>
      </c>
      <c r="B21" s="161"/>
      <c r="C21" s="161"/>
      <c r="D21" s="161"/>
      <c r="E21" s="162"/>
    </row>
    <row r="22" customFormat="false" ht="12.5" hidden="false" customHeight="false" outlineLevel="0" collapsed="false">
      <c r="A22" s="160" t="n">
        <v>44075</v>
      </c>
      <c r="B22" s="161"/>
      <c r="C22" s="161"/>
      <c r="D22" s="161"/>
      <c r="E22" s="162"/>
    </row>
    <row r="23" customFormat="false" ht="12.5" hidden="false" customHeight="false" outlineLevel="0" collapsed="false">
      <c r="A23" s="160" t="n">
        <v>44105</v>
      </c>
      <c r="B23" s="161"/>
      <c r="C23" s="161"/>
      <c r="D23" s="161"/>
      <c r="E23" s="162"/>
    </row>
    <row r="24" customFormat="false" ht="12.5" hidden="false" customHeight="false" outlineLevel="0" collapsed="false">
      <c r="A24" s="160" t="n">
        <v>44136</v>
      </c>
      <c r="B24" s="161"/>
      <c r="C24" s="161"/>
      <c r="D24" s="161"/>
      <c r="E24" s="162"/>
    </row>
    <row r="25" customFormat="false" ht="12.5" hidden="false" customHeight="false" outlineLevel="0" collapsed="false">
      <c r="A25" s="160" t="n">
        <v>44166</v>
      </c>
      <c r="B25" s="161"/>
      <c r="C25" s="161"/>
      <c r="D25" s="161"/>
      <c r="E25" s="162"/>
    </row>
    <row r="26" customFormat="false" ht="12.5" hidden="false" customHeight="false" outlineLevel="0" collapsed="false">
      <c r="A26" s="160" t="n">
        <v>44197</v>
      </c>
      <c r="B26" s="161"/>
      <c r="C26" s="161"/>
      <c r="D26" s="161"/>
      <c r="E26" s="162"/>
    </row>
    <row r="27" customFormat="false" ht="12.5" hidden="false" customHeight="false" outlineLevel="0" collapsed="false">
      <c r="A27" s="160" t="n">
        <v>44228</v>
      </c>
      <c r="B27" s="161"/>
      <c r="C27" s="161"/>
      <c r="D27" s="161"/>
      <c r="E27" s="162"/>
    </row>
    <row r="28" customFormat="false" ht="12.5" hidden="false" customHeight="false" outlineLevel="0" collapsed="false">
      <c r="A28" s="160" t="n">
        <v>44256</v>
      </c>
      <c r="B28" s="161"/>
      <c r="C28" s="161"/>
      <c r="D28" s="161"/>
      <c r="E28" s="162"/>
    </row>
    <row r="29" customFormat="false" ht="12.5" hidden="false" customHeight="false" outlineLevel="0" collapsed="false">
      <c r="A29" s="160" t="n">
        <v>44287</v>
      </c>
      <c r="B29" s="161"/>
      <c r="C29" s="161"/>
      <c r="D29" s="161"/>
      <c r="E29" s="162"/>
    </row>
    <row r="30" customFormat="false" ht="12.5" hidden="false" customHeight="false" outlineLevel="0" collapsed="false">
      <c r="A30" s="160" t="n">
        <v>44317</v>
      </c>
      <c r="B30" s="161"/>
      <c r="C30" s="161"/>
      <c r="D30" s="161"/>
      <c r="E30" s="162"/>
    </row>
    <row r="31" customFormat="false" ht="12.5" hidden="false" customHeight="false" outlineLevel="0" collapsed="false">
      <c r="A31" s="160" t="n">
        <v>44348</v>
      </c>
      <c r="B31" s="161"/>
      <c r="C31" s="161"/>
      <c r="D31" s="161"/>
      <c r="E31" s="162"/>
    </row>
    <row r="32" customFormat="false" ht="12.5" hidden="false" customHeight="false" outlineLevel="0" collapsed="false">
      <c r="A32" s="160" t="n">
        <v>44378</v>
      </c>
      <c r="B32" s="161"/>
      <c r="C32" s="161"/>
      <c r="D32" s="161"/>
      <c r="E32" s="162"/>
    </row>
    <row r="33" customFormat="false" ht="12.5" hidden="false" customHeight="false" outlineLevel="0" collapsed="false">
      <c r="A33" s="160" t="n">
        <v>44409</v>
      </c>
      <c r="B33" s="161"/>
      <c r="C33" s="161"/>
      <c r="D33" s="161"/>
      <c r="E33" s="162"/>
    </row>
    <row r="34" customFormat="false" ht="12.5" hidden="false" customHeight="false" outlineLevel="0" collapsed="false">
      <c r="A34" s="160" t="n">
        <v>44440</v>
      </c>
      <c r="B34" s="161"/>
      <c r="C34" s="161"/>
      <c r="D34" s="161"/>
      <c r="E34" s="162"/>
    </row>
    <row r="35" customFormat="false" ht="12.5" hidden="false" customHeight="false" outlineLevel="0" collapsed="false">
      <c r="A35" s="160" t="n">
        <v>44470</v>
      </c>
      <c r="B35" s="161"/>
      <c r="C35" s="161"/>
      <c r="D35" s="161"/>
      <c r="E35" s="162"/>
    </row>
    <row r="36" customFormat="false" ht="12.5" hidden="false" customHeight="false" outlineLevel="0" collapsed="false">
      <c r="A36" s="160" t="n">
        <v>44501</v>
      </c>
      <c r="B36" s="161"/>
      <c r="C36" s="161"/>
      <c r="D36" s="161"/>
      <c r="E36" s="162"/>
    </row>
    <row r="37" customFormat="false" ht="12.5" hidden="false" customHeight="false" outlineLevel="0" collapsed="false">
      <c r="A37" s="160" t="n">
        <v>44531</v>
      </c>
      <c r="B37" s="161"/>
      <c r="C37" s="161"/>
      <c r="D37" s="161"/>
      <c r="E37" s="162"/>
    </row>
    <row r="38" customFormat="false" ht="12.5" hidden="false" customHeight="false" outlineLevel="0" collapsed="false">
      <c r="A38" s="160" t="n">
        <v>44562</v>
      </c>
      <c r="B38" s="161"/>
      <c r="C38" s="161"/>
      <c r="D38" s="161"/>
      <c r="E38" s="162"/>
    </row>
    <row r="39" customFormat="false" ht="12.5" hidden="false" customHeight="false" outlineLevel="0" collapsed="false">
      <c r="A39" s="160" t="n">
        <v>44593</v>
      </c>
      <c r="B39" s="161"/>
      <c r="C39" s="161"/>
      <c r="D39" s="161"/>
      <c r="E39" s="162"/>
    </row>
    <row r="40" customFormat="false" ht="12.5" hidden="false" customHeight="false" outlineLevel="0" collapsed="false">
      <c r="A40" s="160" t="n">
        <v>44621</v>
      </c>
      <c r="B40" s="161"/>
      <c r="C40" s="161"/>
      <c r="D40" s="161"/>
      <c r="E40" s="162"/>
    </row>
    <row r="41" customFormat="false" ht="12.5" hidden="false" customHeight="false" outlineLevel="0" collapsed="false">
      <c r="A41" s="160" t="n">
        <v>44652</v>
      </c>
      <c r="B41" s="161"/>
      <c r="C41" s="161"/>
      <c r="D41" s="161"/>
      <c r="E41" s="162"/>
    </row>
    <row r="42" customFormat="false" ht="12.5" hidden="false" customHeight="false" outlineLevel="0" collapsed="false">
      <c r="A42" s="160" t="n">
        <v>44682</v>
      </c>
      <c r="B42" s="161"/>
      <c r="C42" s="161"/>
      <c r="D42" s="161"/>
      <c r="E42" s="162"/>
    </row>
    <row r="43" customFormat="false" ht="12.5" hidden="false" customHeight="false" outlineLevel="0" collapsed="false">
      <c r="A43" s="160" t="n">
        <v>44713</v>
      </c>
      <c r="B43" s="161"/>
      <c r="C43" s="161"/>
      <c r="D43" s="161"/>
      <c r="E43" s="162"/>
    </row>
    <row r="44" customFormat="false" ht="12.5" hidden="false" customHeight="false" outlineLevel="0" collapsed="false">
      <c r="A44" s="160" t="n">
        <f aca="false">A43+31</f>
        <v>44744</v>
      </c>
      <c r="B44" s="161"/>
      <c r="C44" s="161"/>
      <c r="D44" s="161"/>
      <c r="E44" s="162"/>
    </row>
    <row r="45" customFormat="false" ht="12.5" hidden="false" customHeight="false" outlineLevel="0" collapsed="false">
      <c r="A45" s="160" t="n">
        <f aca="false">A44+31</f>
        <v>44775</v>
      </c>
      <c r="B45" s="161"/>
      <c r="C45" s="161"/>
      <c r="D45" s="161"/>
      <c r="E45" s="162"/>
    </row>
    <row r="46" customFormat="false" ht="12.5" hidden="false" customHeight="false" outlineLevel="0" collapsed="false">
      <c r="A46" s="160" t="n">
        <f aca="false">A45+31</f>
        <v>44806</v>
      </c>
      <c r="B46" s="161"/>
      <c r="C46" s="161"/>
      <c r="D46" s="161"/>
      <c r="E46" s="162"/>
    </row>
    <row r="47" customFormat="false" ht="12.5" hidden="false" customHeight="false" outlineLevel="0" collapsed="false">
      <c r="A47" s="160" t="n">
        <f aca="false">A46+31</f>
        <v>44837</v>
      </c>
      <c r="B47" s="161"/>
      <c r="C47" s="161"/>
      <c r="D47" s="161"/>
      <c r="E47" s="162"/>
    </row>
    <row r="48" customFormat="false" ht="12.5" hidden="false" customHeight="false" outlineLevel="0" collapsed="false">
      <c r="A48" s="160" t="n">
        <f aca="false">A47+31</f>
        <v>44868</v>
      </c>
      <c r="B48" s="161"/>
      <c r="C48" s="161"/>
      <c r="D48" s="161"/>
      <c r="E48" s="162"/>
    </row>
    <row r="49" customFormat="false" ht="12.5" hidden="false" customHeight="false" outlineLevel="0" collapsed="false">
      <c r="A49" s="160" t="n">
        <f aca="false">A48+31</f>
        <v>44899</v>
      </c>
      <c r="B49" s="161"/>
      <c r="C49" s="161"/>
      <c r="D49" s="161"/>
      <c r="E49" s="162"/>
    </row>
    <row r="50" customFormat="false" ht="12.5" hidden="false" customHeight="false" outlineLevel="0" collapsed="false">
      <c r="A50" s="160" t="n">
        <f aca="false">A49+31</f>
        <v>44930</v>
      </c>
      <c r="B50" s="161"/>
      <c r="C50" s="161"/>
      <c r="D50" s="161"/>
      <c r="E50" s="162"/>
    </row>
    <row r="51" customFormat="false" ht="12.5" hidden="false" customHeight="false" outlineLevel="0" collapsed="false">
      <c r="A51" s="160" t="n">
        <f aca="false">A50+31</f>
        <v>44961</v>
      </c>
      <c r="B51" s="161"/>
      <c r="C51" s="161"/>
      <c r="D51" s="161"/>
      <c r="E51" s="162"/>
    </row>
    <row r="52" customFormat="false" ht="12.5" hidden="false" customHeight="false" outlineLevel="0" collapsed="false">
      <c r="A52" s="160" t="n">
        <f aca="false">A51+31</f>
        <v>44992</v>
      </c>
      <c r="B52" s="161"/>
      <c r="C52" s="161"/>
      <c r="D52" s="161"/>
      <c r="E52" s="162"/>
    </row>
    <row r="53" customFormat="false" ht="12.5" hidden="false" customHeight="false" outlineLevel="0" collapsed="false">
      <c r="A53" s="160" t="n">
        <f aca="false">A52+31</f>
        <v>45023</v>
      </c>
      <c r="B53" s="161"/>
      <c r="C53" s="161"/>
      <c r="D53" s="161"/>
      <c r="E53" s="162"/>
    </row>
    <row r="54" customFormat="false" ht="12.5" hidden="false" customHeight="false" outlineLevel="0" collapsed="false">
      <c r="A54" s="160" t="n">
        <f aca="false">A53+31</f>
        <v>45054</v>
      </c>
      <c r="B54" s="161"/>
      <c r="C54" s="161"/>
      <c r="D54" s="161"/>
      <c r="E54" s="162"/>
    </row>
    <row r="55" customFormat="false" ht="12.5" hidden="false" customHeight="false" outlineLevel="0" collapsed="false">
      <c r="A55" s="160" t="n">
        <f aca="false">A54+31</f>
        <v>45085</v>
      </c>
      <c r="B55" s="161"/>
      <c r="C55" s="161"/>
      <c r="D55" s="161"/>
      <c r="E55" s="162"/>
    </row>
    <row r="56" customFormat="false" ht="12.5" hidden="false" customHeight="false" outlineLevel="0" collapsed="false">
      <c r="A56" s="160" t="n">
        <f aca="false">A55+31</f>
        <v>45116</v>
      </c>
      <c r="B56" s="161"/>
      <c r="C56" s="161"/>
      <c r="D56" s="161"/>
      <c r="E56" s="162"/>
    </row>
    <row r="57" customFormat="false" ht="12.5" hidden="false" customHeight="false" outlineLevel="0" collapsed="false">
      <c r="A57" s="160" t="n">
        <f aca="false">A56+31</f>
        <v>45147</v>
      </c>
      <c r="B57" s="161"/>
      <c r="C57" s="161"/>
      <c r="D57" s="161"/>
      <c r="E57" s="162"/>
    </row>
    <row r="58" customFormat="false" ht="12.5" hidden="false" customHeight="false" outlineLevel="0" collapsed="false">
      <c r="A58" s="160" t="n">
        <f aca="false">A57+31</f>
        <v>45178</v>
      </c>
      <c r="B58" s="161"/>
      <c r="C58" s="161"/>
      <c r="D58" s="161"/>
      <c r="E58" s="162"/>
    </row>
    <row r="59" customFormat="false" ht="12.5" hidden="false" customHeight="false" outlineLevel="0" collapsed="false">
      <c r="A59" s="160" t="n">
        <f aca="false">A58+31</f>
        <v>45209</v>
      </c>
      <c r="B59" s="161"/>
      <c r="C59" s="161"/>
      <c r="D59" s="161"/>
      <c r="E59" s="162"/>
    </row>
    <row r="60" customFormat="false" ht="12.5" hidden="false" customHeight="false" outlineLevel="0" collapsed="false">
      <c r="A60" s="160" t="n">
        <f aca="false">A59+31</f>
        <v>45240</v>
      </c>
      <c r="B60" s="161"/>
      <c r="C60" s="161"/>
      <c r="D60" s="161"/>
      <c r="E60" s="162"/>
    </row>
    <row r="61" customFormat="false" ht="12.5" hidden="false" customHeight="false" outlineLevel="0" collapsed="false">
      <c r="A61" s="160" t="n">
        <f aca="false">A60+31</f>
        <v>45271</v>
      </c>
      <c r="B61" s="161"/>
      <c r="C61" s="161"/>
      <c r="D61" s="161"/>
      <c r="E61" s="162"/>
    </row>
    <row r="62" customFormat="false" ht="12.5" hidden="false" customHeight="false" outlineLevel="0" collapsed="false">
      <c r="A62" s="160" t="n">
        <f aca="false">A61+31</f>
        <v>45302</v>
      </c>
      <c r="B62" s="161"/>
      <c r="C62" s="161"/>
      <c r="D62" s="161"/>
      <c r="E62" s="162"/>
    </row>
    <row r="63" customFormat="false" ht="12.5" hidden="false" customHeight="false" outlineLevel="0" collapsed="false">
      <c r="A63" s="160" t="n">
        <f aca="false">A62+31</f>
        <v>45333</v>
      </c>
      <c r="B63" s="161"/>
      <c r="C63" s="161"/>
      <c r="D63" s="161"/>
      <c r="E63" s="162"/>
    </row>
    <row r="64" customFormat="false" ht="12.5" hidden="false" customHeight="false" outlineLevel="0" collapsed="false">
      <c r="A64" s="160" t="n">
        <f aca="false">A63+31</f>
        <v>45364</v>
      </c>
      <c r="B64" s="161"/>
      <c r="C64" s="161"/>
      <c r="D64" s="161"/>
      <c r="E64" s="162"/>
    </row>
    <row r="65" customFormat="false" ht="12.5" hidden="false" customHeight="false" outlineLevel="0" collapsed="false">
      <c r="A65" s="160" t="n">
        <f aca="false">A64+31</f>
        <v>45395</v>
      </c>
      <c r="B65" s="161"/>
      <c r="C65" s="161"/>
      <c r="D65" s="161"/>
      <c r="E65" s="162"/>
    </row>
    <row r="66" customFormat="false" ht="12.5" hidden="false" customHeight="false" outlineLevel="0" collapsed="false">
      <c r="A66" s="160" t="n">
        <f aca="false">A65+31</f>
        <v>45426</v>
      </c>
      <c r="B66" s="161"/>
      <c r="C66" s="161"/>
      <c r="D66" s="161"/>
      <c r="E66" s="162"/>
    </row>
    <row r="67" customFormat="false" ht="12.5" hidden="false" customHeight="false" outlineLevel="0" collapsed="false">
      <c r="A67" s="160" t="n">
        <f aca="false">A66+31</f>
        <v>45457</v>
      </c>
      <c r="B67" s="161"/>
      <c r="C67" s="161"/>
      <c r="D67" s="161"/>
      <c r="E67" s="162"/>
    </row>
    <row r="68" customFormat="false" ht="12.5" hidden="false" customHeight="false" outlineLevel="0" collapsed="false">
      <c r="A68" s="160" t="n">
        <f aca="false">A67+31</f>
        <v>45488</v>
      </c>
      <c r="B68" s="161"/>
      <c r="C68" s="161"/>
      <c r="D68" s="161"/>
      <c r="E68" s="162"/>
    </row>
    <row r="69" customFormat="false" ht="12.5" hidden="false" customHeight="false" outlineLevel="0" collapsed="false">
      <c r="A69" s="160" t="n">
        <f aca="false">A68+31</f>
        <v>45519</v>
      </c>
      <c r="B69" s="161"/>
      <c r="C69" s="161"/>
      <c r="D69" s="161"/>
      <c r="E69" s="162"/>
    </row>
    <row r="70" customFormat="false" ht="12.5" hidden="false" customHeight="false" outlineLevel="0" collapsed="false">
      <c r="A70" s="160" t="n">
        <f aca="false">A69+31</f>
        <v>45550</v>
      </c>
      <c r="B70" s="161"/>
      <c r="C70" s="161"/>
      <c r="D70" s="161"/>
      <c r="E70" s="162"/>
    </row>
    <row r="71" customFormat="false" ht="12.5" hidden="false" customHeight="false" outlineLevel="0" collapsed="false">
      <c r="A71" s="160" t="n">
        <f aca="false">A70+31</f>
        <v>45581</v>
      </c>
      <c r="B71" s="161"/>
      <c r="C71" s="161"/>
      <c r="D71" s="161"/>
      <c r="E71" s="162"/>
    </row>
    <row r="72" customFormat="false" ht="12.5" hidden="false" customHeight="false" outlineLevel="0" collapsed="false">
      <c r="A72" s="160" t="n">
        <f aca="false">A71+31</f>
        <v>45612</v>
      </c>
      <c r="B72" s="161"/>
      <c r="C72" s="161"/>
      <c r="D72" s="161"/>
      <c r="E72" s="162"/>
    </row>
    <row r="73" customFormat="false" ht="12.5" hidden="false" customHeight="false" outlineLevel="0" collapsed="false">
      <c r="A73" s="160" t="n">
        <f aca="false">A72+31</f>
        <v>45643</v>
      </c>
      <c r="B73" s="161"/>
      <c r="C73" s="161"/>
      <c r="D73" s="161"/>
      <c r="E73" s="162"/>
    </row>
    <row r="74" customFormat="false" ht="12.5" hidden="false" customHeight="false" outlineLevel="0" collapsed="false">
      <c r="A74" s="160" t="n">
        <f aca="false">A73+31</f>
        <v>45674</v>
      </c>
      <c r="B74" s="161"/>
      <c r="C74" s="161"/>
      <c r="D74" s="161"/>
      <c r="E74" s="162"/>
    </row>
    <row r="75" customFormat="false" ht="12.5" hidden="false" customHeight="false" outlineLevel="0" collapsed="false">
      <c r="A75" s="160" t="n">
        <f aca="false">A74+31</f>
        <v>45705</v>
      </c>
      <c r="B75" s="161"/>
      <c r="C75" s="161"/>
      <c r="D75" s="161"/>
      <c r="E75" s="162"/>
    </row>
    <row r="76" customFormat="false" ht="12.5" hidden="false" customHeight="false" outlineLevel="0" collapsed="false">
      <c r="A76" s="160" t="n">
        <f aca="false">A75+31</f>
        <v>45736</v>
      </c>
      <c r="B76" s="161"/>
      <c r="C76" s="161"/>
      <c r="D76" s="161"/>
      <c r="E76" s="162"/>
    </row>
    <row r="77" customFormat="false" ht="12.5" hidden="false" customHeight="false" outlineLevel="0" collapsed="false">
      <c r="A77" s="160" t="n">
        <f aca="false">A76+31</f>
        <v>45767</v>
      </c>
      <c r="B77" s="161"/>
      <c r="C77" s="161"/>
      <c r="D77" s="161"/>
      <c r="E77" s="162"/>
    </row>
    <row r="78" customFormat="false" ht="12.5" hidden="false" customHeight="false" outlineLevel="0" collapsed="false">
      <c r="A78" s="160" t="n">
        <f aca="false">A77+31</f>
        <v>45798</v>
      </c>
      <c r="B78" s="161"/>
      <c r="C78" s="161"/>
      <c r="D78" s="161"/>
      <c r="E78" s="162"/>
    </row>
    <row r="79" customFormat="false" ht="12.5" hidden="false" customHeight="false" outlineLevel="0" collapsed="false">
      <c r="A79" s="160" t="n">
        <f aca="false">A78+31</f>
        <v>45829</v>
      </c>
      <c r="B79" s="161"/>
      <c r="C79" s="161"/>
      <c r="D79" s="161"/>
      <c r="E79" s="162"/>
    </row>
    <row r="80" customFormat="false" ht="12.5" hidden="false" customHeight="false" outlineLevel="0" collapsed="false">
      <c r="A80" s="160" t="n">
        <f aca="false">A79+31</f>
        <v>45860</v>
      </c>
      <c r="B80" s="161"/>
      <c r="C80" s="161"/>
      <c r="D80" s="161"/>
      <c r="E80" s="162"/>
    </row>
    <row r="81" customFormat="false" ht="12.5" hidden="false" customHeight="false" outlineLevel="0" collapsed="false">
      <c r="A81" s="160" t="n">
        <f aca="false">A80+31</f>
        <v>45891</v>
      </c>
      <c r="B81" s="161"/>
      <c r="C81" s="161"/>
      <c r="D81" s="161"/>
      <c r="E81" s="162"/>
    </row>
    <row r="82" customFormat="false" ht="12.5" hidden="false" customHeight="false" outlineLevel="0" collapsed="false">
      <c r="A82" s="160" t="n">
        <f aca="false">A81+31</f>
        <v>45922</v>
      </c>
      <c r="B82" s="161"/>
      <c r="C82" s="161"/>
      <c r="D82" s="161"/>
      <c r="E82" s="162"/>
    </row>
    <row r="83" customFormat="false" ht="12.5" hidden="false" customHeight="false" outlineLevel="0" collapsed="false">
      <c r="A83" s="160" t="n">
        <f aca="false">A82+31</f>
        <v>45953</v>
      </c>
      <c r="B83" s="161"/>
      <c r="C83" s="161"/>
      <c r="D83" s="161"/>
      <c r="E83" s="162"/>
    </row>
    <row r="84" customFormat="false" ht="12.5" hidden="false" customHeight="false" outlineLevel="0" collapsed="false">
      <c r="A84" s="160" t="n">
        <f aca="false">A83+31</f>
        <v>45984</v>
      </c>
      <c r="B84" s="161"/>
      <c r="C84" s="161"/>
      <c r="D84" s="161"/>
      <c r="E84" s="162"/>
    </row>
    <row r="85" customFormat="false" ht="12.5" hidden="false" customHeight="false" outlineLevel="0" collapsed="false">
      <c r="A85" s="160" t="n">
        <f aca="false">A84+31</f>
        <v>46015</v>
      </c>
      <c r="B85" s="161"/>
      <c r="C85" s="161"/>
      <c r="D85" s="161"/>
      <c r="E85" s="162"/>
    </row>
    <row r="86" customFormat="false" ht="12.5" hidden="false" customHeight="false" outlineLevel="0" collapsed="false">
      <c r="A86" s="160" t="n">
        <f aca="false">A85+31</f>
        <v>46046</v>
      </c>
      <c r="B86" s="161"/>
      <c r="C86" s="161"/>
      <c r="D86" s="161"/>
      <c r="E86" s="162"/>
    </row>
    <row r="87" customFormat="false" ht="12.5" hidden="false" customHeight="false" outlineLevel="0" collapsed="false">
      <c r="A87" s="160" t="n">
        <f aca="false">A86+31</f>
        <v>46077</v>
      </c>
      <c r="B87" s="161"/>
      <c r="C87" s="161"/>
      <c r="D87" s="161"/>
      <c r="E87" s="162"/>
    </row>
    <row r="88" customFormat="false" ht="12.5" hidden="false" customHeight="false" outlineLevel="0" collapsed="false">
      <c r="A88" s="160" t="n">
        <f aca="false">A87+31</f>
        <v>46108</v>
      </c>
      <c r="B88" s="161"/>
      <c r="C88" s="161"/>
      <c r="D88" s="161"/>
      <c r="E88" s="162"/>
    </row>
    <row r="89" customFormat="false" ht="12.5" hidden="false" customHeight="false" outlineLevel="0" collapsed="false">
      <c r="A89" s="160" t="n">
        <f aca="false">A88+31</f>
        <v>46139</v>
      </c>
      <c r="B89" s="161"/>
      <c r="C89" s="161"/>
      <c r="D89" s="161"/>
      <c r="E89" s="162"/>
    </row>
    <row r="90" customFormat="false" ht="12.5" hidden="false" customHeight="false" outlineLevel="0" collapsed="false">
      <c r="A90" s="160" t="n">
        <f aca="false">A89+31</f>
        <v>46170</v>
      </c>
      <c r="B90" s="161"/>
      <c r="C90" s="161"/>
      <c r="D90" s="161"/>
      <c r="E90" s="162"/>
    </row>
    <row r="91" customFormat="false" ht="12.5" hidden="false" customHeight="false" outlineLevel="0" collapsed="false">
      <c r="A91" s="160" t="n">
        <f aca="false">A90+31</f>
        <v>46201</v>
      </c>
      <c r="B91" s="161"/>
      <c r="C91" s="161"/>
      <c r="D91" s="161"/>
      <c r="E91" s="162"/>
    </row>
    <row r="92" customFormat="false" ht="12.5" hidden="false" customHeight="false" outlineLevel="0" collapsed="false">
      <c r="A92" s="160" t="n">
        <f aca="false">A91+31</f>
        <v>46232</v>
      </c>
      <c r="B92" s="161"/>
      <c r="C92" s="161"/>
      <c r="D92" s="161"/>
      <c r="E92" s="162"/>
    </row>
    <row r="93" customFormat="false" ht="12.5" hidden="false" customHeight="false" outlineLevel="0" collapsed="false">
      <c r="A93" s="160" t="n">
        <f aca="false">A92+31</f>
        <v>46263</v>
      </c>
      <c r="B93" s="161"/>
      <c r="C93" s="161"/>
      <c r="D93" s="161"/>
      <c r="E93" s="162"/>
    </row>
    <row r="94" customFormat="false" ht="12.5" hidden="false" customHeight="false" outlineLevel="0" collapsed="false">
      <c r="A94" s="160" t="n">
        <f aca="false">A93+31</f>
        <v>46294</v>
      </c>
      <c r="B94" s="161"/>
      <c r="C94" s="161"/>
      <c r="D94" s="161"/>
      <c r="E94" s="162"/>
    </row>
    <row r="95" customFormat="false" ht="12.5" hidden="false" customHeight="false" outlineLevel="0" collapsed="false">
      <c r="A95" s="160" t="n">
        <f aca="false">A94+31</f>
        <v>46325</v>
      </c>
      <c r="B95" s="161"/>
      <c r="C95" s="161"/>
      <c r="D95" s="161"/>
      <c r="E95" s="162"/>
    </row>
    <row r="96" customFormat="false" ht="12.5" hidden="false" customHeight="false" outlineLevel="0" collapsed="false">
      <c r="A96" s="160" t="n">
        <f aca="false">A95+31</f>
        <v>46356</v>
      </c>
      <c r="B96" s="161"/>
      <c r="C96" s="161"/>
      <c r="D96" s="161"/>
      <c r="E96" s="162"/>
    </row>
    <row r="97" customFormat="false" ht="12.5" hidden="false" customHeight="false" outlineLevel="0" collapsed="false">
      <c r="A97" s="160" t="n">
        <f aca="false">A96+31</f>
        <v>46387</v>
      </c>
      <c r="B97" s="161"/>
      <c r="C97" s="161"/>
      <c r="D97" s="161"/>
      <c r="E97" s="162"/>
    </row>
    <row r="98" customFormat="false" ht="12.5" hidden="false" customHeight="false" outlineLevel="0" collapsed="false">
      <c r="A98" s="160" t="n">
        <f aca="false">A97+31</f>
        <v>46418</v>
      </c>
      <c r="B98" s="161"/>
      <c r="C98" s="161"/>
      <c r="D98" s="161"/>
      <c r="E98" s="162"/>
    </row>
    <row r="99" customFormat="false" ht="12.5" hidden="false" customHeight="false" outlineLevel="0" collapsed="false">
      <c r="A99" s="160" t="n">
        <f aca="false">A98+31</f>
        <v>46449</v>
      </c>
      <c r="B99" s="161"/>
      <c r="C99" s="161"/>
      <c r="D99" s="161"/>
      <c r="E99" s="162"/>
    </row>
    <row r="100" customFormat="false" ht="12.5" hidden="false" customHeight="false" outlineLevel="0" collapsed="false">
      <c r="A100" s="160" t="n">
        <f aca="false">A99+31</f>
        <v>46480</v>
      </c>
      <c r="B100" s="161"/>
      <c r="C100" s="161"/>
      <c r="D100" s="161"/>
      <c r="E100" s="162"/>
    </row>
    <row r="101" customFormat="false" ht="12.5" hidden="false" customHeight="false" outlineLevel="0" collapsed="false">
      <c r="A101" s="160" t="n">
        <f aca="false">A100+31</f>
        <v>46511</v>
      </c>
      <c r="B101" s="161"/>
      <c r="C101" s="161"/>
      <c r="D101" s="161"/>
      <c r="E101" s="162"/>
    </row>
    <row r="102" customFormat="false" ht="12.5" hidden="false" customHeight="false" outlineLevel="0" collapsed="false">
      <c r="A102" s="160" t="n">
        <f aca="false">A101+31</f>
        <v>46542</v>
      </c>
      <c r="B102" s="161"/>
      <c r="C102" s="161"/>
      <c r="D102" s="161"/>
      <c r="E102" s="162"/>
    </row>
    <row r="103" customFormat="false" ht="12.5" hidden="false" customHeight="false" outlineLevel="0" collapsed="false">
      <c r="A103" s="160" t="n">
        <f aca="false">A102+31</f>
        <v>46573</v>
      </c>
      <c r="B103" s="161"/>
      <c r="C103" s="161"/>
      <c r="D103" s="161"/>
      <c r="E103" s="162"/>
    </row>
    <row r="104" customFormat="false" ht="12.5" hidden="false" customHeight="false" outlineLevel="0" collapsed="false">
      <c r="A104" s="160" t="n">
        <f aca="false">A103+31</f>
        <v>46604</v>
      </c>
      <c r="B104" s="161"/>
      <c r="C104" s="161"/>
      <c r="D104" s="161"/>
      <c r="E104" s="16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LibreOffice/6.2.5.2$Linux_X86_64 LibreOffice_project/20$Build-2</Application>
  <Company>Finance and Administrative Services and Comptroller</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1999-06-07T19:40:14Z</dcterms:created>
  <dc:creator>Office of Computing Services</dc:creator>
  <dc:description/>
  <dc:language>en-US</dc:language>
  <cp:lastModifiedBy/>
  <cp:lastPrinted>2008-02-20T14:57:03Z</cp:lastPrinted>
  <dcterms:modified xsi:type="dcterms:W3CDTF">2019-10-03T13:34:49Z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Finance and Administrative Services and Comptroller</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