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BostonUniversity\AT754\slides\"/>
    </mc:Choice>
  </mc:AlternateContent>
  <xr:revisionPtr revIDLastSave="0" documentId="13_ncr:1_{72775A8B-9C22-4FAB-BEB4-4F5EFCE8EF5B}" xr6:coauthVersionLast="47" xr6:coauthVersionMax="47" xr10:uidLastSave="{00000000-0000-0000-0000-000000000000}"/>
  <bookViews>
    <workbookView xWindow="-98" yWindow="-98" windowWidth="26116" windowHeight="16381" xr2:uid="{E1C0CF07-5576-364E-A333-313DEA76154D}"/>
  </bookViews>
  <sheets>
    <sheet name="Page B-5" sheetId="1" r:id="rId1"/>
    <sheet name="Page B-6" sheetId="2" r:id="rId2"/>
    <sheet name="Page B-7" sheetId="3" r:id="rId3"/>
    <sheet name="Page B-8" sheetId="4" r:id="rId4"/>
    <sheet name="Page B-9" sheetId="6" r:id="rId5"/>
    <sheet name="Page B-10" sheetId="7" r:id="rId6"/>
    <sheet name="Page B-12" sheetId="8" r:id="rId7"/>
    <sheet name="Page B-13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" i="3" l="1"/>
  <c r="F4" i="3"/>
  <c r="F8" i="3"/>
  <c r="F5" i="3"/>
  <c r="C30" i="7"/>
  <c r="C29" i="7"/>
  <c r="C24" i="7"/>
  <c r="B26" i="6"/>
  <c r="B23" i="6"/>
  <c r="B25" i="6" s="1"/>
  <c r="H4" i="1"/>
  <c r="G4" i="1"/>
  <c r="D26" i="2"/>
  <c r="F8" i="1"/>
  <c r="F7" i="1"/>
  <c r="F6" i="1"/>
  <c r="F5" i="1"/>
  <c r="F4" i="1"/>
  <c r="E8" i="1"/>
  <c r="E7" i="1"/>
  <c r="G7" i="1" s="1"/>
  <c r="H7" i="1" s="1"/>
  <c r="E6" i="1"/>
  <c r="E5" i="1"/>
  <c r="E4" i="1"/>
  <c r="D7" i="1"/>
  <c r="D6" i="1"/>
  <c r="G6" i="1" s="1"/>
  <c r="H6" i="1" s="1"/>
  <c r="D5" i="1"/>
  <c r="D4" i="1"/>
  <c r="D28" i="2"/>
  <c r="D7" i="9"/>
  <c r="D9" i="9" s="1"/>
  <c r="D10" i="9" s="1"/>
  <c r="D6" i="9"/>
  <c r="D5" i="9"/>
  <c r="D4" i="9"/>
  <c r="G7" i="8"/>
  <c r="G6" i="8"/>
  <c r="E8" i="8"/>
  <c r="G8" i="8" s="1"/>
  <c r="E7" i="8"/>
  <c r="E6" i="8"/>
  <c r="E5" i="8"/>
  <c r="G5" i="8" s="1"/>
  <c r="E4" i="8"/>
  <c r="G4" i="8" s="1"/>
  <c r="B8" i="8"/>
  <c r="D8" i="8" s="1"/>
  <c r="H8" i="8" s="1"/>
  <c r="B7" i="8"/>
  <c r="D7" i="8" s="1"/>
  <c r="H7" i="8" s="1"/>
  <c r="B6" i="8"/>
  <c r="D6" i="8" s="1"/>
  <c r="B5" i="8"/>
  <c r="D5" i="8" s="1"/>
  <c r="B4" i="8"/>
  <c r="D4" i="8" s="1"/>
  <c r="K23" i="7" a="1"/>
  <c r="K23" i="7" s="1"/>
  <c r="J21" i="7" a="1"/>
  <c r="J21" i="7" s="1"/>
  <c r="I19" i="7" a="1"/>
  <c r="I19" i="7" s="1"/>
  <c r="H15" i="7" a="1"/>
  <c r="H15" i="7" s="1"/>
  <c r="G11" i="7" a="1"/>
  <c r="G11" i="7" s="1"/>
  <c r="F7" i="7" a="1"/>
  <c r="F7" i="7" s="1"/>
  <c r="E3" i="7" a="1"/>
  <c r="E3" i="7" s="1"/>
  <c r="C26" i="7"/>
  <c r="C25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F26" i="6"/>
  <c r="E21" i="6"/>
  <c r="B18" i="6"/>
  <c r="B22" i="6" s="1"/>
  <c r="C17" i="6"/>
  <c r="B17" i="6"/>
  <c r="D16" i="6"/>
  <c r="C16" i="6"/>
  <c r="B16" i="6"/>
  <c r="E15" i="6"/>
  <c r="D15" i="6"/>
  <c r="D21" i="6" s="1"/>
  <c r="C15" i="6"/>
  <c r="B15" i="6"/>
  <c r="F14" i="6"/>
  <c r="E14" i="6"/>
  <c r="D14" i="6"/>
  <c r="C14" i="6"/>
  <c r="B14" i="6"/>
  <c r="G13" i="6"/>
  <c r="F13" i="6"/>
  <c r="E13" i="6"/>
  <c r="E24" i="6" s="1"/>
  <c r="D13" i="6"/>
  <c r="C13" i="6"/>
  <c r="B13" i="6"/>
  <c r="B5" i="4"/>
  <c r="B8" i="4" s="1"/>
  <c r="B4" i="4"/>
  <c r="B9" i="4" s="1"/>
  <c r="D5" i="3"/>
  <c r="F6" i="3" s="1"/>
  <c r="D6" i="3"/>
  <c r="E6" i="3" s="1"/>
  <c r="D7" i="3"/>
  <c r="E7" i="3" s="1"/>
  <c r="D8" i="3"/>
  <c r="E8" i="3" s="1"/>
  <c r="D4" i="3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H24" i="1"/>
  <c r="H14" i="1"/>
  <c r="H16" i="1" s="1"/>
  <c r="G5" i="1"/>
  <c r="H5" i="1" s="1"/>
  <c r="C9" i="1"/>
  <c r="B9" i="1"/>
  <c r="D25" i="2" l="1"/>
  <c r="D27" i="2" s="1"/>
  <c r="D29" i="2" s="1"/>
  <c r="H17" i="1" s="1"/>
  <c r="H19" i="1" s="1"/>
  <c r="H25" i="1" s="1"/>
  <c r="H26" i="1" s="1"/>
  <c r="B21" i="6"/>
  <c r="C22" i="6"/>
  <c r="D8" i="1"/>
  <c r="G8" i="1" s="1"/>
  <c r="C23" i="6"/>
  <c r="C25" i="6" s="1"/>
  <c r="C26" i="6" s="1"/>
  <c r="D23" i="6"/>
  <c r="D25" i="6" s="1"/>
  <c r="F7" i="3"/>
  <c r="F9" i="3" s="1"/>
  <c r="F10" i="3" s="1"/>
  <c r="F11" i="3" s="1"/>
  <c r="C20" i="6"/>
  <c r="C24" i="6"/>
  <c r="D24" i="6"/>
  <c r="E5" i="3"/>
  <c r="D20" i="6"/>
  <c r="D22" i="6"/>
  <c r="E20" i="6"/>
  <c r="C32" i="7"/>
  <c r="B20" i="6"/>
  <c r="C21" i="6"/>
  <c r="E23" i="6"/>
  <c r="E25" i="6" s="1"/>
  <c r="E26" i="6" s="1"/>
  <c r="B24" i="6"/>
  <c r="H6" i="8"/>
  <c r="H5" i="8"/>
  <c r="H4" i="8"/>
  <c r="C31" i="7"/>
  <c r="C33" i="7"/>
  <c r="C34" i="7"/>
  <c r="C35" i="7"/>
  <c r="F13" i="3"/>
  <c r="F14" i="3" s="1"/>
  <c r="H8" i="1" l="1"/>
  <c r="I10" i="1"/>
  <c r="G9" i="1"/>
  <c r="H9" i="1" s="1"/>
  <c r="D26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williammohr</author>
  </authors>
  <commentList>
    <comment ref="H22" authorId="0" shapeId="0" xr:uid="{C176961A-AE83-43FC-8030-C1B980FDB4D9}">
      <text>
        <r>
          <rPr>
            <b/>
            <sz val="9"/>
            <color indexed="81"/>
            <rFont val="Tahoma"/>
            <family val="2"/>
          </rPr>
          <t>williammohr:</t>
        </r>
        <r>
          <rPr>
            <sz val="9"/>
            <color indexed="81"/>
            <rFont val="Tahoma"/>
            <family val="2"/>
          </rPr>
          <t xml:space="preserve">
mostly taxes</t>
        </r>
      </text>
    </comment>
    <comment ref="H23" authorId="0" shapeId="0" xr:uid="{179A67AA-45C8-47AD-9673-C99803108959}">
      <text>
        <r>
          <rPr>
            <b/>
            <sz val="9"/>
            <color indexed="81"/>
            <rFont val="Tahoma"/>
            <family val="2"/>
          </rPr>
          <t>williammohr:</t>
        </r>
        <r>
          <rPr>
            <sz val="9"/>
            <color indexed="81"/>
            <rFont val="Tahoma"/>
            <family val="2"/>
          </rPr>
          <t xml:space="preserve">
one of most made-up nmbers on sheet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<sst xmlns="http://schemas.openxmlformats.org/spreadsheetml/2006/main" count="208" uniqueCount="179">
  <si>
    <t>Total</t>
  </si>
  <si>
    <t>(1)</t>
  </si>
  <si>
    <t>(2)</t>
  </si>
  <si>
    <t>(3)</t>
  </si>
  <si>
    <t>(4)</t>
  </si>
  <si>
    <t>(5)</t>
  </si>
  <si>
    <t>(6)</t>
  </si>
  <si>
    <t>(7)</t>
  </si>
  <si>
    <t>Calendar Accident Year</t>
  </si>
  <si>
    <t>Earned Exposures</t>
  </si>
  <si>
    <t>Non-Cat Reported Losses and Paid ALAE</t>
  </si>
  <si>
    <t>Loss Development Factor</t>
  </si>
  <si>
    <t>Loss Trend Factor</t>
  </si>
  <si>
    <t>ULAE Factor</t>
  </si>
  <si>
    <t>Projected Ultimate Non-Cat Losses and LAE</t>
  </si>
  <si>
    <t>Projected Non-Cat Pure Premium</t>
  </si>
  <si>
    <t>(8) Selected Projected Non-Cat Pure Premium</t>
  </si>
  <si>
    <t>(9) Number of Claims</t>
  </si>
  <si>
    <t>(10) Claims Required for Full Crediblity</t>
  </si>
  <si>
    <t>(11) Credibilty</t>
  </si>
  <si>
    <t>(12) Regional Non-Cat Pure Premium</t>
  </si>
  <si>
    <t>(13) Credibility-Weighted Non-Cat Pure Premium</t>
  </si>
  <si>
    <t>(14) Non-Modeled Cat Pure Premium</t>
  </si>
  <si>
    <t>(15) Modeled Cat Pure Premium</t>
  </si>
  <si>
    <t>(16) Total Pure Premium</t>
  </si>
  <si>
    <t>(17) Projected Net Reinsurance Cost Per Exposure</t>
  </si>
  <si>
    <t>(18) Projected Fixed Expense Per Exposure</t>
  </si>
  <si>
    <t>(19) Variable Expense Provision</t>
  </si>
  <si>
    <t>(20) Profit and Contingency Provision</t>
  </si>
  <si>
    <t>(21) Variable Permissible Loss Ratio</t>
  </si>
  <si>
    <t>(22) Indicated Rate</t>
  </si>
  <si>
    <t>(23) Selected Rate</t>
  </si>
  <si>
    <t>Projected</t>
  </si>
  <si>
    <t>Reinsurance</t>
  </si>
  <si>
    <t>(2) Reported Losses and Paid ALAE Evaluated As Of 03/31/2016</t>
  </si>
  <si>
    <t>(3) From Loss Development Exhibit</t>
  </si>
  <si>
    <t>(4) From Loss Trend Exhibit - 1</t>
  </si>
  <si>
    <t>(5) From ULAE Ratio Exhibit</t>
  </si>
  <si>
    <t>(6) = (2) x (3) x (4) x (5)</t>
  </si>
  <si>
    <t>(7) = (6) / (1)</t>
  </si>
  <si>
    <t>(11) = Min{ [ (9) / (10) ] ^ 0.5, 1.0 }</t>
  </si>
  <si>
    <t>(13) = (8) x (11) + (12) x [ 1.0 - (11) ]</t>
  </si>
  <si>
    <t>(14) From Non-Modeled Cat Exhibit</t>
  </si>
  <si>
    <t>(15) From Hurricane Catastrophe Model</t>
  </si>
  <si>
    <t>(16) = (13) + (14) + (15)</t>
  </si>
  <si>
    <t>(17) From Cost of Reinsurance Exhibit</t>
  </si>
  <si>
    <t>(18) From Expense Exhibit - 1</t>
  </si>
  <si>
    <t>(19) From Expense Exhibit - 1</t>
  </si>
  <si>
    <t>(21) = 100% - (19) - (20)</t>
  </si>
  <si>
    <t>(22) = [ (16) + (17) + (18) ] / (21)</t>
  </si>
  <si>
    <t>PP Indication</t>
  </si>
  <si>
    <t>Non-Modeled Cat</t>
  </si>
  <si>
    <t>Calendar Year</t>
  </si>
  <si>
    <t>Amount of Insurance Years ($000s)</t>
  </si>
  <si>
    <t>Reported Cat Losses and Paid ALAE</t>
  </si>
  <si>
    <t>Cat-to-AIY Ratio</t>
  </si>
  <si>
    <t>(3) = (2) / (1)</t>
  </si>
  <si>
    <t>(4) = Average of (3)</t>
  </si>
  <si>
    <t>(6) = (4) x (5)</t>
  </si>
  <si>
    <t>(7) From AIY Projection Exhibit</t>
  </si>
  <si>
    <t>(8) = (6) x (7)</t>
  </si>
  <si>
    <t>(4) All-Year Arithmetic Average</t>
  </si>
  <si>
    <t>(5) ULAE Factor</t>
  </si>
  <si>
    <t>(6) Non-Modeled Cat Provision Per AIY</t>
  </si>
  <si>
    <t>(7) Selected Average AIY Per Exposure</t>
  </si>
  <si>
    <t>(8) Non-Modeled Cat Pure Premium</t>
  </si>
  <si>
    <t>AIY Projection</t>
  </si>
  <si>
    <t>Amount of Insurance years ($000s)</t>
  </si>
  <si>
    <t>AIY-to-Earned Exposure Ratio</t>
  </si>
  <si>
    <t>Annual Change</t>
  </si>
  <si>
    <t>AIY-to-Earned Exposure Exponential Fit</t>
  </si>
  <si>
    <t>(3) = (1) / (2)</t>
  </si>
  <si>
    <t>(4) = Current Year (3) / Prior Year (3) - 1.0</t>
  </si>
  <si>
    <t>(5) Exponential Fit of (3) Using Data From Calendar Years 2011 Through 2015</t>
  </si>
  <si>
    <t>(6) Average of (5) For Latest 2 Years</t>
  </si>
  <si>
    <t>(6) Projected Average AIY in Effective Period</t>
  </si>
  <si>
    <t>(7) Selected AIY in Effective Period</t>
  </si>
  <si>
    <t>(1) Expected Reinsurance Recoveries</t>
  </si>
  <si>
    <t>(2) Cost of Reinsurance (Expected Ceded Premium)</t>
  </si>
  <si>
    <t>(3) Net Cost of Reinsurance</t>
  </si>
  <si>
    <t>(4) Latest Year Exposures</t>
  </si>
  <si>
    <t>(5) Expected Annual Exposure Increase</t>
  </si>
  <si>
    <t>(6) Projection Period</t>
  </si>
  <si>
    <t>(7) Projected Exposures</t>
  </si>
  <si>
    <t>(8) Projected Net Reinsurance Cost Per Exposure</t>
  </si>
  <si>
    <t>(3) = (2) - (1)</t>
  </si>
  <si>
    <t>(4) From Pure Premium Indication Exhibit</t>
  </si>
  <si>
    <t>(5) Based on Company Goals</t>
  </si>
  <si>
    <t>(6) From Midpoint of Latest Year to Midpoint of Reinsurance Contract</t>
  </si>
  <si>
    <t>(7) = (4) x [ 1.00 + (5) ] ^ (6)</t>
  </si>
  <si>
    <t>(8) = (3) / (7)</t>
  </si>
  <si>
    <t xml:space="preserve">      [ (07/01/2015) to (07/01/2017) ]</t>
  </si>
  <si>
    <t>Loss Development</t>
  </si>
  <si>
    <t>Reported Losses and Paid ALAE Evaluated as of</t>
  </si>
  <si>
    <t>Accident Year</t>
  </si>
  <si>
    <t>15 Months</t>
  </si>
  <si>
    <t>27 Months</t>
  </si>
  <si>
    <t>39 Months</t>
  </si>
  <si>
    <t>51 Months</t>
  </si>
  <si>
    <t>63 Months</t>
  </si>
  <si>
    <t>75 Months</t>
  </si>
  <si>
    <t>Age-to-Age Factors</t>
  </si>
  <si>
    <t>15-27</t>
  </si>
  <si>
    <t>27-39</t>
  </si>
  <si>
    <t>39-51</t>
  </si>
  <si>
    <t>51-63</t>
  </si>
  <si>
    <t>63-75</t>
  </si>
  <si>
    <t>75 to Ult</t>
  </si>
  <si>
    <t>(1) All-Year Average</t>
  </si>
  <si>
    <t>(2) 3-Year Average</t>
  </si>
  <si>
    <t>(3) 4-Year Average</t>
  </si>
  <si>
    <t>(5) Geometric Average</t>
  </si>
  <si>
    <t>(6) Selected Age-to-Age</t>
  </si>
  <si>
    <t>(7) Age-to-Ultimate</t>
  </si>
  <si>
    <t>(4) Average Excluding Hi-Lo</t>
  </si>
  <si>
    <t>(1) Straight Average</t>
  </si>
  <si>
    <t>(2) Straight Average</t>
  </si>
  <si>
    <t>(3) Straight Average</t>
  </si>
  <si>
    <t>(4) Straight Average Excluding Highest and Lowest Values</t>
  </si>
  <si>
    <t>(5) = (Product of Age-to-Age Factors) ^ (1.0 / Number of Age-to-Age Factors)</t>
  </si>
  <si>
    <t>(7) = Cumulative Product of (6)</t>
  </si>
  <si>
    <t>2010 - 1</t>
  </si>
  <si>
    <t>2010 - 2</t>
  </si>
  <si>
    <t>2010 - 3</t>
  </si>
  <si>
    <t>2010 - 4</t>
  </si>
  <si>
    <t>2011 - 1</t>
  </si>
  <si>
    <t>2011 - 2</t>
  </si>
  <si>
    <t>2011 - 3</t>
  </si>
  <si>
    <t>2011 - 4</t>
  </si>
  <si>
    <t>2012 - 1</t>
  </si>
  <si>
    <t>2012 - 2</t>
  </si>
  <si>
    <t>2012 - 3</t>
  </si>
  <si>
    <t>2012 - 4</t>
  </si>
  <si>
    <t>2013 - 1</t>
  </si>
  <si>
    <t>2013 - 2</t>
  </si>
  <si>
    <t>2013 - 3</t>
  </si>
  <si>
    <t>2013 - 4</t>
  </si>
  <si>
    <t>2014 - 1</t>
  </si>
  <si>
    <t>2014 - 2</t>
  </si>
  <si>
    <t>2014 - 3</t>
  </si>
  <si>
    <t>2015 - 1</t>
  </si>
  <si>
    <t>2015 - 2</t>
  </si>
  <si>
    <t>2015 - 3</t>
  </si>
  <si>
    <t>2015 - 4</t>
  </si>
  <si>
    <t>Current</t>
  </si>
  <si>
    <t>ULAE Ratio</t>
  </si>
  <si>
    <t>Year Ending
Quarter - X</t>
  </si>
  <si>
    <t>Paid Pure Premium (including ALAE)</t>
  </si>
  <si>
    <t>Annual
Change</t>
  </si>
  <si>
    <t>Loss Trend - 1</t>
  </si>
  <si>
    <t>Exponential Trend</t>
  </si>
  <si>
    <t>Pure Premium</t>
  </si>
  <si>
    <t>24 pt</t>
  </si>
  <si>
    <t>20 pt</t>
  </si>
  <si>
    <t>16 pt</t>
  </si>
  <si>
    <t>12 pt</t>
  </si>
  <si>
    <t>8 pt</t>
  </si>
  <si>
    <t>6 pt</t>
  </si>
  <si>
    <t>4 pt</t>
  </si>
  <si>
    <t>Selections</t>
  </si>
  <si>
    <t>(1) From Loss Trend Exhibit - 1</t>
  </si>
  <si>
    <t>(2) From 07/01/20XX to 07/01/2015</t>
  </si>
  <si>
    <t>(3) = [ 1.0 + (1) ] ^ (2)</t>
  </si>
  <si>
    <t>(5) From 07/01/2015 to 01/01/2018</t>
  </si>
  <si>
    <t>(6) = [ 1.0 + (4) ] ^ (5)</t>
  </si>
  <si>
    <t>(7) = (3) x (6)</t>
  </si>
  <si>
    <t xml:space="preserve">
Selected Current Trend</t>
  </si>
  <si>
    <t xml:space="preserve">
Current Cost Trend Period</t>
  </si>
  <si>
    <t xml:space="preserve">
Current Trend Factor</t>
  </si>
  <si>
    <t xml:space="preserve">
Selected Projected Trend</t>
  </si>
  <si>
    <t xml:space="preserve">
Projected Cost Trend Period</t>
  </si>
  <si>
    <t xml:space="preserve">
Projected Trend Factor</t>
  </si>
  <si>
    <t>Loss Trend - 3</t>
  </si>
  <si>
    <t>Countrywide Paid Loss and ALAE</t>
  </si>
  <si>
    <t>Coutrywide Paid ULAE</t>
  </si>
  <si>
    <t>(4) Selected Ratio</t>
  </si>
  <si>
    <t>(5) = 1.0 + (4)</t>
  </si>
  <si>
    <t>2014 - 4</t>
  </si>
  <si>
    <t>87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</si>
</sst>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0.0000"/>
    <numFmt numFmtId="167" formatCode="0.000"/>
    <numFmt numFmtId="168" formatCode="0.0"/>
    <numFmt numFmtId="169" formatCode="_(* #,##0_);_(* \(#,##0\);_(* &quot;-&quot;??_);_(@_)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Times"/>
      <family val="1"/>
    </font>
    <font>
      <sz val="12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charset val="204"/>
    </font>
    <font>
      <u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65">
    <xf numFmtId="0" fontId="0" fillId="0" borderId="0" xfId="0"/>
    <xf numFmtId="0" fontId="4" fillId="0" borderId="0" xfId="0" applyFont="1"/>
    <xf numFmtId="3" fontId="0" fillId="0" borderId="0" xfId="0" applyNumberFormat="1"/>
    <xf numFmtId="6" fontId="0" fillId="0" borderId="0" xfId="0" applyNumberFormat="1"/>
    <xf numFmtId="8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3" fontId="5" fillId="0" borderId="0" xfId="0" applyNumberFormat="1" applyFont="1"/>
    <xf numFmtId="44" fontId="5" fillId="0" borderId="0" xfId="2" applyFont="1"/>
    <xf numFmtId="44" fontId="0" fillId="0" borderId="0" xfId="2" applyFont="1"/>
    <xf numFmtId="164" fontId="5" fillId="0" borderId="0" xfId="2" applyNumberFormat="1" applyFont="1"/>
    <xf numFmtId="10" fontId="0" fillId="0" borderId="0" xfId="0" applyNumberFormat="1"/>
    <xf numFmtId="165" fontId="0" fillId="0" borderId="0" xfId="3" applyNumberFormat="1" applyFont="1"/>
    <xf numFmtId="0" fontId="5" fillId="0" borderId="0" xfId="0" applyFont="1"/>
    <xf numFmtId="165" fontId="5" fillId="0" borderId="0" xfId="3" applyNumberFormat="1" applyFont="1"/>
    <xf numFmtId="44" fontId="2" fillId="0" borderId="0" xfId="2" applyFont="1"/>
    <xf numFmtId="0" fontId="6" fillId="0" borderId="0" xfId="0" applyFont="1"/>
    <xf numFmtId="167" fontId="0" fillId="0" borderId="0" xfId="0" applyNumberFormat="1"/>
    <xf numFmtId="44" fontId="0" fillId="0" borderId="0" xfId="0" applyNumberFormat="1"/>
    <xf numFmtId="0" fontId="3" fillId="0" borderId="0" xfId="0" applyFont="1"/>
    <xf numFmtId="44" fontId="0" fillId="0" borderId="0" xfId="2" applyFont="1" applyAlignment="1"/>
    <xf numFmtId="164" fontId="0" fillId="0" borderId="0" xfId="2" applyNumberFormat="1" applyFont="1" applyAlignment="1"/>
    <xf numFmtId="169" fontId="0" fillId="0" borderId="0" xfId="1" applyNumberFormat="1" applyFont="1" applyAlignment="1"/>
    <xf numFmtId="0" fontId="6" fillId="0" borderId="0" xfId="4" applyFont="1"/>
    <xf numFmtId="0" fontId="6" fillId="0" borderId="0" xfId="4" applyFont="1" applyAlignment="1">
      <alignment horizontal="center" vertical="top"/>
    </xf>
    <xf numFmtId="0" fontId="6" fillId="0" borderId="0" xfId="4" applyFont="1" applyAlignment="1">
      <alignment horizontal="left" vertical="top"/>
    </xf>
    <xf numFmtId="0" fontId="6" fillId="0" borderId="0" xfId="4" applyFont="1" applyAlignment="1">
      <alignment horizontal="center" vertical="top" wrapText="1"/>
    </xf>
    <xf numFmtId="3" fontId="5" fillId="0" borderId="0" xfId="4" applyNumberFormat="1" applyFont="1" applyAlignment="1">
      <alignment horizontal="left" vertical="top" wrapText="1"/>
    </xf>
    <xf numFmtId="0" fontId="5" fillId="0" borderId="0" xfId="4" applyFont="1" applyAlignment="1">
      <alignment horizontal="left" vertical="top"/>
    </xf>
    <xf numFmtId="0" fontId="6" fillId="0" borderId="0" xfId="4" applyFont="1" applyAlignment="1">
      <alignment horizontal="center"/>
    </xf>
    <xf numFmtId="0" fontId="6" fillId="0" borderId="0" xfId="4" applyFont="1" applyAlignment="1">
      <alignment wrapText="1"/>
    </xf>
    <xf numFmtId="166" fontId="6" fillId="0" borderId="0" xfId="4" applyNumberFormat="1" applyFont="1"/>
    <xf numFmtId="166" fontId="2" fillId="0" borderId="0" xfId="4" applyNumberFormat="1" applyFont="1"/>
    <xf numFmtId="0" fontId="6" fillId="0" borderId="1" xfId="4" applyFont="1" applyBorder="1" applyAlignment="1">
      <alignment horizontal="left" vertical="top" wrapText="1"/>
    </xf>
    <xf numFmtId="0" fontId="6" fillId="0" borderId="2" xfId="4" applyFont="1" applyBorder="1" applyAlignment="1">
      <alignment horizontal="left" vertical="top"/>
    </xf>
    <xf numFmtId="10" fontId="6" fillId="0" borderId="0" xfId="3" applyNumberFormat="1" applyFont="1" applyAlignment="1">
      <alignment horizontal="left"/>
    </xf>
    <xf numFmtId="0" fontId="6" fillId="0" borderId="1" xfId="4" applyFont="1" applyBorder="1" applyAlignment="1">
      <alignment horizontal="center" vertical="top" wrapText="1"/>
    </xf>
    <xf numFmtId="0" fontId="8" fillId="0" borderId="0" xfId="4" applyFont="1" applyAlignment="1">
      <alignment wrapText="1"/>
    </xf>
    <xf numFmtId="0" fontId="9" fillId="0" borderId="0" xfId="4" applyFont="1"/>
    <xf numFmtId="165" fontId="2" fillId="0" borderId="0" xfId="4" applyNumberFormat="1" applyFont="1"/>
    <xf numFmtId="10" fontId="6" fillId="0" borderId="0" xfId="4" applyNumberFormat="1" applyFont="1"/>
    <xf numFmtId="44" fontId="6" fillId="0" borderId="0" xfId="2" applyFont="1" applyAlignment="1">
      <alignment horizontal="left"/>
    </xf>
    <xf numFmtId="0" fontId="6" fillId="0" borderId="0" xfId="4" applyFont="1" applyAlignment="1">
      <alignment horizontal="left" vertical="top" wrapText="1"/>
    </xf>
    <xf numFmtId="44" fontId="6" fillId="0" borderId="0" xfId="2" applyFont="1"/>
    <xf numFmtId="44" fontId="6" fillId="0" borderId="0" xfId="2" applyFont="1" applyAlignment="1">
      <alignment wrapText="1"/>
    </xf>
    <xf numFmtId="165" fontId="6" fillId="0" borderId="0" xfId="3" applyNumberFormat="1" applyFont="1"/>
    <xf numFmtId="165" fontId="6" fillId="0" borderId="0" xfId="4" applyNumberFormat="1" applyFont="1"/>
    <xf numFmtId="165" fontId="6" fillId="0" borderId="0" xfId="3" applyNumberFormat="1" applyFont="1" applyBorder="1" applyAlignment="1">
      <alignment horizontal="left" vertical="top"/>
    </xf>
    <xf numFmtId="166" fontId="6" fillId="0" borderId="0" xfId="4" applyNumberFormat="1" applyFont="1" applyAlignment="1">
      <alignment horizontal="left" vertical="top"/>
    </xf>
    <xf numFmtId="164" fontId="5" fillId="0" borderId="0" xfId="2" applyNumberFormat="1" applyFont="1" applyAlignment="1"/>
    <xf numFmtId="165" fontId="5" fillId="0" borderId="0" xfId="3" applyNumberFormat="1" applyFont="1" applyAlignment="1"/>
    <xf numFmtId="168" fontId="5" fillId="0" borderId="0" xfId="0" applyNumberFormat="1" applyFont="1"/>
    <xf numFmtId="44" fontId="5" fillId="0" borderId="2" xfId="2" applyFont="1" applyBorder="1" applyAlignment="1">
      <alignment horizontal="left" vertical="top"/>
    </xf>
    <xf numFmtId="44" fontId="5" fillId="0" borderId="0" xfId="2" applyFont="1" applyAlignment="1">
      <alignment horizontal="left" vertical="top"/>
    </xf>
    <xf numFmtId="0" fontId="5" fillId="0" borderId="0" xfId="4" applyFont="1" applyAlignment="1">
      <alignment horizontal="center" vertical="top"/>
    </xf>
    <xf numFmtId="2" fontId="5" fillId="0" borderId="0" xfId="4" applyNumberFormat="1" applyFont="1" applyAlignment="1">
      <alignment horizontal="center" vertical="top"/>
    </xf>
    <xf numFmtId="164" fontId="6" fillId="0" borderId="0" xfId="2" applyNumberFormat="1" applyFont="1" applyBorder="1" applyAlignment="1">
      <alignment horizontal="left" vertical="top"/>
    </xf>
    <xf numFmtId="0" fontId="6" fillId="0" borderId="0" xfId="4" quotePrefix="1" applyFont="1"/>
    <xf numFmtId="164" fontId="5" fillId="0" borderId="0" xfId="2" applyNumberFormat="1" applyFont="1" applyBorder="1" applyAlignment="1">
      <alignment horizontal="left" vertical="top"/>
    </xf>
    <xf numFmtId="167" fontId="6" fillId="0" borderId="0" xfId="4" applyNumberFormat="1" applyFont="1"/>
    <xf numFmtId="3" fontId="5" fillId="0" borderId="0" xfId="4" applyNumberFormat="1" applyFont="1" applyAlignment="1">
      <alignment horizontal="left" vertical="top"/>
    </xf>
    <xf numFmtId="16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6" fillId="0" borderId="0" xfId="4" applyFont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 2" xfId="4" xr:uid="{A06AFBF1-6826-8940-83A9-77253BF89507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FAD1-1A87-9F4E-9F8A-1524F45DDA8A}">
  <dimension ref="A1:I43"/>
  <sheetViews>
    <sheetView tabSelected="1" topLeftCell="A2" zoomScale="150" zoomScaleNormal="150" workbookViewId="0">
      <selection activeCell="I18" sqref="I18"/>
    </sheetView>
  </sheetViews>
  <sheetFormatPr defaultColWidth="8.6875" defaultRowHeight="15.75" x14ac:dyDescent="0.5"/>
  <cols>
    <col min="1" max="1" width="8.3125" bestFit="1" customWidth="1"/>
    <col min="2" max="2" width="9.1875" customWidth="1"/>
    <col min="3" max="3" width="12.5" bestFit="1" customWidth="1"/>
    <col min="4" max="4" width="12" bestFit="1" customWidth="1"/>
    <col min="5" max="5" width="9.6875" bestFit="1" customWidth="1"/>
    <col min="6" max="6" width="6.3125" bestFit="1" customWidth="1"/>
    <col min="7" max="7" width="11.8125" bestFit="1" customWidth="1"/>
    <col min="8" max="8" width="9" bestFit="1" customWidth="1"/>
  </cols>
  <sheetData>
    <row r="1" spans="1:9" x14ac:dyDescent="0.5">
      <c r="A1" s="62" t="s">
        <v>50</v>
      </c>
      <c r="B1" s="62"/>
      <c r="C1" s="62"/>
      <c r="D1" s="62"/>
      <c r="E1" s="62"/>
      <c r="F1" s="62"/>
      <c r="G1" s="62"/>
      <c r="H1" s="62"/>
    </row>
    <row r="2" spans="1:9" x14ac:dyDescent="0.5"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9" s="6" customFormat="1" ht="63" x14ac:dyDescent="0.5">
      <c r="A3" s="6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</row>
    <row r="4" spans="1:9" x14ac:dyDescent="0.5">
      <c r="A4">
        <v>2011</v>
      </c>
      <c r="B4" s="7">
        <v>12760</v>
      </c>
      <c r="C4" s="10">
        <v>5161624</v>
      </c>
      <c r="D4" s="61">
        <f>'Page B-9'!F26</f>
        <v>1</v>
      </c>
      <c r="E4" s="61">
        <f>'Page B-12'!H4</f>
        <v>1.1939442141576775</v>
      </c>
      <c r="F4">
        <f>'Page B-13'!$D$10</f>
        <v>1.0118118905840563</v>
      </c>
      <c r="G4" s="3">
        <f>PRODUCT(C4:F4)</f>
        <v>6235484.1435574675</v>
      </c>
      <c r="H4" s="4">
        <f>G4/B4</f>
        <v>488.6743059214316</v>
      </c>
    </row>
    <row r="5" spans="1:9" x14ac:dyDescent="0.5">
      <c r="A5">
        <v>2012</v>
      </c>
      <c r="B5" s="7">
        <v>12766</v>
      </c>
      <c r="C5" s="10">
        <v>4820968</v>
      </c>
      <c r="D5" s="61">
        <f>'Page B-9'!E26</f>
        <v>1.0011550056972007</v>
      </c>
      <c r="E5" s="61">
        <f>'Page B-12'!H5</f>
        <v>1.1705335432918407</v>
      </c>
      <c r="F5">
        <f>'Page B-13'!$D$10</f>
        <v>1.0118118905840563</v>
      </c>
      <c r="G5" s="3">
        <f t="shared" ref="G5:G8" si="0">PRODUCT(C5:F5)</f>
        <v>5716355.2969554439</v>
      </c>
      <c r="H5" s="4">
        <f t="shared" ref="H5:H9" si="1">G5/B5</f>
        <v>447.77967232926869</v>
      </c>
    </row>
    <row r="6" spans="1:9" x14ac:dyDescent="0.5">
      <c r="A6">
        <v>2013</v>
      </c>
      <c r="B6" s="7">
        <v>12805</v>
      </c>
      <c r="C6" s="10">
        <v>4112172</v>
      </c>
      <c r="D6" s="61">
        <f>'Page B-9'!D26</f>
        <v>1.0053742325184336</v>
      </c>
      <c r="E6" s="61">
        <f>'Page B-12'!H6</f>
        <v>1.1475819051880791</v>
      </c>
      <c r="F6">
        <f>'Page B-13'!$D$10</f>
        <v>1.0118118905840563</v>
      </c>
      <c r="G6" s="3">
        <f t="shared" si="0"/>
        <v>4800455.9890900692</v>
      </c>
      <c r="H6" s="4">
        <f t="shared" si="1"/>
        <v>374.88918306052864</v>
      </c>
    </row>
    <row r="7" spans="1:9" x14ac:dyDescent="0.5">
      <c r="A7">
        <v>2014</v>
      </c>
      <c r="B7" s="7">
        <v>12834</v>
      </c>
      <c r="C7" s="10">
        <v>5052052</v>
      </c>
      <c r="D7" s="61">
        <f>'Page B-9'!C26</f>
        <v>1.0184761224628478</v>
      </c>
      <c r="E7" s="61">
        <f>'Page B-12'!H7</f>
        <v>1.1250802992039992</v>
      </c>
      <c r="F7">
        <f>'Page B-13'!$D$10</f>
        <v>1.0118118905840563</v>
      </c>
      <c r="G7" s="3">
        <f t="shared" si="0"/>
        <v>5857360.6134829475</v>
      </c>
      <c r="H7" s="4">
        <f t="shared" si="1"/>
        <v>456.39400136223685</v>
      </c>
    </row>
    <row r="8" spans="1:9" x14ac:dyDescent="0.5">
      <c r="A8">
        <v>2015</v>
      </c>
      <c r="B8" s="7">
        <v>13411</v>
      </c>
      <c r="C8" s="10">
        <v>6559224</v>
      </c>
      <c r="D8" s="61">
        <f>'Page B-9'!B26</f>
        <v>1.0552882952727327</v>
      </c>
      <c r="E8" s="61">
        <f>'Page B-12'!H8</f>
        <v>1.1030199011803914</v>
      </c>
      <c r="F8">
        <f>'Page B-13'!$D$10</f>
        <v>1.0118118905840563</v>
      </c>
      <c r="G8" s="3">
        <f t="shared" si="0"/>
        <v>7725146.2615334988</v>
      </c>
      <c r="H8" s="4">
        <f t="shared" si="1"/>
        <v>576.03059141999097</v>
      </c>
    </row>
    <row r="9" spans="1:9" x14ac:dyDescent="0.5">
      <c r="A9" t="s">
        <v>0</v>
      </c>
      <c r="B9" s="2">
        <f>SUM(B4:B8)</f>
        <v>64576</v>
      </c>
      <c r="C9" s="2">
        <f>SUM(C4:C8)</f>
        <v>25706040</v>
      </c>
      <c r="G9" s="2">
        <f>SUM(G4:G8)</f>
        <v>30334802.304619428</v>
      </c>
      <c r="H9" s="4">
        <f t="shared" si="1"/>
        <v>469.7535044694535</v>
      </c>
    </row>
    <row r="10" spans="1:9" x14ac:dyDescent="0.5">
      <c r="I10" s="4">
        <f>SUM(G4:G8)/SUM(B4:B8)</f>
        <v>469.7535044694535</v>
      </c>
    </row>
    <row r="11" spans="1:9" x14ac:dyDescent="0.5">
      <c r="C11" t="s">
        <v>16</v>
      </c>
      <c r="H11" s="15">
        <v>469.88</v>
      </c>
    </row>
    <row r="12" spans="1:9" x14ac:dyDescent="0.5">
      <c r="C12" t="s">
        <v>17</v>
      </c>
      <c r="H12" s="13">
        <v>683</v>
      </c>
    </row>
    <row r="13" spans="1:9" x14ac:dyDescent="0.5">
      <c r="C13" t="s">
        <v>18</v>
      </c>
      <c r="H13" s="13">
        <v>1082</v>
      </c>
    </row>
    <row r="14" spans="1:9" x14ac:dyDescent="0.5">
      <c r="C14" t="s">
        <v>19</v>
      </c>
      <c r="H14" s="12">
        <f>MIN(1,SQRT(H12/H13))</f>
        <v>0.7945051587748051</v>
      </c>
    </row>
    <row r="15" spans="1:9" x14ac:dyDescent="0.5">
      <c r="C15" t="s">
        <v>20</v>
      </c>
      <c r="H15" s="8">
        <v>585.75</v>
      </c>
    </row>
    <row r="16" spans="1:9" x14ac:dyDescent="0.5">
      <c r="C16" t="s">
        <v>21</v>
      </c>
      <c r="H16" s="9">
        <f>H11*H14+H15*(1-H14)</f>
        <v>493.69068725276333</v>
      </c>
    </row>
    <row r="17" spans="1:8" x14ac:dyDescent="0.5">
      <c r="C17" t="s">
        <v>22</v>
      </c>
      <c r="H17" s="9">
        <f>'Page B-6'!D29</f>
        <v>29.205919877141579</v>
      </c>
    </row>
    <row r="18" spans="1:8" x14ac:dyDescent="0.5">
      <c r="C18" t="s">
        <v>23</v>
      </c>
      <c r="H18" s="8">
        <v>74.569999999999993</v>
      </c>
    </row>
    <row r="19" spans="1:8" x14ac:dyDescent="0.5">
      <c r="C19" t="s">
        <v>24</v>
      </c>
      <c r="H19" s="9">
        <f>SUM(H16:H18)</f>
        <v>597.46660712990479</v>
      </c>
    </row>
    <row r="20" spans="1:8" x14ac:dyDescent="0.5">
      <c r="C20" t="s">
        <v>25</v>
      </c>
      <c r="H20" s="9">
        <v>15.68</v>
      </c>
    </row>
    <row r="21" spans="1:8" x14ac:dyDescent="0.5">
      <c r="C21" t="s">
        <v>26</v>
      </c>
      <c r="H21" s="9">
        <v>77.83</v>
      </c>
    </row>
    <row r="22" spans="1:8" x14ac:dyDescent="0.5">
      <c r="C22" t="s">
        <v>27</v>
      </c>
      <c r="H22" s="12">
        <v>0.13800000000000001</v>
      </c>
    </row>
    <row r="23" spans="1:8" x14ac:dyDescent="0.5">
      <c r="C23" t="s">
        <v>28</v>
      </c>
      <c r="H23" s="14">
        <v>0.05</v>
      </c>
    </row>
    <row r="24" spans="1:8" x14ac:dyDescent="0.5">
      <c r="C24" t="s">
        <v>29</v>
      </c>
      <c r="H24" s="12">
        <f>1-H23-H22</f>
        <v>0.81199999999999994</v>
      </c>
    </row>
    <row r="25" spans="1:8" x14ac:dyDescent="0.5">
      <c r="C25" t="s">
        <v>30</v>
      </c>
      <c r="H25" s="9">
        <f>SUM(H19:H21)/H24</f>
        <v>850.95641272155763</v>
      </c>
    </row>
    <row r="26" spans="1:8" x14ac:dyDescent="0.5">
      <c r="C26" t="s">
        <v>31</v>
      </c>
      <c r="H26" s="15">
        <f>H25</f>
        <v>850.95641272155763</v>
      </c>
    </row>
    <row r="28" spans="1:8" x14ac:dyDescent="0.5">
      <c r="A28" t="s">
        <v>34</v>
      </c>
    </row>
    <row r="29" spans="1:8" x14ac:dyDescent="0.5">
      <c r="A29" t="s">
        <v>35</v>
      </c>
    </row>
    <row r="30" spans="1:8" x14ac:dyDescent="0.5">
      <c r="A30" t="s">
        <v>36</v>
      </c>
    </row>
    <row r="31" spans="1:8" x14ac:dyDescent="0.5">
      <c r="A31" t="s">
        <v>37</v>
      </c>
    </row>
    <row r="32" spans="1:8" x14ac:dyDescent="0.5">
      <c r="A32" t="s">
        <v>38</v>
      </c>
    </row>
    <row r="33" spans="1:1" x14ac:dyDescent="0.5">
      <c r="A33" t="s">
        <v>39</v>
      </c>
    </row>
    <row r="34" spans="1:1" x14ac:dyDescent="0.5">
      <c r="A34" t="s">
        <v>40</v>
      </c>
    </row>
    <row r="35" spans="1:1" x14ac:dyDescent="0.5">
      <c r="A35" t="s">
        <v>41</v>
      </c>
    </row>
    <row r="36" spans="1:1" x14ac:dyDescent="0.5">
      <c r="A36" t="s">
        <v>42</v>
      </c>
    </row>
    <row r="37" spans="1:1" x14ac:dyDescent="0.5">
      <c r="A37" t="s">
        <v>43</v>
      </c>
    </row>
    <row r="38" spans="1:1" x14ac:dyDescent="0.5">
      <c r="A38" t="s">
        <v>44</v>
      </c>
    </row>
    <row r="39" spans="1:1" x14ac:dyDescent="0.5">
      <c r="A39" t="s">
        <v>45</v>
      </c>
    </row>
    <row r="40" spans="1:1" x14ac:dyDescent="0.5">
      <c r="A40" t="s">
        <v>46</v>
      </c>
    </row>
    <row r="41" spans="1:1" x14ac:dyDescent="0.5">
      <c r="A41" t="s">
        <v>47</v>
      </c>
    </row>
    <row r="42" spans="1:1" x14ac:dyDescent="0.5">
      <c r="A42" t="s">
        <v>48</v>
      </c>
    </row>
    <row r="43" spans="1:1" x14ac:dyDescent="0.5">
      <c r="A43" t="s">
        <v>49</v>
      </c>
    </row>
  </sheetData>
  <mergeCells count="1">
    <mergeCell ref="A1:H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210AE-E41C-D843-BC78-3E22CC2B41E3}">
  <dimension ref="A1:E36"/>
  <sheetViews>
    <sheetView zoomScale="150" zoomScaleNormal="150" workbookViewId="0">
      <selection activeCell="A30" sqref="A30:D30"/>
    </sheetView>
  </sheetViews>
  <sheetFormatPr defaultColWidth="11" defaultRowHeight="15.75" x14ac:dyDescent="0.5"/>
  <cols>
    <col min="1" max="1" width="15.5" bestFit="1" customWidth="1"/>
    <col min="2" max="3" width="16.5" customWidth="1"/>
    <col min="4" max="4" width="9.5" bestFit="1" customWidth="1"/>
  </cols>
  <sheetData>
    <row r="1" spans="1:5" x14ac:dyDescent="0.5">
      <c r="A1" s="62" t="s">
        <v>51</v>
      </c>
      <c r="B1" s="62"/>
      <c r="C1" s="62"/>
      <c r="D1" s="62"/>
    </row>
    <row r="2" spans="1:5" x14ac:dyDescent="0.5">
      <c r="B2" s="5" t="s">
        <v>1</v>
      </c>
      <c r="C2" s="5" t="s">
        <v>2</v>
      </c>
      <c r="D2" s="5" t="s">
        <v>3</v>
      </c>
    </row>
    <row r="3" spans="1:5" s="6" customFormat="1" ht="47.25" x14ac:dyDescent="0.5">
      <c r="A3" s="6" t="s">
        <v>52</v>
      </c>
      <c r="B3" s="6" t="s">
        <v>53</v>
      </c>
      <c r="C3" s="6" t="s">
        <v>54</v>
      </c>
      <c r="D3" s="6" t="s">
        <v>55</v>
      </c>
    </row>
    <row r="4" spans="1:5" x14ac:dyDescent="0.5">
      <c r="A4" s="16">
        <v>1996</v>
      </c>
      <c r="B4" s="10">
        <v>1752020</v>
      </c>
      <c r="C4" s="10">
        <v>4412</v>
      </c>
      <c r="D4" s="17">
        <f>C4/B4</f>
        <v>2.5182360931952832E-3</v>
      </c>
    </row>
    <row r="5" spans="1:5" x14ac:dyDescent="0.5">
      <c r="A5" s="16">
        <v>1997</v>
      </c>
      <c r="B5" s="10">
        <v>1911500</v>
      </c>
      <c r="C5" s="10">
        <v>26236</v>
      </c>
      <c r="D5" s="17">
        <f t="shared" ref="D5:D23" si="0">C5/B5</f>
        <v>1.3725346586450431E-2</v>
      </c>
    </row>
    <row r="6" spans="1:5" x14ac:dyDescent="0.5">
      <c r="A6" s="16">
        <v>1998</v>
      </c>
      <c r="B6" s="10">
        <v>2110710</v>
      </c>
      <c r="C6" s="10">
        <v>155872</v>
      </c>
      <c r="D6" s="17">
        <f t="shared" si="0"/>
        <v>7.3848136409075615E-2</v>
      </c>
    </row>
    <row r="7" spans="1:5" x14ac:dyDescent="0.5">
      <c r="A7" s="16">
        <v>1999</v>
      </c>
      <c r="B7" s="10">
        <v>2333580</v>
      </c>
      <c r="C7" s="10">
        <v>38689</v>
      </c>
      <c r="D7" s="17">
        <f t="shared" si="0"/>
        <v>1.657924733671012E-2</v>
      </c>
      <c r="E7" s="17"/>
    </row>
    <row r="8" spans="1:5" x14ac:dyDescent="0.5">
      <c r="A8" s="16">
        <v>2000</v>
      </c>
      <c r="B8" s="10">
        <v>2494580</v>
      </c>
      <c r="C8" s="10">
        <v>145490</v>
      </c>
      <c r="D8" s="17">
        <f t="shared" si="0"/>
        <v>5.8322443056546595E-2</v>
      </c>
    </row>
    <row r="9" spans="1:5" x14ac:dyDescent="0.5">
      <c r="A9" s="16">
        <v>2001</v>
      </c>
      <c r="B9" s="10">
        <v>2545420</v>
      </c>
      <c r="C9" s="10">
        <v>227118</v>
      </c>
      <c r="D9" s="17">
        <f t="shared" si="0"/>
        <v>8.9226139497607465E-2</v>
      </c>
    </row>
    <row r="10" spans="1:5" x14ac:dyDescent="0.5">
      <c r="A10" s="16">
        <v>2002</v>
      </c>
      <c r="B10" s="10">
        <v>2631470</v>
      </c>
      <c r="C10" s="10">
        <v>222464</v>
      </c>
      <c r="D10" s="17">
        <f t="shared" si="0"/>
        <v>8.4539819948545869E-2</v>
      </c>
    </row>
    <row r="11" spans="1:5" x14ac:dyDescent="0.5">
      <c r="A11" s="16">
        <v>2003</v>
      </c>
      <c r="B11" s="10">
        <v>2738710</v>
      </c>
      <c r="C11" s="10">
        <v>833316</v>
      </c>
      <c r="D11" s="17">
        <f t="shared" si="0"/>
        <v>0.304273179708695</v>
      </c>
    </row>
    <row r="12" spans="1:5" x14ac:dyDescent="0.5">
      <c r="A12" s="16">
        <v>2004</v>
      </c>
      <c r="B12" s="10">
        <v>2858230</v>
      </c>
      <c r="C12" s="10">
        <v>173649</v>
      </c>
      <c r="D12" s="17">
        <f t="shared" si="0"/>
        <v>6.0754033090409103E-2</v>
      </c>
    </row>
    <row r="13" spans="1:5" x14ac:dyDescent="0.5">
      <c r="A13" s="16">
        <v>2005</v>
      </c>
      <c r="B13" s="10">
        <v>2927850</v>
      </c>
      <c r="C13" s="10">
        <v>2668809</v>
      </c>
      <c r="D13" s="17">
        <f t="shared" si="0"/>
        <v>0.91152518059326815</v>
      </c>
    </row>
    <row r="14" spans="1:5" x14ac:dyDescent="0.5">
      <c r="A14" s="16">
        <v>2006</v>
      </c>
      <c r="B14" s="10">
        <v>2936440</v>
      </c>
      <c r="C14" s="10">
        <v>96981</v>
      </c>
      <c r="D14" s="17">
        <f t="shared" si="0"/>
        <v>3.3026726239936792E-2</v>
      </c>
    </row>
    <row r="15" spans="1:5" x14ac:dyDescent="0.5">
      <c r="A15" s="16">
        <v>2007</v>
      </c>
      <c r="B15" s="10">
        <v>2923330</v>
      </c>
      <c r="C15" s="10">
        <v>256753</v>
      </c>
      <c r="D15" s="17">
        <f t="shared" si="0"/>
        <v>8.7828948493669887E-2</v>
      </c>
    </row>
    <row r="16" spans="1:5" x14ac:dyDescent="0.5">
      <c r="A16" s="16">
        <v>2008</v>
      </c>
      <c r="B16" s="10">
        <v>2910500</v>
      </c>
      <c r="C16" s="10">
        <v>54333</v>
      </c>
      <c r="D16" s="17">
        <f t="shared" si="0"/>
        <v>1.8667926473114584E-2</v>
      </c>
    </row>
    <row r="17" spans="1:4" x14ac:dyDescent="0.5">
      <c r="A17" s="16">
        <v>2009</v>
      </c>
      <c r="B17" s="10">
        <v>2944090</v>
      </c>
      <c r="C17" s="10">
        <v>475524</v>
      </c>
      <c r="D17" s="17">
        <f t="shared" si="0"/>
        <v>0.16151816011059444</v>
      </c>
    </row>
    <row r="18" spans="1:4" x14ac:dyDescent="0.5">
      <c r="A18" s="16">
        <v>2010</v>
      </c>
      <c r="B18" s="10">
        <v>2916440</v>
      </c>
      <c r="C18" s="10">
        <v>1230</v>
      </c>
      <c r="D18" s="17">
        <f t="shared" si="0"/>
        <v>4.2174706148592121E-4</v>
      </c>
    </row>
    <row r="19" spans="1:4" x14ac:dyDescent="0.5">
      <c r="A19" s="16">
        <v>2011</v>
      </c>
      <c r="B19" s="10">
        <v>2665300</v>
      </c>
      <c r="C19" s="10">
        <v>70299</v>
      </c>
      <c r="D19" s="17">
        <f t="shared" si="0"/>
        <v>2.6375642516789855E-2</v>
      </c>
    </row>
    <row r="20" spans="1:4" x14ac:dyDescent="0.5">
      <c r="A20" s="16">
        <v>2012</v>
      </c>
      <c r="B20" s="10">
        <v>2771912</v>
      </c>
      <c r="C20" s="10">
        <v>485029</v>
      </c>
      <c r="D20" s="17">
        <f t="shared" si="0"/>
        <v>0.17497994164316905</v>
      </c>
    </row>
    <row r="21" spans="1:4" x14ac:dyDescent="0.5">
      <c r="A21" s="16">
        <v>2013</v>
      </c>
      <c r="B21" s="10">
        <v>2882788</v>
      </c>
      <c r="C21" s="10">
        <v>29025</v>
      </c>
      <c r="D21" s="17">
        <f t="shared" si="0"/>
        <v>1.0068378250499169E-2</v>
      </c>
    </row>
    <row r="22" spans="1:4" x14ac:dyDescent="0.5">
      <c r="A22" s="16">
        <v>2014</v>
      </c>
      <c r="B22" s="10">
        <v>2998100</v>
      </c>
      <c r="C22" s="10">
        <v>69868</v>
      </c>
      <c r="D22" s="17">
        <f t="shared" si="0"/>
        <v>2.3304092591974919E-2</v>
      </c>
    </row>
    <row r="23" spans="1:4" x14ac:dyDescent="0.5">
      <c r="A23" s="16">
        <v>2015</v>
      </c>
      <c r="B23" s="10">
        <v>3208151</v>
      </c>
      <c r="C23" s="10">
        <v>178200</v>
      </c>
      <c r="D23" s="17">
        <f t="shared" si="0"/>
        <v>5.5546013887750295E-2</v>
      </c>
    </row>
    <row r="25" spans="1:4" x14ac:dyDescent="0.5">
      <c r="B25" s="63" t="s">
        <v>61</v>
      </c>
      <c r="C25" s="63"/>
      <c r="D25" s="17">
        <f>AVERAGE(D4:D23)</f>
        <v>0.11035246697947446</v>
      </c>
    </row>
    <row r="26" spans="1:4" x14ac:dyDescent="0.5">
      <c r="B26" s="63" t="s">
        <v>62</v>
      </c>
      <c r="C26" s="63"/>
      <c r="D26" s="17">
        <f>'Page B-13'!$D$10</f>
        <v>1.0118118905840563</v>
      </c>
    </row>
    <row r="27" spans="1:4" x14ac:dyDescent="0.5">
      <c r="B27" s="63" t="s">
        <v>63</v>
      </c>
      <c r="C27" s="63"/>
      <c r="D27" s="17">
        <f>D25*D26</f>
        <v>0.11165593824511669</v>
      </c>
    </row>
    <row r="28" spans="1:4" x14ac:dyDescent="0.5">
      <c r="B28" s="63" t="s">
        <v>64</v>
      </c>
      <c r="C28" s="63"/>
      <c r="D28" s="15">
        <f>'Page B-7'!F14</f>
        <v>261.57068165086071</v>
      </c>
    </row>
    <row r="29" spans="1:4" x14ac:dyDescent="0.5">
      <c r="B29" s="63" t="s">
        <v>65</v>
      </c>
      <c r="C29" s="63"/>
      <c r="D29" s="18">
        <f>D27*D28</f>
        <v>29.205919877141579</v>
      </c>
    </row>
    <row r="30" spans="1:4" x14ac:dyDescent="0.5">
      <c r="A30" s="63" t="s">
        <v>56</v>
      </c>
      <c r="B30" s="63"/>
      <c r="C30" s="63"/>
      <c r="D30" s="63"/>
    </row>
    <row r="31" spans="1:4" x14ac:dyDescent="0.5">
      <c r="A31" s="63" t="s">
        <v>57</v>
      </c>
      <c r="B31" s="63"/>
      <c r="C31" s="63"/>
      <c r="D31" s="63"/>
    </row>
    <row r="32" spans="1:4" x14ac:dyDescent="0.5">
      <c r="A32" s="63" t="s">
        <v>37</v>
      </c>
      <c r="B32" s="63"/>
      <c r="C32" s="63"/>
      <c r="D32" s="63"/>
    </row>
    <row r="33" spans="1:4" x14ac:dyDescent="0.5">
      <c r="A33" s="63" t="s">
        <v>58</v>
      </c>
      <c r="B33" s="63"/>
      <c r="C33" s="63"/>
      <c r="D33" s="63"/>
    </row>
    <row r="34" spans="1:4" x14ac:dyDescent="0.5">
      <c r="A34" s="63" t="s">
        <v>59</v>
      </c>
      <c r="B34" s="63"/>
      <c r="C34" s="63"/>
      <c r="D34" s="63"/>
    </row>
    <row r="35" spans="1:4" x14ac:dyDescent="0.5">
      <c r="A35" s="63" t="s">
        <v>60</v>
      </c>
      <c r="B35" s="63"/>
      <c r="C35" s="63"/>
      <c r="D35" s="63"/>
    </row>
    <row r="36" spans="1:4" x14ac:dyDescent="0.5">
      <c r="A36" s="1"/>
    </row>
  </sheetData>
  <mergeCells count="12">
    <mergeCell ref="A34:D34"/>
    <mergeCell ref="A35:D35"/>
    <mergeCell ref="A1:D1"/>
    <mergeCell ref="A30:D30"/>
    <mergeCell ref="A31:D31"/>
    <mergeCell ref="A32:D32"/>
    <mergeCell ref="A33:D33"/>
    <mergeCell ref="B25:C25"/>
    <mergeCell ref="B26:C26"/>
    <mergeCell ref="B27:C27"/>
    <mergeCell ref="B28:C28"/>
    <mergeCell ref="B29:C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3F207-226C-174A-AEFC-1494322613F9}">
  <dimension ref="A1:I26"/>
  <sheetViews>
    <sheetView zoomScale="150" zoomScaleNormal="150" workbookViewId="0">
      <selection activeCell="G1" sqref="G1"/>
    </sheetView>
  </sheetViews>
  <sheetFormatPr defaultColWidth="12.5" defaultRowHeight="15.75" x14ac:dyDescent="0.5"/>
  <cols>
    <col min="1" max="1" width="20.1875" bestFit="1" customWidth="1"/>
    <col min="2" max="2" width="12.1875" bestFit="1" customWidth="1"/>
    <col min="3" max="3" width="9.3125" bestFit="1" customWidth="1"/>
    <col min="4" max="5" width="13.3125" bestFit="1" customWidth="1"/>
    <col min="7" max="7" width="11.6875" bestFit="1" customWidth="1"/>
  </cols>
  <sheetData>
    <row r="1" spans="1:9" x14ac:dyDescent="0.5">
      <c r="A1" s="62" t="s">
        <v>66</v>
      </c>
      <c r="B1" s="62"/>
      <c r="C1" s="62"/>
      <c r="D1" s="62"/>
      <c r="E1" s="62"/>
      <c r="F1" s="62"/>
      <c r="G1" s="19">
        <f>(D8/D4)^0.25</f>
        <v>1.0344858472205651</v>
      </c>
    </row>
    <row r="2" spans="1:9" x14ac:dyDescent="0.5"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/>
      <c r="H2" s="5"/>
    </row>
    <row r="3" spans="1:9" s="6" customFormat="1" ht="63" x14ac:dyDescent="0.5">
      <c r="A3" s="6" t="s">
        <v>8</v>
      </c>
      <c r="B3" s="6" t="s">
        <v>67</v>
      </c>
      <c r="C3" s="6" t="s">
        <v>9</v>
      </c>
      <c r="D3" s="6" t="s">
        <v>68</v>
      </c>
      <c r="E3" s="6" t="s">
        <v>69</v>
      </c>
      <c r="F3" s="6" t="s">
        <v>70</v>
      </c>
    </row>
    <row r="4" spans="1:9" x14ac:dyDescent="0.5">
      <c r="A4">
        <v>2011</v>
      </c>
      <c r="B4" s="10">
        <v>2665300</v>
      </c>
      <c r="C4" s="7">
        <v>12760</v>
      </c>
      <c r="D4" s="18">
        <f>B4/C4</f>
        <v>208.87931034482759</v>
      </c>
      <c r="F4" s="18">
        <f>F5/$G$1</f>
        <v>209.80559517835133</v>
      </c>
      <c r="G4" s="3"/>
      <c r="H4" s="4"/>
      <c r="I4" s="18"/>
    </row>
    <row r="5" spans="1:9" x14ac:dyDescent="0.5">
      <c r="A5">
        <v>2012</v>
      </c>
      <c r="B5" s="10">
        <v>2771912</v>
      </c>
      <c r="C5" s="7">
        <v>12766</v>
      </c>
      <c r="D5" s="18">
        <f t="shared" ref="D5:D8" si="0">B5/C5</f>
        <v>217.13238289205702</v>
      </c>
      <c r="E5" s="11">
        <f>D5/D4-1</f>
        <v>3.9511201629327974E-2</v>
      </c>
      <c r="F5" s="18">
        <f>F6/$G$1</f>
        <v>217.04091887969167</v>
      </c>
      <c r="H5" s="4"/>
    </row>
    <row r="6" spans="1:9" x14ac:dyDescent="0.5">
      <c r="A6">
        <v>2013</v>
      </c>
      <c r="B6" s="10">
        <v>2882788</v>
      </c>
      <c r="C6" s="7">
        <v>12805</v>
      </c>
      <c r="D6" s="18">
        <f t="shared" si="0"/>
        <v>225.12987114408435</v>
      </c>
      <c r="E6" s="11">
        <f t="shared" ref="E6:E8" si="1">D6/D5-1</f>
        <v>3.683231467138226E-2</v>
      </c>
      <c r="F6" s="18">
        <f>PRODUCT(D4:D8)^0.2</f>
        <v>224.5257588487878</v>
      </c>
      <c r="H6" s="18"/>
    </row>
    <row r="7" spans="1:9" x14ac:dyDescent="0.5">
      <c r="A7">
        <v>2014</v>
      </c>
      <c r="B7" s="10">
        <v>2998100</v>
      </c>
      <c r="C7" s="7">
        <v>12834</v>
      </c>
      <c r="D7" s="18">
        <f t="shared" si="0"/>
        <v>233.60604643914601</v>
      </c>
      <c r="E7" s="11">
        <f t="shared" si="1"/>
        <v>3.7650158337437345E-2</v>
      </c>
      <c r="F7" s="18">
        <f>F6*$G$1</f>
        <v>232.26871986552854</v>
      </c>
      <c r="H7" s="18"/>
    </row>
    <row r="8" spans="1:9" x14ac:dyDescent="0.5">
      <c r="A8">
        <v>2015</v>
      </c>
      <c r="B8" s="10">
        <v>3208151</v>
      </c>
      <c r="C8" s="7">
        <v>13411</v>
      </c>
      <c r="D8" s="18">
        <f t="shared" si="0"/>
        <v>239.21788084408323</v>
      </c>
      <c r="E8" s="11">
        <f t="shared" si="1"/>
        <v>2.4022641924206667E-2</v>
      </c>
      <c r="F8" s="18">
        <f>F7*$G$1</f>
        <v>240.2787034529274</v>
      </c>
      <c r="H8" s="4"/>
    </row>
    <row r="9" spans="1:9" x14ac:dyDescent="0.5">
      <c r="A9">
        <v>2016</v>
      </c>
      <c r="D9" s="18"/>
      <c r="F9" s="18">
        <f>F8*$G$1</f>
        <v>248.56491811056054</v>
      </c>
      <c r="G9" s="2"/>
      <c r="H9" s="4"/>
    </row>
    <row r="10" spans="1:9" x14ac:dyDescent="0.5">
      <c r="A10">
        <v>2017</v>
      </c>
      <c r="D10" s="18"/>
      <c r="F10" s="18">
        <f>F9*$G$1</f>
        <v>257.13688990091362</v>
      </c>
    </row>
    <row r="11" spans="1:9" x14ac:dyDescent="0.5">
      <c r="A11">
        <v>2018</v>
      </c>
      <c r="D11" s="18"/>
      <c r="F11" s="18">
        <f>F10*$G$1</f>
        <v>266.0044734008078</v>
      </c>
      <c r="H11" s="15"/>
    </row>
    <row r="12" spans="1:9" x14ac:dyDescent="0.5">
      <c r="H12" s="13"/>
    </row>
    <row r="13" spans="1:9" x14ac:dyDescent="0.5">
      <c r="C13" s="63" t="s">
        <v>75</v>
      </c>
      <c r="D13" s="63"/>
      <c r="E13" s="63"/>
      <c r="F13" s="18">
        <f>AVERAGE(F10:F11)</f>
        <v>261.57068165086071</v>
      </c>
      <c r="H13" s="13"/>
    </row>
    <row r="14" spans="1:9" x14ac:dyDescent="0.5">
      <c r="C14" s="63" t="s">
        <v>76</v>
      </c>
      <c r="D14" s="63"/>
      <c r="E14" s="63"/>
      <c r="F14" s="15">
        <f>F13</f>
        <v>261.57068165086071</v>
      </c>
      <c r="H14" s="12"/>
    </row>
    <row r="15" spans="1:9" x14ac:dyDescent="0.5">
      <c r="A15" s="63" t="s">
        <v>71</v>
      </c>
      <c r="B15" s="63"/>
      <c r="C15" s="63"/>
      <c r="D15" s="63"/>
      <c r="E15" s="63"/>
      <c r="F15" s="63"/>
      <c r="H15" s="8"/>
    </row>
    <row r="16" spans="1:9" x14ac:dyDescent="0.5">
      <c r="A16" s="63" t="s">
        <v>72</v>
      </c>
      <c r="B16" s="63"/>
      <c r="C16" s="63"/>
      <c r="D16" s="63"/>
      <c r="E16" s="63"/>
      <c r="F16" s="63"/>
      <c r="H16" s="9"/>
    </row>
    <row r="17" spans="1:8" x14ac:dyDescent="0.5">
      <c r="A17" s="63" t="s">
        <v>73</v>
      </c>
      <c r="B17" s="63"/>
      <c r="C17" s="63"/>
      <c r="D17" s="63"/>
      <c r="E17" s="63"/>
      <c r="F17" s="63"/>
      <c r="H17" s="9"/>
    </row>
    <row r="18" spans="1:8" x14ac:dyDescent="0.5">
      <c r="A18" s="63" t="s">
        <v>74</v>
      </c>
      <c r="B18" s="63"/>
      <c r="C18" s="63"/>
      <c r="D18" s="63"/>
      <c r="E18" s="63"/>
      <c r="F18" s="63"/>
      <c r="H18" s="8"/>
    </row>
    <row r="19" spans="1:8" x14ac:dyDescent="0.5">
      <c r="H19" s="9"/>
    </row>
    <row r="20" spans="1:8" x14ac:dyDescent="0.5">
      <c r="H20" s="9"/>
    </row>
    <row r="21" spans="1:8" x14ac:dyDescent="0.5">
      <c r="H21" s="9"/>
    </row>
    <row r="22" spans="1:8" x14ac:dyDescent="0.5">
      <c r="H22" s="12"/>
    </row>
    <row r="23" spans="1:8" x14ac:dyDescent="0.5">
      <c r="H23" s="14"/>
    </row>
    <row r="24" spans="1:8" x14ac:dyDescent="0.5">
      <c r="H24" s="12"/>
    </row>
    <row r="25" spans="1:8" x14ac:dyDescent="0.5">
      <c r="H25" s="9"/>
    </row>
    <row r="26" spans="1:8" x14ac:dyDescent="0.5">
      <c r="H26" s="15"/>
    </row>
  </sheetData>
  <mergeCells count="7">
    <mergeCell ref="A17:F17"/>
    <mergeCell ref="A18:F18"/>
    <mergeCell ref="A1:F1"/>
    <mergeCell ref="C13:E13"/>
    <mergeCell ref="C14:E14"/>
    <mergeCell ref="A15:F15"/>
    <mergeCell ref="A16:F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6BC22-4E1A-5B4C-9C66-929BD10611B2}">
  <dimension ref="A1:B17"/>
  <sheetViews>
    <sheetView zoomScale="150" zoomScaleNormal="150" workbookViewId="0">
      <selection activeCell="A2" sqref="A2"/>
    </sheetView>
  </sheetViews>
  <sheetFormatPr defaultColWidth="11" defaultRowHeight="15.75" x14ac:dyDescent="0.5"/>
  <cols>
    <col min="1" max="1" width="43.8125" bestFit="1" customWidth="1"/>
    <col min="2" max="2" width="12.5" bestFit="1" customWidth="1"/>
  </cols>
  <sheetData>
    <row r="1" spans="1:2" x14ac:dyDescent="0.5">
      <c r="A1" s="62" t="s">
        <v>33</v>
      </c>
      <c r="B1" s="62"/>
    </row>
    <row r="2" spans="1:2" x14ac:dyDescent="0.5">
      <c r="A2" t="s">
        <v>77</v>
      </c>
      <c r="B2" s="49">
        <v>458673</v>
      </c>
    </row>
    <row r="3" spans="1:2" x14ac:dyDescent="0.5">
      <c r="A3" t="s">
        <v>78</v>
      </c>
      <c r="B3" s="49">
        <v>673248</v>
      </c>
    </row>
    <row r="4" spans="1:2" x14ac:dyDescent="0.5">
      <c r="A4" t="s">
        <v>79</v>
      </c>
      <c r="B4" s="21">
        <f>B3-B2</f>
        <v>214575</v>
      </c>
    </row>
    <row r="5" spans="1:2" x14ac:dyDescent="0.5">
      <c r="A5" t="s">
        <v>80</v>
      </c>
      <c r="B5" s="22">
        <f>'Page B-5'!B8</f>
        <v>13411</v>
      </c>
    </row>
    <row r="6" spans="1:2" x14ac:dyDescent="0.5">
      <c r="A6" t="s">
        <v>81</v>
      </c>
      <c r="B6" s="50">
        <v>0.01</v>
      </c>
    </row>
    <row r="7" spans="1:2" x14ac:dyDescent="0.5">
      <c r="A7" t="s">
        <v>82</v>
      </c>
      <c r="B7" s="51">
        <v>2</v>
      </c>
    </row>
    <row r="8" spans="1:2" x14ac:dyDescent="0.5">
      <c r="A8" t="s">
        <v>83</v>
      </c>
      <c r="B8" s="22">
        <f>B5*(1+B6)^B7</f>
        <v>13680.561100000001</v>
      </c>
    </row>
    <row r="9" spans="1:2" x14ac:dyDescent="0.5">
      <c r="A9" t="s">
        <v>84</v>
      </c>
      <c r="B9" s="20">
        <f>B4/B8</f>
        <v>15.684663694093658</v>
      </c>
    </row>
    <row r="11" spans="1:2" x14ac:dyDescent="0.5">
      <c r="A11" t="s">
        <v>85</v>
      </c>
    </row>
    <row r="12" spans="1:2" x14ac:dyDescent="0.5">
      <c r="A12" t="s">
        <v>86</v>
      </c>
    </row>
    <row r="13" spans="1:2" x14ac:dyDescent="0.5">
      <c r="A13" t="s">
        <v>87</v>
      </c>
    </row>
    <row r="14" spans="1:2" x14ac:dyDescent="0.5">
      <c r="A14" t="s">
        <v>88</v>
      </c>
    </row>
    <row r="15" spans="1:2" x14ac:dyDescent="0.5">
      <c r="A15" t="s">
        <v>91</v>
      </c>
    </row>
    <row r="16" spans="1:2" x14ac:dyDescent="0.5">
      <c r="A16" t="s">
        <v>89</v>
      </c>
    </row>
    <row r="17" spans="1:1" x14ac:dyDescent="0.5">
      <c r="A17" t="s">
        <v>90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39E3-0C22-A642-A85A-7E51561BF09C}">
  <dimension ref="A1:H33"/>
  <sheetViews>
    <sheetView zoomScale="180" zoomScaleNormal="180" workbookViewId="0">
      <selection activeCell="B12" sqref="B12"/>
    </sheetView>
  </sheetViews>
  <sheetFormatPr defaultColWidth="12.5" defaultRowHeight="15.75" x14ac:dyDescent="0.5"/>
  <cols>
    <col min="1" max="1" width="22.8125" style="23" bestFit="1" customWidth="1"/>
    <col min="2" max="8" width="10.1875" style="23" bestFit="1" customWidth="1"/>
    <col min="9" max="16384" width="12.5" style="23"/>
  </cols>
  <sheetData>
    <row r="1" spans="1:8" x14ac:dyDescent="0.5">
      <c r="A1" s="64" t="s">
        <v>92</v>
      </c>
      <c r="B1" s="64"/>
      <c r="C1" s="64"/>
      <c r="D1" s="64"/>
      <c r="E1" s="64"/>
      <c r="F1" s="64"/>
      <c r="G1" s="64"/>
      <c r="H1" s="64"/>
    </row>
    <row r="2" spans="1:8" x14ac:dyDescent="0.5">
      <c r="A2" s="64" t="s">
        <v>93</v>
      </c>
      <c r="B2" s="64"/>
      <c r="C2" s="64"/>
      <c r="D2" s="64"/>
      <c r="E2" s="64"/>
      <c r="F2" s="64"/>
      <c r="G2" s="64"/>
      <c r="H2" s="64"/>
    </row>
    <row r="3" spans="1:8" x14ac:dyDescent="0.5">
      <c r="A3" s="23" t="s">
        <v>94</v>
      </c>
      <c r="B3" s="23" t="s">
        <v>95</v>
      </c>
      <c r="C3" s="23" t="s">
        <v>96</v>
      </c>
      <c r="D3" s="23" t="s">
        <v>97</v>
      </c>
      <c r="E3" s="23" t="s">
        <v>98</v>
      </c>
      <c r="F3" s="23" t="s">
        <v>99</v>
      </c>
      <c r="G3" s="23" t="s">
        <v>100</v>
      </c>
      <c r="H3" s="23" t="s">
        <v>178</v>
      </c>
    </row>
    <row r="4" spans="1:8" x14ac:dyDescent="0.5">
      <c r="A4" s="26">
        <v>2009</v>
      </c>
      <c r="B4" s="27">
        <v>45407811</v>
      </c>
      <c r="C4" s="27">
        <v>47542171</v>
      </c>
      <c r="D4" s="27">
        <v>47840609</v>
      </c>
      <c r="E4" s="27">
        <v>47944098</v>
      </c>
      <c r="F4" s="27">
        <v>48357583</v>
      </c>
      <c r="G4" s="27">
        <v>48352642</v>
      </c>
      <c r="H4" s="27">
        <v>48350368</v>
      </c>
    </row>
    <row r="5" spans="1:8" x14ac:dyDescent="0.5">
      <c r="A5" s="24">
        <v>2010</v>
      </c>
      <c r="B5" s="60">
        <v>42964965</v>
      </c>
      <c r="C5" s="60">
        <v>44624511</v>
      </c>
      <c r="D5" s="60">
        <v>45673824</v>
      </c>
      <c r="E5" s="60">
        <v>45959994</v>
      </c>
      <c r="F5" s="60">
        <v>45908833</v>
      </c>
      <c r="G5" s="60">
        <v>45939203</v>
      </c>
      <c r="H5" s="28"/>
    </row>
    <row r="6" spans="1:8" x14ac:dyDescent="0.5">
      <c r="A6" s="24">
        <v>2011</v>
      </c>
      <c r="B6" s="60">
        <v>33313292</v>
      </c>
      <c r="C6" s="60">
        <v>34495215</v>
      </c>
      <c r="D6" s="60">
        <v>35097059</v>
      </c>
      <c r="E6" s="60">
        <v>35141818</v>
      </c>
      <c r="F6" s="60">
        <v>35182407</v>
      </c>
      <c r="G6" s="28"/>
      <c r="H6" s="28"/>
    </row>
    <row r="7" spans="1:8" x14ac:dyDescent="0.5">
      <c r="A7" s="24">
        <v>2012</v>
      </c>
      <c r="B7" s="60">
        <v>30176335</v>
      </c>
      <c r="C7" s="60">
        <v>31335306</v>
      </c>
      <c r="D7" s="60">
        <v>31658815</v>
      </c>
      <c r="E7" s="60">
        <v>31908268</v>
      </c>
      <c r="F7" s="28"/>
      <c r="G7" s="28"/>
      <c r="H7" s="28"/>
    </row>
    <row r="8" spans="1:8" x14ac:dyDescent="0.5">
      <c r="A8" s="24">
        <v>2013</v>
      </c>
      <c r="B8" s="60">
        <v>30613176</v>
      </c>
      <c r="C8" s="60">
        <v>31102898</v>
      </c>
      <c r="D8" s="60">
        <v>31455116</v>
      </c>
      <c r="E8" s="28"/>
      <c r="F8" s="28"/>
      <c r="G8" s="28"/>
      <c r="H8" s="28"/>
    </row>
    <row r="9" spans="1:8" x14ac:dyDescent="0.5">
      <c r="A9" s="24">
        <v>2014</v>
      </c>
      <c r="B9" s="60">
        <v>30932080</v>
      </c>
      <c r="C9" s="60">
        <v>31923956</v>
      </c>
      <c r="D9" s="28"/>
      <c r="E9" s="28"/>
      <c r="F9" s="28"/>
      <c r="G9" s="28"/>
      <c r="H9" s="28"/>
    </row>
    <row r="10" spans="1:8" x14ac:dyDescent="0.5">
      <c r="A10" s="24">
        <v>2015</v>
      </c>
      <c r="B10" s="60">
        <v>34377105</v>
      </c>
      <c r="C10" s="28"/>
      <c r="D10" s="28"/>
      <c r="E10" s="28"/>
      <c r="F10" s="28"/>
      <c r="G10" s="28"/>
      <c r="H10" s="28"/>
    </row>
    <row r="12" spans="1:8" x14ac:dyDescent="0.5">
      <c r="A12" s="30" t="s">
        <v>101</v>
      </c>
      <c r="B12" s="23" t="s">
        <v>102</v>
      </c>
      <c r="C12" s="23" t="s">
        <v>103</v>
      </c>
      <c r="D12" s="23" t="s">
        <v>104</v>
      </c>
      <c r="E12" s="23" t="s">
        <v>105</v>
      </c>
      <c r="F12" s="23" t="s">
        <v>106</v>
      </c>
      <c r="G12" s="23" t="s">
        <v>107</v>
      </c>
    </row>
    <row r="13" spans="1:8" x14ac:dyDescent="0.5">
      <c r="A13" s="26">
        <v>2009</v>
      </c>
      <c r="B13" s="31">
        <f>C4/B4</f>
        <v>1.0470042477934027</v>
      </c>
      <c r="C13" s="31">
        <f t="shared" ref="C13:G13" si="0">D4/C4</f>
        <v>1.0062773321815699</v>
      </c>
      <c r="D13" s="31">
        <f t="shared" si="0"/>
        <v>1.002163204067908</v>
      </c>
      <c r="E13" s="31">
        <f t="shared" si="0"/>
        <v>1.008624314926104</v>
      </c>
      <c r="F13" s="31">
        <f t="shared" si="0"/>
        <v>0.99989782367741575</v>
      </c>
      <c r="G13" s="31">
        <f t="shared" si="0"/>
        <v>0.99995297051193188</v>
      </c>
    </row>
    <row r="14" spans="1:8" x14ac:dyDescent="0.5">
      <c r="A14" s="24">
        <v>2010</v>
      </c>
      <c r="B14" s="31">
        <f t="shared" ref="B14:F14" si="1">C5/B5</f>
        <v>1.0386255638751247</v>
      </c>
      <c r="C14" s="31">
        <f t="shared" si="1"/>
        <v>1.0235142744757473</v>
      </c>
      <c r="D14" s="31">
        <f t="shared" si="1"/>
        <v>1.0062655143567572</v>
      </c>
      <c r="E14" s="31">
        <f t="shared" si="1"/>
        <v>0.99888683623413876</v>
      </c>
      <c r="F14" s="31">
        <f t="shared" si="1"/>
        <v>1.0006615284688243</v>
      </c>
      <c r="G14" s="31"/>
    </row>
    <row r="15" spans="1:8" x14ac:dyDescent="0.5">
      <c r="A15" s="24">
        <v>2011</v>
      </c>
      <c r="B15" s="31">
        <f t="shared" ref="B15:E15" si="2">C6/B6</f>
        <v>1.0354790214068306</v>
      </c>
      <c r="C15" s="31">
        <f t="shared" si="2"/>
        <v>1.0174471734702915</v>
      </c>
      <c r="D15" s="31">
        <f t="shared" si="2"/>
        <v>1.0012752920408516</v>
      </c>
      <c r="E15" s="31">
        <f t="shared" si="2"/>
        <v>1.001155005697201</v>
      </c>
      <c r="F15" s="31"/>
      <c r="G15" s="31"/>
    </row>
    <row r="16" spans="1:8" x14ac:dyDescent="0.5">
      <c r="A16" s="24">
        <v>2012</v>
      </c>
      <c r="B16" s="31">
        <f t="shared" ref="B16:D16" si="3">C7/B7</f>
        <v>1.038406618961514</v>
      </c>
      <c r="C16" s="31">
        <f t="shared" si="3"/>
        <v>1.0103241053398362</v>
      </c>
      <c r="D16" s="31">
        <f t="shared" si="3"/>
        <v>1.0078794168385645</v>
      </c>
      <c r="E16" s="31"/>
      <c r="F16" s="31"/>
      <c r="G16" s="31"/>
    </row>
    <row r="17" spans="1:7" x14ac:dyDescent="0.5">
      <c r="A17" s="24">
        <v>2013</v>
      </c>
      <c r="B17" s="31">
        <f t="shared" ref="B17:C17" si="4">C8/B8</f>
        <v>1.0159970987655773</v>
      </c>
      <c r="C17" s="31">
        <f t="shared" si="4"/>
        <v>1.0113242823868052</v>
      </c>
      <c r="D17" s="31"/>
      <c r="E17" s="31"/>
      <c r="F17" s="31"/>
      <c r="G17" s="31"/>
    </row>
    <row r="18" spans="1:7" x14ac:dyDescent="0.5">
      <c r="A18" s="24">
        <v>2014</v>
      </c>
      <c r="B18" s="31">
        <f t="shared" ref="B18" si="5">C9/B9</f>
        <v>1.0320662561327916</v>
      </c>
      <c r="C18" s="31"/>
      <c r="D18" s="31"/>
      <c r="E18" s="31"/>
      <c r="F18" s="31"/>
      <c r="G18" s="31"/>
    </row>
    <row r="19" spans="1:7" x14ac:dyDescent="0.5">
      <c r="A19" s="24"/>
    </row>
    <row r="20" spans="1:7" x14ac:dyDescent="0.5">
      <c r="A20" s="23" t="s">
        <v>108</v>
      </c>
      <c r="B20" s="31">
        <f>AVERAGE(B13:B18)</f>
        <v>1.0345964678225401</v>
      </c>
      <c r="C20" s="31">
        <f t="shared" ref="C20:E20" si="6">AVERAGE(C13:C18)</f>
        <v>1.01377743357085</v>
      </c>
      <c r="D20" s="31">
        <f t="shared" si="6"/>
        <v>1.0043958568260203</v>
      </c>
      <c r="E20" s="31">
        <f t="shared" si="6"/>
        <v>1.0028887189524811</v>
      </c>
      <c r="F20" s="31"/>
      <c r="G20" s="31"/>
    </row>
    <row r="21" spans="1:7" x14ac:dyDescent="0.5">
      <c r="A21" s="23" t="s">
        <v>109</v>
      </c>
      <c r="B21" s="31">
        <f>AVERAGE(B16:B18)</f>
        <v>1.028823324619961</v>
      </c>
      <c r="C21" s="31">
        <f>AVERAGE(C15:C17)</f>
        <v>1.0130318537323109</v>
      </c>
      <c r="D21" s="31">
        <f>AVERAGE(D14:D16)</f>
        <v>1.0051400744120578</v>
      </c>
      <c r="E21" s="31">
        <f>AVERAGE(E13:E15)</f>
        <v>1.0028887189524811</v>
      </c>
    </row>
    <row r="22" spans="1:7" x14ac:dyDescent="0.5">
      <c r="A22" s="23" t="s">
        <v>110</v>
      </c>
      <c r="B22" s="31">
        <f>AVERAGE(B15:B18)</f>
        <v>1.0304872488166785</v>
      </c>
      <c r="C22" s="31">
        <f>AVERAGE(C14:C17)</f>
        <v>1.0156524589181699</v>
      </c>
      <c r="D22" s="31">
        <f>AVERAGE(D13:D16)</f>
        <v>1.0043958568260203</v>
      </c>
    </row>
    <row r="23" spans="1:7" x14ac:dyDescent="0.5">
      <c r="A23" s="23" t="s">
        <v>114</v>
      </c>
      <c r="B23" s="31">
        <f>(SUM(B13:B18)-MIN(B13:B18)-MAX(B13:B18))/(COUNT(B13:B18)-2)</f>
        <v>1.0361443650940652</v>
      </c>
      <c r="C23" s="31">
        <f>(SUM(C13:C18)-MIN(C13:C18)-MAX(C13:C18))/(COUNT(C13:C18)-2)</f>
        <v>1.0130318537323106</v>
      </c>
      <c r="D23" s="31">
        <f>(SUM(D13:D18)-MIN(D13:D18)-MAX(D13:D18))/(COUNT(D13:D18)-2)</f>
        <v>1.0042143592123325</v>
      </c>
      <c r="E23" s="31">
        <f>(SUM(E13:E18)-MIN(E13:E18)-MAX(E13:E18))/(COUNT(E13:E18)-2)</f>
        <v>1.0011550056972007</v>
      </c>
    </row>
    <row r="24" spans="1:7" x14ac:dyDescent="0.5">
      <c r="A24" s="23" t="s">
        <v>111</v>
      </c>
      <c r="B24" s="31">
        <f>GEOMEAN(B13:B18)</f>
        <v>1.0345529141944367</v>
      </c>
      <c r="C24" s="31">
        <f>GEOMEAN(C13:C18)</f>
        <v>1.0137594663979943</v>
      </c>
      <c r="D24" s="31">
        <f>GEOMEAN(D13:D18)</f>
        <v>1.0043920798399162</v>
      </c>
      <c r="E24" s="31">
        <f>GEOMEAN(E13:E18)</f>
        <v>1.0028801040095983</v>
      </c>
    </row>
    <row r="25" spans="1:7" x14ac:dyDescent="0.5">
      <c r="A25" s="23" t="s">
        <v>112</v>
      </c>
      <c r="B25" s="32">
        <f>B23</f>
        <v>1.0361443650940652</v>
      </c>
      <c r="C25" s="32">
        <f>C23</f>
        <v>1.0130318537323106</v>
      </c>
      <c r="D25" s="32">
        <f>D23</f>
        <v>1.0042143592123325</v>
      </c>
      <c r="E25" s="32">
        <f>E23</f>
        <v>1.0011550056972007</v>
      </c>
      <c r="F25" s="32">
        <v>1</v>
      </c>
    </row>
    <row r="26" spans="1:7" x14ac:dyDescent="0.5">
      <c r="A26" s="23" t="s">
        <v>113</v>
      </c>
      <c r="B26" s="31">
        <f>PRODUCT(B25:$F$25)</f>
        <v>1.0552882952727327</v>
      </c>
      <c r="C26" s="31">
        <f>PRODUCT(C25:$F$25)</f>
        <v>1.0184761224628478</v>
      </c>
      <c r="D26" s="31">
        <f>PRODUCT(D25:$F$25)</f>
        <v>1.0053742325184336</v>
      </c>
      <c r="E26" s="31">
        <f>PRODUCT(E25:$F$25)</f>
        <v>1.0011550056972007</v>
      </c>
      <c r="F26" s="31">
        <f>PRODUCT(F25:$F$25)</f>
        <v>1</v>
      </c>
    </row>
    <row r="28" spans="1:7" x14ac:dyDescent="0.5">
      <c r="A28" t="s">
        <v>115</v>
      </c>
    </row>
    <row r="29" spans="1:7" x14ac:dyDescent="0.5">
      <c r="A29" t="s">
        <v>116</v>
      </c>
    </row>
    <row r="30" spans="1:7" x14ac:dyDescent="0.5">
      <c r="A30" t="s">
        <v>117</v>
      </c>
    </row>
    <row r="31" spans="1:7" x14ac:dyDescent="0.5">
      <c r="A31" t="s">
        <v>118</v>
      </c>
    </row>
    <row r="32" spans="1:7" x14ac:dyDescent="0.5">
      <c r="A32" t="s">
        <v>119</v>
      </c>
    </row>
    <row r="33" spans="1:1" x14ac:dyDescent="0.5">
      <c r="A33" t="s">
        <v>120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1A93-3176-D142-B904-A65D28AB1AAA}">
  <dimension ref="A1:K39"/>
  <sheetViews>
    <sheetView zoomScale="150" zoomScaleNormal="150" workbookViewId="0">
      <selection activeCell="F28" sqref="F28"/>
    </sheetView>
  </sheetViews>
  <sheetFormatPr defaultColWidth="11" defaultRowHeight="15.75" x14ac:dyDescent="0.5"/>
  <cols>
    <col min="1" max="1" width="10.8125" style="23" bestFit="1" customWidth="1"/>
    <col min="2" max="2" width="17" style="23" bestFit="1" customWidth="1"/>
    <col min="3" max="3" width="8.1875" style="23" bestFit="1" customWidth="1"/>
    <col min="4" max="4" width="2.6875" style="23" bestFit="1" customWidth="1"/>
    <col min="5" max="11" width="8.4375" style="43" bestFit="1" customWidth="1"/>
    <col min="12" max="16384" width="11" style="23"/>
  </cols>
  <sheetData>
    <row r="1" spans="1:11" x14ac:dyDescent="0.5">
      <c r="A1" s="64" t="s">
        <v>149</v>
      </c>
      <c r="B1" s="64"/>
      <c r="C1" s="64"/>
      <c r="D1" s="29"/>
    </row>
    <row r="2" spans="1:11" s="30" customFormat="1" ht="31.5" x14ac:dyDescent="0.5">
      <c r="A2" s="33" t="s">
        <v>146</v>
      </c>
      <c r="B2" s="36" t="s">
        <v>147</v>
      </c>
      <c r="C2" s="33" t="s">
        <v>148</v>
      </c>
      <c r="D2" s="42"/>
      <c r="E2" s="44"/>
      <c r="F2" s="44"/>
      <c r="G2" s="44"/>
      <c r="H2" s="44"/>
      <c r="I2" s="44"/>
      <c r="J2" s="44"/>
      <c r="K2" s="44"/>
    </row>
    <row r="3" spans="1:11" x14ac:dyDescent="0.5">
      <c r="A3" s="34" t="s">
        <v>121</v>
      </c>
      <c r="B3" s="52">
        <v>460.03</v>
      </c>
      <c r="C3" s="34"/>
      <c r="D3" s="23">
        <v>1</v>
      </c>
      <c r="E3" s="41" cm="1">
        <f t="array" ref="E3:E26">GROWTH(B3:B26,D3:D26)</f>
        <v>414.29724226044391</v>
      </c>
    </row>
    <row r="4" spans="1:11" x14ac:dyDescent="0.5">
      <c r="A4" s="25" t="s">
        <v>122</v>
      </c>
      <c r="B4" s="53">
        <v>425.04</v>
      </c>
      <c r="C4" s="25"/>
      <c r="D4" s="23">
        <v>2</v>
      </c>
      <c r="E4" s="41">
        <v>415.29173186754235</v>
      </c>
    </row>
    <row r="5" spans="1:11" x14ac:dyDescent="0.5">
      <c r="A5" s="25" t="s">
        <v>123</v>
      </c>
      <c r="B5" s="53">
        <v>423.31</v>
      </c>
      <c r="C5" s="25"/>
      <c r="D5" s="23">
        <v>3</v>
      </c>
      <c r="E5" s="41">
        <v>416.28860867271442</v>
      </c>
    </row>
    <row r="6" spans="1:11" x14ac:dyDescent="0.5">
      <c r="A6" s="25" t="s">
        <v>124</v>
      </c>
      <c r="B6" s="53">
        <v>417.86</v>
      </c>
      <c r="C6" s="25"/>
      <c r="D6" s="23">
        <v>4</v>
      </c>
      <c r="E6" s="41">
        <v>417.28787840625091</v>
      </c>
    </row>
    <row r="7" spans="1:11" x14ac:dyDescent="0.5">
      <c r="A7" s="25" t="s">
        <v>125</v>
      </c>
      <c r="B7" s="53">
        <v>420.8</v>
      </c>
      <c r="C7" s="35">
        <f>B7/B3-1</f>
        <v>-8.5277047149098895E-2</v>
      </c>
      <c r="D7" s="23">
        <v>5</v>
      </c>
      <c r="E7" s="41">
        <v>418.28954681219767</v>
      </c>
      <c r="F7" s="43" cm="1">
        <f t="array" ref="F7:F26">GROWTH(B7:B26,D7:D26)</f>
        <v>404.06805462397148</v>
      </c>
    </row>
    <row r="8" spans="1:11" x14ac:dyDescent="0.5">
      <c r="A8" s="25" t="s">
        <v>126</v>
      </c>
      <c r="B8" s="53">
        <v>407.29</v>
      </c>
      <c r="C8" s="35">
        <f t="shared" ref="C8:C26" si="0">B8/B4-1</f>
        <v>-4.1760775456427646E-2</v>
      </c>
      <c r="D8" s="23">
        <v>6</v>
      </c>
      <c r="E8" s="41">
        <v>419.29361964838893</v>
      </c>
      <c r="F8" s="43">
        <v>406.2031988943869</v>
      </c>
    </row>
    <row r="9" spans="1:11" x14ac:dyDescent="0.5">
      <c r="A9" s="25" t="s">
        <v>127</v>
      </c>
      <c r="B9" s="53">
        <v>400.62</v>
      </c>
      <c r="C9" s="35">
        <f t="shared" si="0"/>
        <v>-5.360137960360023E-2</v>
      </c>
      <c r="D9" s="23">
        <v>7</v>
      </c>
      <c r="E9" s="41">
        <v>420.30010268647993</v>
      </c>
      <c r="F9" s="43">
        <v>408.3496255243042</v>
      </c>
    </row>
    <row r="10" spans="1:11" x14ac:dyDescent="0.5">
      <c r="A10" s="25" t="s">
        <v>128</v>
      </c>
      <c r="B10" s="53">
        <v>405.91</v>
      </c>
      <c r="C10" s="35">
        <f t="shared" si="0"/>
        <v>-2.8598095055760275E-2</v>
      </c>
      <c r="D10" s="23">
        <v>8</v>
      </c>
      <c r="E10" s="41">
        <v>421.30900171198044</v>
      </c>
      <c r="F10" s="43">
        <v>410.50739413106999</v>
      </c>
    </row>
    <row r="11" spans="1:11" x14ac:dyDescent="0.5">
      <c r="A11" s="25" t="s">
        <v>129</v>
      </c>
      <c r="B11" s="53">
        <v>416.38</v>
      </c>
      <c r="C11" s="35">
        <f t="shared" si="0"/>
        <v>-1.0503802281368824E-2</v>
      </c>
      <c r="D11" s="23">
        <v>9</v>
      </c>
      <c r="E11" s="41">
        <v>422.32032252428786</v>
      </c>
      <c r="F11" s="43">
        <v>412.67656464705595</v>
      </c>
      <c r="G11" s="43" cm="1">
        <f t="array" ref="G11:G26">GROWTH(B11:B26,D11:D26)</f>
        <v>410.37213790682006</v>
      </c>
    </row>
    <row r="12" spans="1:11" x14ac:dyDescent="0.5">
      <c r="A12" s="25" t="s">
        <v>130</v>
      </c>
      <c r="B12" s="53">
        <v>417.09</v>
      </c>
      <c r="C12" s="35">
        <f t="shared" si="0"/>
        <v>2.4061479535466113E-2</v>
      </c>
      <c r="D12" s="23">
        <v>10</v>
      </c>
      <c r="E12" s="41">
        <v>423.33407093672082</v>
      </c>
      <c r="F12" s="43">
        <v>414.85719732132389</v>
      </c>
      <c r="G12" s="43">
        <v>412.80443778462637</v>
      </c>
    </row>
    <row r="13" spans="1:11" x14ac:dyDescent="0.5">
      <c r="A13" s="25" t="s">
        <v>131</v>
      </c>
      <c r="B13" s="53">
        <v>418.06</v>
      </c>
      <c r="C13" s="35">
        <f t="shared" si="0"/>
        <v>4.3532524586890275E-2</v>
      </c>
      <c r="D13" s="23">
        <v>11</v>
      </c>
      <c r="E13" s="41">
        <v>424.35025277655205</v>
      </c>
      <c r="F13" s="43">
        <v>417.04935272129865</v>
      </c>
      <c r="G13" s="43">
        <v>415.25115404734061</v>
      </c>
    </row>
    <row r="14" spans="1:11" x14ac:dyDescent="0.5">
      <c r="A14" s="25" t="s">
        <v>132</v>
      </c>
      <c r="B14" s="53">
        <v>423.13</v>
      </c>
      <c r="C14" s="35">
        <f t="shared" si="0"/>
        <v>4.2423197260476275E-2</v>
      </c>
      <c r="D14" s="23">
        <v>12</v>
      </c>
      <c r="E14" s="41">
        <v>425.36887388504255</v>
      </c>
      <c r="F14" s="43">
        <v>419.25309173445083</v>
      </c>
      <c r="G14" s="43">
        <v>417.71237214172686</v>
      </c>
    </row>
    <row r="15" spans="1:11" x14ac:dyDescent="0.5">
      <c r="A15" s="25" t="s">
        <v>133</v>
      </c>
      <c r="B15" s="53">
        <v>418.06</v>
      </c>
      <c r="C15" s="35">
        <f t="shared" si="0"/>
        <v>4.0347759258370086E-3</v>
      </c>
      <c r="D15" s="23">
        <v>13</v>
      </c>
      <c r="E15" s="41">
        <v>426.38994011747451</v>
      </c>
      <c r="F15" s="43">
        <v>421.46847556998773</v>
      </c>
      <c r="G15" s="43">
        <v>420.18817802099733</v>
      </c>
      <c r="H15" s="43" cm="1">
        <f t="array" ref="H15:H26">GROWTH(B15:B26,D15:D26)</f>
        <v>412.87380508087273</v>
      </c>
    </row>
    <row r="16" spans="1:11" x14ac:dyDescent="0.5">
      <c r="A16" s="25" t="s">
        <v>134</v>
      </c>
      <c r="B16" s="53">
        <v>420.06</v>
      </c>
      <c r="C16" s="35">
        <f t="shared" si="0"/>
        <v>7.1207653024527584E-3</v>
      </c>
      <c r="D16" s="23">
        <v>14</v>
      </c>
      <c r="E16" s="41">
        <v>427.41345734318566</v>
      </c>
      <c r="F16" s="43">
        <v>423.69556576055334</v>
      </c>
      <c r="G16" s="43">
        <v>422.67865814781368</v>
      </c>
      <c r="H16" s="43">
        <v>416.36834503923001</v>
      </c>
    </row>
    <row r="17" spans="1:11" x14ac:dyDescent="0.5">
      <c r="A17" s="25" t="s">
        <v>135</v>
      </c>
      <c r="B17" s="53">
        <v>419.06</v>
      </c>
      <c r="C17" s="35">
        <f t="shared" si="0"/>
        <v>2.3920011481606274E-3</v>
      </c>
      <c r="D17" s="23">
        <v>15</v>
      </c>
      <c r="E17" s="41">
        <v>428.43943144560222</v>
      </c>
      <c r="F17" s="43">
        <v>425.93442416393782</v>
      </c>
      <c r="G17" s="43">
        <v>425.18389949730727</v>
      </c>
      <c r="H17" s="43">
        <v>419.89246258127088</v>
      </c>
    </row>
    <row r="18" spans="1:11" x14ac:dyDescent="0.5">
      <c r="A18" s="25" t="s">
        <v>136</v>
      </c>
      <c r="B18" s="53">
        <v>423.26</v>
      </c>
      <c r="C18" s="35">
        <f t="shared" si="0"/>
        <v>3.07234183347882E-4</v>
      </c>
      <c r="D18" s="23">
        <v>16</v>
      </c>
      <c r="E18" s="41">
        <v>429.46786832227343</v>
      </c>
      <c r="F18" s="43">
        <v>428.18511296479505</v>
      </c>
      <c r="G18" s="43">
        <v>427.70398956011576</v>
      </c>
      <c r="H18" s="43">
        <v>423.44640804994958</v>
      </c>
    </row>
    <row r="19" spans="1:11" x14ac:dyDescent="0.5">
      <c r="A19" s="25" t="s">
        <v>137</v>
      </c>
      <c r="B19" s="53">
        <v>424.31</v>
      </c>
      <c r="C19" s="35">
        <f t="shared" si="0"/>
        <v>1.4950007176003366E-2</v>
      </c>
      <c r="D19" s="23">
        <v>17</v>
      </c>
      <c r="E19" s="41">
        <v>430.49877388490495</v>
      </c>
      <c r="F19" s="43">
        <v>430.44769467637025</v>
      </c>
      <c r="G19" s="43">
        <v>430.23901634543944</v>
      </c>
      <c r="H19" s="43">
        <v>427.03043390710843</v>
      </c>
      <c r="I19" s="43" cm="1">
        <f t="array" ref="I19:I26">GROWTH(B19:B26,D19:D26)</f>
        <v>421.14871907128065</v>
      </c>
    </row>
    <row r="20" spans="1:11" x14ac:dyDescent="0.5">
      <c r="A20" s="25" t="s">
        <v>138</v>
      </c>
      <c r="B20" s="53">
        <v>428.01</v>
      </c>
      <c r="C20" s="35">
        <f t="shared" si="0"/>
        <v>1.8925867733180946E-2</v>
      </c>
      <c r="D20" s="23">
        <v>18</v>
      </c>
      <c r="E20" s="41">
        <v>431.53215405939341</v>
      </c>
      <c r="F20" s="43">
        <v>432.72223214223624</v>
      </c>
      <c r="G20" s="43">
        <v>432.78906838411393</v>
      </c>
      <c r="H20" s="43">
        <v>430.64479475141218</v>
      </c>
      <c r="I20" s="43">
        <v>426.11212477850574</v>
      </c>
    </row>
    <row r="21" spans="1:11" x14ac:dyDescent="0.5">
      <c r="A21" s="25" t="s">
        <v>139</v>
      </c>
      <c r="B21" s="53">
        <v>427.06</v>
      </c>
      <c r="C21" s="35">
        <f t="shared" si="0"/>
        <v>1.9090345057986902E-2</v>
      </c>
      <c r="D21" s="23">
        <v>19</v>
      </c>
      <c r="E21" s="41">
        <v>432.56801478585965</v>
      </c>
      <c r="F21" s="43">
        <v>435.00878853803863</v>
      </c>
      <c r="G21" s="43">
        <v>435.35423473170255</v>
      </c>
      <c r="H21" s="43">
        <v>434.28974733643412</v>
      </c>
      <c r="I21" s="43">
        <v>431.13402620256181</v>
      </c>
      <c r="J21" s="43" cm="1">
        <f t="array" ref="J21:J26">GROWTH(B21:B26,D21:D26)</f>
        <v>427.26415491324525</v>
      </c>
    </row>
    <row r="22" spans="1:11" x14ac:dyDescent="0.5">
      <c r="A22" s="25" t="s">
        <v>177</v>
      </c>
      <c r="B22" s="53">
        <v>435.57</v>
      </c>
      <c r="C22" s="35">
        <f t="shared" si="0"/>
        <v>2.9083778292302576E-2</v>
      </c>
      <c r="D22" s="23">
        <v>20</v>
      </c>
      <c r="E22" s="41">
        <v>433.60636201868357</v>
      </c>
      <c r="F22" s="43">
        <v>437.30742737325107</v>
      </c>
      <c r="G22" s="43">
        <v>437.93460497160606</v>
      </c>
      <c r="H22" s="43">
        <v>437.96555058889476</v>
      </c>
      <c r="I22" s="43">
        <v>436.21511273881356</v>
      </c>
      <c r="J22" s="43">
        <v>433.51688390562447</v>
      </c>
    </row>
    <row r="23" spans="1:11" x14ac:dyDescent="0.5">
      <c r="A23" s="25" t="s">
        <v>140</v>
      </c>
      <c r="B23" s="53">
        <v>440.73</v>
      </c>
      <c r="C23" s="35">
        <f t="shared" si="0"/>
        <v>3.8698121656336237E-2</v>
      </c>
      <c r="D23" s="23">
        <v>21</v>
      </c>
      <c r="E23" s="41">
        <v>434.6472017265383</v>
      </c>
      <c r="F23" s="43">
        <v>439.61821249293843</v>
      </c>
      <c r="G23" s="43">
        <v>440.53026921819145</v>
      </c>
      <c r="H23" s="43">
        <v>441.6724656270552</v>
      </c>
      <c r="I23" s="43">
        <v>441.35608190742505</v>
      </c>
      <c r="J23" s="43">
        <v>439.86111746117035</v>
      </c>
      <c r="K23" s="43" cm="1">
        <f t="array" ref="K23:K26">GROWTH(B23:B26,D23:D26)</f>
        <v>438.0598624182457</v>
      </c>
    </row>
    <row r="24" spans="1:11" x14ac:dyDescent="0.5">
      <c r="A24" s="25" t="s">
        <v>141</v>
      </c>
      <c r="B24" s="53">
        <v>442.49</v>
      </c>
      <c r="C24" s="35">
        <f>B24/B20-1</f>
        <v>3.3830985257353952E-2</v>
      </c>
      <c r="D24" s="23">
        <v>22</v>
      </c>
      <c r="E24" s="41">
        <v>435.69053989242383</v>
      </c>
      <c r="F24" s="43">
        <v>441.94120807953112</v>
      </c>
      <c r="G24" s="43">
        <v>443.14131811993894</v>
      </c>
      <c r="H24" s="43">
        <v>445.41075577926665</v>
      </c>
      <c r="I24" s="43">
        <v>446.55763944911399</v>
      </c>
      <c r="J24" s="43">
        <v>446.29819468878901</v>
      </c>
      <c r="K24" s="43">
        <v>445.37280658590623</v>
      </c>
    </row>
    <row r="25" spans="1:11" x14ac:dyDescent="0.5">
      <c r="A25" s="25" t="s">
        <v>142</v>
      </c>
      <c r="B25" s="53">
        <v>450.44</v>
      </c>
      <c r="C25" s="35">
        <f t="shared" si="0"/>
        <v>5.4746405657284614E-2</v>
      </c>
      <c r="D25" s="23">
        <v>23</v>
      </c>
      <c r="E25" s="41">
        <v>436.73638251370232</v>
      </c>
      <c r="F25" s="43">
        <v>444.27647865460699</v>
      </c>
      <c r="G25" s="43">
        <v>445.76784286260738</v>
      </c>
      <c r="H25" s="43">
        <v>449.18068660267619</v>
      </c>
      <c r="I25" s="43">
        <v>451.82049942203383</v>
      </c>
      <c r="J25" s="43">
        <v>452.8294742943616</v>
      </c>
      <c r="K25" s="43">
        <v>452.80783258983473</v>
      </c>
    </row>
    <row r="26" spans="1:11" x14ac:dyDescent="0.5">
      <c r="A26" s="25" t="s">
        <v>143</v>
      </c>
      <c r="B26" s="53">
        <v>462.98</v>
      </c>
      <c r="C26" s="35">
        <f t="shared" si="0"/>
        <v>6.2929035516679388E-2</v>
      </c>
      <c r="D26" s="23">
        <v>24</v>
      </c>
      <c r="E26" s="41">
        <v>437.784735602132</v>
      </c>
      <c r="F26" s="43">
        <v>446.62408908068363</v>
      </c>
      <c r="G26" s="43">
        <v>448.40993517241935</v>
      </c>
      <c r="H26" s="43">
        <v>452.98252590209103</v>
      </c>
      <c r="I26" s="43">
        <v>457.14538429979848</v>
      </c>
      <c r="J26" s="43">
        <v>459.45633486753349</v>
      </c>
      <c r="K26" s="43">
        <v>460.36697845663235</v>
      </c>
    </row>
    <row r="28" spans="1:11" ht="31.5" x14ac:dyDescent="0.5">
      <c r="B28" s="37" t="s">
        <v>150</v>
      </c>
      <c r="C28" s="37" t="s">
        <v>151</v>
      </c>
      <c r="D28" s="37"/>
    </row>
    <row r="29" spans="1:11" x14ac:dyDescent="0.5">
      <c r="B29" s="23" t="s">
        <v>152</v>
      </c>
      <c r="C29" s="45">
        <f>E26/E22-1</f>
        <v>9.6363290519903E-3</v>
      </c>
    </row>
    <row r="30" spans="1:11" x14ac:dyDescent="0.5">
      <c r="B30" s="23" t="s">
        <v>153</v>
      </c>
      <c r="C30" s="45">
        <f>F26/F22-1</f>
        <v>2.1304604322397225E-2</v>
      </c>
    </row>
    <row r="31" spans="1:11" x14ac:dyDescent="0.5">
      <c r="B31" s="23" t="s">
        <v>154</v>
      </c>
      <c r="C31" s="45">
        <f>G26/G22-1</f>
        <v>2.3919850319872538E-2</v>
      </c>
    </row>
    <row r="32" spans="1:11" x14ac:dyDescent="0.5">
      <c r="B32" s="23" t="s">
        <v>155</v>
      </c>
      <c r="C32" s="45">
        <f>H26/H22-1</f>
        <v>3.4288028574403162E-2</v>
      </c>
    </row>
    <row r="33" spans="2:4" x14ac:dyDescent="0.5">
      <c r="B33" s="23" t="s">
        <v>156</v>
      </c>
      <c r="C33" s="45">
        <f>I26/I22-1</f>
        <v>4.7981536975123307E-2</v>
      </c>
    </row>
    <row r="34" spans="2:4" x14ac:dyDescent="0.5">
      <c r="B34" s="23" t="s">
        <v>157</v>
      </c>
      <c r="C34" s="45">
        <f>J26/J22-1</f>
        <v>5.9834926677402311E-2</v>
      </c>
    </row>
    <row r="35" spans="2:4" x14ac:dyDescent="0.5">
      <c r="B35" s="23" t="s">
        <v>158</v>
      </c>
      <c r="C35" s="46">
        <f>(K26/K23)^(4/3)-1</f>
        <v>6.8466564482249748E-2</v>
      </c>
      <c r="D35" s="40"/>
    </row>
    <row r="37" spans="2:4" x14ac:dyDescent="0.5">
      <c r="B37" s="38" t="s">
        <v>159</v>
      </c>
    </row>
    <row r="38" spans="2:4" x14ac:dyDescent="0.5">
      <c r="B38" s="23" t="s">
        <v>144</v>
      </c>
      <c r="C38" s="39">
        <v>0.02</v>
      </c>
      <c r="D38" s="39"/>
    </row>
    <row r="39" spans="2:4" x14ac:dyDescent="0.5">
      <c r="B39" s="23" t="s">
        <v>32</v>
      </c>
      <c r="C39" s="39">
        <v>0.04</v>
      </c>
      <c r="D39" s="39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61D3-B673-D849-9135-B4BD8CA15BD3}">
  <dimension ref="A1:H16"/>
  <sheetViews>
    <sheetView zoomScale="150" zoomScaleNormal="150" workbookViewId="0">
      <selection activeCell="F4" sqref="F4"/>
    </sheetView>
  </sheetViews>
  <sheetFormatPr defaultColWidth="8.8125" defaultRowHeight="15.75" x14ac:dyDescent="0.5"/>
  <cols>
    <col min="1" max="2" width="8.1875" style="23" bestFit="1" customWidth="1"/>
    <col min="3" max="3" width="9.8125" style="23" bestFit="1" customWidth="1"/>
    <col min="4" max="4" width="7.1875" style="23" bestFit="1" customWidth="1"/>
    <col min="5" max="5" width="8.8125" style="23"/>
    <col min="6" max="6" width="9.8125" style="23" bestFit="1" customWidth="1"/>
    <col min="7" max="7" width="8.8125" style="23"/>
    <col min="8" max="8" width="7.1875" style="23" bestFit="1" customWidth="1"/>
    <col min="9" max="16384" width="8.8125" style="23"/>
  </cols>
  <sheetData>
    <row r="1" spans="1:8" x14ac:dyDescent="0.5">
      <c r="A1" s="64" t="s">
        <v>172</v>
      </c>
      <c r="B1" s="64"/>
      <c r="C1" s="64"/>
      <c r="D1" s="64"/>
      <c r="E1" s="64"/>
      <c r="F1" s="64"/>
      <c r="G1" s="64"/>
      <c r="H1" s="64"/>
    </row>
    <row r="2" spans="1:8" x14ac:dyDescent="0.5"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s="30" customFormat="1" ht="63" x14ac:dyDescent="0.5">
      <c r="A3" s="30" t="s">
        <v>94</v>
      </c>
      <c r="B3" s="30" t="s">
        <v>166</v>
      </c>
      <c r="C3" s="30" t="s">
        <v>167</v>
      </c>
      <c r="D3" s="30" t="s">
        <v>168</v>
      </c>
      <c r="E3" s="30" t="s">
        <v>169</v>
      </c>
      <c r="F3" s="30" t="s">
        <v>170</v>
      </c>
      <c r="G3" s="30" t="s">
        <v>171</v>
      </c>
      <c r="H3" s="30" t="s">
        <v>12</v>
      </c>
    </row>
    <row r="4" spans="1:8" x14ac:dyDescent="0.5">
      <c r="A4" s="25">
        <v>2011</v>
      </c>
      <c r="B4" s="47">
        <f>'Page B-10'!$C$38</f>
        <v>0.02</v>
      </c>
      <c r="C4" s="55">
        <v>4</v>
      </c>
      <c r="D4" s="48">
        <f>(1+B4)^C4</f>
        <v>1.08243216</v>
      </c>
      <c r="E4" s="47">
        <f>'Page B-10'!$C$39</f>
        <v>0.04</v>
      </c>
      <c r="F4" s="54">
        <v>2.5</v>
      </c>
      <c r="G4" s="48">
        <f>(1+E4)^F4</f>
        <v>1.1030199011803914</v>
      </c>
      <c r="H4" s="25">
        <f>D4*G4</f>
        <v>1.1939442141576775</v>
      </c>
    </row>
    <row r="5" spans="1:8" x14ac:dyDescent="0.5">
      <c r="A5" s="25">
        <v>2012</v>
      </c>
      <c r="B5" s="47">
        <f>'Page B-10'!$C$38</f>
        <v>0.02</v>
      </c>
      <c r="C5" s="55">
        <v>3</v>
      </c>
      <c r="D5" s="48">
        <f t="shared" ref="D5:D8" si="0">(1+B5)^C5</f>
        <v>1.0612079999999999</v>
      </c>
      <c r="E5" s="47">
        <f>'Page B-10'!$C$39</f>
        <v>0.04</v>
      </c>
      <c r="F5" s="54">
        <v>2.5</v>
      </c>
      <c r="G5" s="48">
        <f t="shared" ref="G5:G8" si="1">(1+E5)^F5</f>
        <v>1.1030199011803914</v>
      </c>
      <c r="H5" s="25">
        <f t="shared" ref="H5:H8" si="2">D5*G5</f>
        <v>1.1705335432918407</v>
      </c>
    </row>
    <row r="6" spans="1:8" x14ac:dyDescent="0.5">
      <c r="A6" s="25">
        <v>2013</v>
      </c>
      <c r="B6" s="47">
        <f>'Page B-10'!$C$38</f>
        <v>0.02</v>
      </c>
      <c r="C6" s="55">
        <v>2</v>
      </c>
      <c r="D6" s="48">
        <f t="shared" si="0"/>
        <v>1.0404</v>
      </c>
      <c r="E6" s="47">
        <f>'Page B-10'!$C$39</f>
        <v>0.04</v>
      </c>
      <c r="F6" s="54">
        <v>2.5</v>
      </c>
      <c r="G6" s="48">
        <f t="shared" si="1"/>
        <v>1.1030199011803914</v>
      </c>
      <c r="H6" s="25">
        <f t="shared" si="2"/>
        <v>1.1475819051880791</v>
      </c>
    </row>
    <row r="7" spans="1:8" x14ac:dyDescent="0.5">
      <c r="A7" s="25">
        <v>2014</v>
      </c>
      <c r="B7" s="47">
        <f>'Page B-10'!$C$38</f>
        <v>0.02</v>
      </c>
      <c r="C7" s="55">
        <v>1</v>
      </c>
      <c r="D7" s="48">
        <f t="shared" si="0"/>
        <v>1.02</v>
      </c>
      <c r="E7" s="47">
        <f>'Page B-10'!$C$39</f>
        <v>0.04</v>
      </c>
      <c r="F7" s="54">
        <v>2.5</v>
      </c>
      <c r="G7" s="48">
        <f t="shared" si="1"/>
        <v>1.1030199011803914</v>
      </c>
      <c r="H7" s="25">
        <f t="shared" si="2"/>
        <v>1.1250802992039992</v>
      </c>
    </row>
    <row r="8" spans="1:8" x14ac:dyDescent="0.5">
      <c r="A8" s="25">
        <v>2015</v>
      </c>
      <c r="B8" s="47">
        <f>'Page B-10'!$C$38</f>
        <v>0.02</v>
      </c>
      <c r="C8" s="55">
        <v>0</v>
      </c>
      <c r="D8" s="48">
        <f t="shared" si="0"/>
        <v>1</v>
      </c>
      <c r="E8" s="47">
        <f>'Page B-10'!$C$39</f>
        <v>0.04</v>
      </c>
      <c r="F8" s="54">
        <v>2.5</v>
      </c>
      <c r="G8" s="48">
        <f t="shared" si="1"/>
        <v>1.1030199011803914</v>
      </c>
      <c r="H8" s="25">
        <f t="shared" si="2"/>
        <v>1.1030199011803914</v>
      </c>
    </row>
    <row r="10" spans="1:8" x14ac:dyDescent="0.5">
      <c r="A10" s="63" t="s">
        <v>160</v>
      </c>
      <c r="B10" s="63"/>
      <c r="C10" s="63"/>
      <c r="D10" s="63"/>
      <c r="E10" s="63"/>
      <c r="F10" s="63"/>
      <c r="G10" s="63"/>
      <c r="H10" s="63"/>
    </row>
    <row r="11" spans="1:8" x14ac:dyDescent="0.5">
      <c r="A11" s="63" t="s">
        <v>161</v>
      </c>
      <c r="B11" s="63"/>
      <c r="C11" s="63"/>
      <c r="D11" s="63"/>
      <c r="E11" s="63"/>
      <c r="F11" s="63"/>
      <c r="G11" s="63"/>
      <c r="H11" s="63"/>
    </row>
    <row r="12" spans="1:8" x14ac:dyDescent="0.5">
      <c r="A12" s="63" t="s">
        <v>162</v>
      </c>
      <c r="B12" s="63"/>
      <c r="C12" s="63"/>
      <c r="D12" s="63"/>
      <c r="E12" s="63"/>
      <c r="F12" s="63"/>
      <c r="G12" s="63"/>
      <c r="H12" s="63"/>
    </row>
    <row r="13" spans="1:8" x14ac:dyDescent="0.5">
      <c r="A13" s="63" t="s">
        <v>36</v>
      </c>
      <c r="B13" s="63"/>
      <c r="C13" s="63"/>
      <c r="D13" s="63"/>
      <c r="E13" s="63"/>
      <c r="F13" s="63"/>
      <c r="G13" s="63"/>
      <c r="H13" s="63"/>
    </row>
    <row r="14" spans="1:8" x14ac:dyDescent="0.5">
      <c r="A14" s="63" t="s">
        <v>163</v>
      </c>
      <c r="B14" s="63"/>
      <c r="C14" s="63"/>
      <c r="D14" s="63"/>
      <c r="E14" s="63"/>
      <c r="F14" s="63"/>
      <c r="G14" s="63"/>
      <c r="H14" s="63"/>
    </row>
    <row r="15" spans="1:8" x14ac:dyDescent="0.5">
      <c r="A15" s="63" t="s">
        <v>164</v>
      </c>
      <c r="B15" s="63"/>
      <c r="C15" s="63"/>
      <c r="D15" s="63"/>
      <c r="E15" s="63"/>
      <c r="F15" s="63"/>
      <c r="G15" s="63"/>
      <c r="H15" s="63"/>
    </row>
    <row r="16" spans="1:8" x14ac:dyDescent="0.5">
      <c r="A16" s="63" t="s">
        <v>165</v>
      </c>
      <c r="B16" s="63"/>
      <c r="C16" s="63"/>
      <c r="D16" s="63"/>
      <c r="E16" s="63"/>
      <c r="F16" s="63"/>
      <c r="G16" s="63"/>
      <c r="H16" s="63"/>
    </row>
  </sheetData>
  <mergeCells count="8">
    <mergeCell ref="A16:H16"/>
    <mergeCell ref="A1:H1"/>
    <mergeCell ref="A10:H10"/>
    <mergeCell ref="A11:H11"/>
    <mergeCell ref="A12:H12"/>
    <mergeCell ref="A13:H13"/>
    <mergeCell ref="A14:H14"/>
    <mergeCell ref="A15:H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316-C1A8-B940-88D8-B4664F0B78B0}">
  <dimension ref="A1:D13"/>
  <sheetViews>
    <sheetView zoomScale="150" zoomScaleNormal="150" workbookViewId="0">
      <selection activeCell="D10" sqref="D10"/>
    </sheetView>
  </sheetViews>
  <sheetFormatPr defaultColWidth="12.6875" defaultRowHeight="15.75" x14ac:dyDescent="0.5"/>
  <cols>
    <col min="1" max="2" width="12.5" style="23" bestFit="1" customWidth="1"/>
    <col min="3" max="3" width="11.5" style="23" bestFit="1" customWidth="1"/>
    <col min="4" max="4" width="10.3125" style="23" bestFit="1" customWidth="1"/>
    <col min="5" max="16384" width="12.6875" style="23"/>
  </cols>
  <sheetData>
    <row r="1" spans="1:4" x14ac:dyDescent="0.5">
      <c r="A1" s="64" t="s">
        <v>145</v>
      </c>
      <c r="B1" s="64"/>
      <c r="C1" s="64"/>
      <c r="D1" s="64"/>
    </row>
    <row r="2" spans="1:4" x14ac:dyDescent="0.5">
      <c r="B2" s="57" t="s">
        <v>1</v>
      </c>
      <c r="C2" s="57" t="s">
        <v>2</v>
      </c>
      <c r="D2" s="57" t="s">
        <v>3</v>
      </c>
    </row>
    <row r="3" spans="1:4" s="30" customFormat="1" ht="47.25" x14ac:dyDescent="0.5">
      <c r="A3" s="42" t="s">
        <v>52</v>
      </c>
      <c r="B3" s="42" t="s">
        <v>173</v>
      </c>
      <c r="C3" s="42" t="s">
        <v>174</v>
      </c>
      <c r="D3" s="42" t="s">
        <v>145</v>
      </c>
    </row>
    <row r="4" spans="1:4" x14ac:dyDescent="0.5">
      <c r="A4" s="24">
        <v>2013</v>
      </c>
      <c r="B4" s="58">
        <v>30985798</v>
      </c>
      <c r="C4" s="58">
        <v>334665</v>
      </c>
      <c r="D4" s="47">
        <f>C4/B4</f>
        <v>1.0800593226613043E-2</v>
      </c>
    </row>
    <row r="5" spans="1:4" x14ac:dyDescent="0.5">
      <c r="A5" s="24">
        <v>2014</v>
      </c>
      <c r="B5" s="58">
        <v>30903249</v>
      </c>
      <c r="C5" s="58">
        <v>238788</v>
      </c>
      <c r="D5" s="47">
        <f t="shared" ref="D5:D7" si="0">C5/B5</f>
        <v>7.7269545347804693E-3</v>
      </c>
    </row>
    <row r="6" spans="1:4" x14ac:dyDescent="0.5">
      <c r="A6" s="24">
        <v>2015</v>
      </c>
      <c r="B6" s="58">
        <v>34683131</v>
      </c>
      <c r="C6" s="58">
        <v>567247</v>
      </c>
      <c r="D6" s="47">
        <f t="shared" si="0"/>
        <v>1.6355126646438005E-2</v>
      </c>
    </row>
    <row r="7" spans="1:4" x14ac:dyDescent="0.5">
      <c r="A7" s="24" t="s">
        <v>0</v>
      </c>
      <c r="B7" s="56">
        <v>96572178</v>
      </c>
      <c r="C7" s="56">
        <v>1140700</v>
      </c>
      <c r="D7" s="47">
        <f t="shared" si="0"/>
        <v>1.1811890584056206E-2</v>
      </c>
    </row>
    <row r="9" spans="1:4" x14ac:dyDescent="0.5">
      <c r="B9" s="23" t="s">
        <v>175</v>
      </c>
      <c r="D9" s="39">
        <f>D7</f>
        <v>1.1811890584056206E-2</v>
      </c>
    </row>
    <row r="10" spans="1:4" x14ac:dyDescent="0.5">
      <c r="B10" s="23" t="s">
        <v>62</v>
      </c>
      <c r="D10" s="59">
        <f>1+D9</f>
        <v>1.0118118905840563</v>
      </c>
    </row>
    <row r="12" spans="1:4" x14ac:dyDescent="0.5">
      <c r="A12" s="23" t="s">
        <v>56</v>
      </c>
    </row>
    <row r="13" spans="1:4" x14ac:dyDescent="0.5">
      <c r="A13" s="23" t="s">
        <v>176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Page B-5</vt:lpstr>
      <vt:lpstr>Page B-6</vt:lpstr>
      <vt:lpstr>Page B-7</vt:lpstr>
      <vt:lpstr>Page B-8</vt:lpstr>
      <vt:lpstr>Page B-9</vt:lpstr>
      <vt:lpstr>Page B-10</vt:lpstr>
      <vt:lpstr>Page B-12</vt:lpstr>
      <vt:lpstr>Page B-13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Patashnick, Glen Michael</dc:creator>
  <cp:lastModifiedBy>Mohr, William</cp:lastModifiedBy>
  <dcterms:created xsi:type="dcterms:W3CDTF">2022-03-23T18:09:28Z</dcterms:created>
  <dcterms:modified xsi:type="dcterms:W3CDTF">2024-03-28T02:10:41Z</dcterms:modified>
</cp:coreProperties>
</file>