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Web Sc\CSGOstash\Try2\"/>
    </mc:Choice>
  </mc:AlternateContent>
  <xr:revisionPtr revIDLastSave="0" documentId="13_ncr:1_{65D7B3C9-83E1-4D47-9F17-1BD881C35125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The+Norse+Collection_guns" sheetId="1" r:id="rId1"/>
    <sheet name="Buys" sheetId="2" r:id="rId2"/>
    <sheet name="Buys v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5" i="2" l="1"/>
  <c r="T26" i="2"/>
  <c r="I7" i="3"/>
  <c r="S26" i="2" l="1"/>
  <c r="S23" i="2"/>
  <c r="I6" i="3"/>
  <c r="I8" i="3" s="1"/>
  <c r="I5" i="3"/>
  <c r="Q29" i="2"/>
  <c r="Q28" i="2"/>
  <c r="J35" i="2" l="1"/>
  <c r="S20" i="2"/>
  <c r="S21" i="2"/>
  <c r="Q4" i="2" l="1"/>
  <c r="M5" i="2" s="1"/>
  <c r="M22" i="2"/>
  <c r="M23" i="2" s="1"/>
  <c r="Q5" i="2"/>
  <c r="M30" i="2"/>
  <c r="M31" i="2" s="1"/>
  <c r="M14" i="2"/>
  <c r="M15" i="2" s="1"/>
  <c r="M6" i="2"/>
  <c r="M29" i="2"/>
  <c r="M13" i="2"/>
  <c r="M28" i="2"/>
  <c r="M20" i="2"/>
  <c r="M12" i="2"/>
  <c r="Q14" i="1"/>
  <c r="M21" i="2" l="1"/>
  <c r="M7" i="2"/>
  <c r="Q15" i="1"/>
  <c r="R15" i="1" s="1"/>
  <c r="H2" i="1"/>
  <c r="M5" i="1"/>
  <c r="M6" i="1"/>
  <c r="M4" i="1"/>
  <c r="H3" i="1"/>
  <c r="M3" i="1" l="1"/>
  <c r="J10" i="1"/>
  <c r="J8" i="1" l="1"/>
  <c r="J12" i="1" l="1"/>
  <c r="J13" i="1" s="1"/>
  <c r="N11" i="1" s="1"/>
  <c r="M4" i="2"/>
</calcChain>
</file>

<file path=xl/sharedStrings.xml><?xml version="1.0" encoding="utf-8"?>
<sst xmlns="http://schemas.openxmlformats.org/spreadsheetml/2006/main" count="178" uniqueCount="68">
  <si>
    <t>Name</t>
  </si>
  <si>
    <t>Rarity</t>
  </si>
  <si>
    <t>Price</t>
  </si>
  <si>
    <t>Price x 10</t>
  </si>
  <si>
    <t>Max Avg. Float input</t>
  </si>
  <si>
    <t>MW</t>
  </si>
  <si>
    <t>FT</t>
  </si>
  <si>
    <t>Mil-Spec</t>
  </si>
  <si>
    <t>Minimal Wear_MAC-10-Copper-Borre</t>
  </si>
  <si>
    <t>Field-Tested_MAC-10-Copper-Borre</t>
  </si>
  <si>
    <t>Well-Worn_MAC-10-Copper-Borre</t>
  </si>
  <si>
    <t>Battle-Scarred_MAC-10-Copper-Borre</t>
  </si>
  <si>
    <t>Factory New_XM1014-Frost-Borre</t>
  </si>
  <si>
    <t>Minimal Wear_XM1014-Frost-Borre</t>
  </si>
  <si>
    <t>Field-Tested_XM1014-Frost-Borre</t>
  </si>
  <si>
    <t>Well-Worn_XM1014-Frost-Borre</t>
  </si>
  <si>
    <t>Battle-Scarred_XM1014-Frost-Borre</t>
  </si>
  <si>
    <t>Factory New_CZ75-Auto-Emerald-Quartz</t>
  </si>
  <si>
    <t>Minimal Wear_CZ75-Auto-Emerald-Quartz</t>
  </si>
  <si>
    <t>Field-Tested_CZ75-Auto-Emerald-Quartz</t>
  </si>
  <si>
    <t>Well-Worn_CZ75-Auto-Emerald-Quartz</t>
  </si>
  <si>
    <t>Battle-Scarred_CZ75-Auto-Emerald-Quartz</t>
  </si>
  <si>
    <t>Factory New_SCAR-20-Brass</t>
  </si>
  <si>
    <t>Minimal Wear_SCAR-20-Brass</t>
  </si>
  <si>
    <t>Field-Tested_SCAR-20-Brass</t>
  </si>
  <si>
    <t>Well-Worn_SCAR-20-Brass</t>
  </si>
  <si>
    <t>Battle-Scarred_SCAR-20-Brass</t>
  </si>
  <si>
    <t>Industrial</t>
  </si>
  <si>
    <t>Factory New_Dual-Berettas-Pyre</t>
  </si>
  <si>
    <t>Minimal Wear_Dual-Berettas-Pyre</t>
  </si>
  <si>
    <t>Field-Tested_Dual-Berettas-Pyre</t>
  </si>
  <si>
    <t>Well-Worn_Dual-Berettas-Pyre</t>
  </si>
  <si>
    <t>Battle-Scarred_Dual-Berettas-Pyre</t>
  </si>
  <si>
    <t>Factory New_MAG-7-Chainmail</t>
  </si>
  <si>
    <t>Minimal Wear_MAG-7-Chainmail</t>
  </si>
  <si>
    <t>Field-Tested_MAG-7-Chainmail</t>
  </si>
  <si>
    <t>Factory New_USP-S-Pathfinder</t>
  </si>
  <si>
    <t>Minimal Wear_USP-S-Pathfinder</t>
  </si>
  <si>
    <t>Field-Tested_USP-S-Pathfinder</t>
  </si>
  <si>
    <t>Factory New_M4A1-S-Moss-Quartz</t>
  </si>
  <si>
    <t>Minimal Wear_M4A1-S-Moss-Quartz</t>
  </si>
  <si>
    <t>Field-Tested_M4A1-S-Moss-Quartz</t>
  </si>
  <si>
    <t>Well-Worn_M4A1-S-Moss-Quartz</t>
  </si>
  <si>
    <t>Battle-Scarred_M4A1-S-Moss-Quartz</t>
  </si>
  <si>
    <t>outputs</t>
  </si>
  <si>
    <t>Train Collection</t>
  </si>
  <si>
    <t>total output</t>
  </si>
  <si>
    <t>Norse</t>
  </si>
  <si>
    <t>Train</t>
  </si>
  <si>
    <t>Cost</t>
  </si>
  <si>
    <t>Norse Output</t>
  </si>
  <si>
    <t>FLt Value</t>
  </si>
  <si>
    <t>Float</t>
  </si>
  <si>
    <t>Profit %</t>
  </si>
  <si>
    <t>total Space</t>
  </si>
  <si>
    <t>space left</t>
  </si>
  <si>
    <t>price</t>
  </si>
  <si>
    <t>float</t>
  </si>
  <si>
    <t>Dual</t>
  </si>
  <si>
    <t>Left</t>
  </si>
  <si>
    <t>Aim</t>
  </si>
  <si>
    <t>output</t>
  </si>
  <si>
    <t>%</t>
  </si>
  <si>
    <t>total</t>
  </si>
  <si>
    <t>win</t>
  </si>
  <si>
    <t>Expected</t>
  </si>
  <si>
    <t>filled</t>
  </si>
  <si>
    <t>Not Bought Floats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</si>
</sst>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1" fillId="6" borderId="4" xfId="11"/>
    <xf numFmtId="0" fontId="6" fillId="2" borderId="4" xfId="6" applyBorder="1"/>
    <xf numFmtId="0" fontId="7" fillId="3" borderId="0" xfId="7"/>
    <xf numFmtId="9" fontId="0" fillId="0" borderId="0" xfId="42" applyFont="1"/>
    <xf numFmtId="0" fontId="6" fillId="2" borderId="0" xfId="6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workbookViewId="0">
      <selection activeCell="N28" sqref="N28"/>
    </sheetView>
  </sheetViews>
  <sheetFormatPr defaultRowHeight="15" x14ac:dyDescent="0.25"/>
  <cols>
    <col min="1" max="1" width="63.140625" bestFit="1" customWidth="1"/>
    <col min="2" max="2" width="10" bestFit="1" customWidth="1"/>
    <col min="3" max="3" width="7" bestFit="1" customWidth="1"/>
    <col min="4" max="4" width="39.140625" bestFit="1" customWidth="1"/>
    <col min="5" max="5" width="19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1" x14ac:dyDescent="0.25">
      <c r="A2" s="5" t="s">
        <v>8</v>
      </c>
      <c r="B2" s="5" t="s">
        <v>7</v>
      </c>
      <c r="C2" s="5">
        <v>7.78</v>
      </c>
      <c r="D2" s="5">
        <v>77.8</v>
      </c>
      <c r="E2" s="5">
        <v>0.3</v>
      </c>
      <c r="G2" s="1" t="s">
        <v>50</v>
      </c>
      <c r="H2" s="1">
        <f>AVERAGE(C2,C7,C12,C18)</f>
        <v>7.7525000000000004</v>
      </c>
    </row>
    <row r="3" spans="1:21" x14ac:dyDescent="0.25">
      <c r="A3" t="s">
        <v>9</v>
      </c>
      <c r="B3" t="s">
        <v>7</v>
      </c>
      <c r="C3">
        <v>7.22</v>
      </c>
      <c r="D3">
        <v>72.2</v>
      </c>
      <c r="E3">
        <v>0.76</v>
      </c>
      <c r="G3" t="s">
        <v>51</v>
      </c>
      <c r="H3">
        <f>E12</f>
        <v>0.214285714285714</v>
      </c>
      <c r="J3" t="s">
        <v>49</v>
      </c>
      <c r="K3" t="s">
        <v>52</v>
      </c>
      <c r="M3">
        <f>SUM(M4:M6)/10</f>
        <v>0.17499999999999999</v>
      </c>
    </row>
    <row r="4" spans="1:21" x14ac:dyDescent="0.25">
      <c r="A4" t="s">
        <v>10</v>
      </c>
      <c r="B4" t="s">
        <v>7</v>
      </c>
      <c r="C4">
        <v>7.58</v>
      </c>
      <c r="D4">
        <v>75.8</v>
      </c>
      <c r="E4">
        <v>0.9</v>
      </c>
      <c r="G4" t="s">
        <v>47</v>
      </c>
      <c r="H4" t="s">
        <v>6</v>
      </c>
      <c r="I4">
        <v>2</v>
      </c>
      <c r="J4">
        <v>0.84</v>
      </c>
      <c r="K4">
        <v>0.19</v>
      </c>
      <c r="M4">
        <f>K4*I4</f>
        <v>0.38</v>
      </c>
      <c r="O4" t="s">
        <v>45</v>
      </c>
    </row>
    <row r="5" spans="1:21" x14ac:dyDescent="0.25">
      <c r="A5" t="s">
        <v>11</v>
      </c>
      <c r="B5" t="s">
        <v>7</v>
      </c>
      <c r="C5">
        <v>6.47</v>
      </c>
      <c r="D5">
        <v>64.7</v>
      </c>
      <c r="E5">
        <v>2</v>
      </c>
      <c r="G5" t="s">
        <v>48</v>
      </c>
      <c r="H5" t="s">
        <v>6</v>
      </c>
      <c r="I5">
        <v>6</v>
      </c>
      <c r="J5">
        <v>0.13</v>
      </c>
      <c r="K5">
        <v>0.2</v>
      </c>
      <c r="M5">
        <f>K5*I5</f>
        <v>1.2000000000000002</v>
      </c>
    </row>
    <row r="6" spans="1:21" x14ac:dyDescent="0.25">
      <c r="A6" t="s">
        <v>12</v>
      </c>
      <c r="B6" t="s">
        <v>7</v>
      </c>
      <c r="C6">
        <v>8.2100000000000009</v>
      </c>
      <c r="D6">
        <v>82.1</v>
      </c>
      <c r="E6">
        <v>0.14000000000000001</v>
      </c>
      <c r="G6" t="s">
        <v>48</v>
      </c>
      <c r="H6" t="s">
        <v>5</v>
      </c>
      <c r="I6">
        <v>2</v>
      </c>
      <c r="J6">
        <v>0.16</v>
      </c>
      <c r="K6">
        <v>8.5000000000000006E-2</v>
      </c>
      <c r="M6">
        <f>K6*I6</f>
        <v>0.17</v>
      </c>
      <c r="P6" t="s">
        <v>48</v>
      </c>
      <c r="R6" t="s">
        <v>48</v>
      </c>
      <c r="T6" t="s">
        <v>47</v>
      </c>
    </row>
    <row r="7" spans="1:21" x14ac:dyDescent="0.25">
      <c r="A7" s="5" t="s">
        <v>13</v>
      </c>
      <c r="B7" s="5" t="s">
        <v>7</v>
      </c>
      <c r="C7" s="5">
        <v>7.78</v>
      </c>
      <c r="D7" s="5">
        <v>77.8</v>
      </c>
      <c r="E7" s="5">
        <v>0.3</v>
      </c>
      <c r="P7" t="s">
        <v>5</v>
      </c>
      <c r="Q7">
        <v>7.3594897985459998E-2</v>
      </c>
      <c r="R7" t="s">
        <v>6</v>
      </c>
      <c r="S7">
        <v>0.16690465807915</v>
      </c>
      <c r="T7" t="s">
        <v>6</v>
      </c>
      <c r="U7">
        <v>0.18042591214180001</v>
      </c>
    </row>
    <row r="8" spans="1:21" x14ac:dyDescent="0.25">
      <c r="A8" t="s">
        <v>14</v>
      </c>
      <c r="B8" t="s">
        <v>7</v>
      </c>
      <c r="C8">
        <v>7.07</v>
      </c>
      <c r="D8">
        <v>70.7</v>
      </c>
      <c r="E8">
        <v>0.76</v>
      </c>
      <c r="I8" s="3" t="s">
        <v>49</v>
      </c>
      <c r="J8" s="3">
        <f>J6*I6+J5*I5+J4*I4</f>
        <v>2.7800000000000002</v>
      </c>
      <c r="P8" t="s">
        <v>5</v>
      </c>
      <c r="Q8">
        <v>7.9926326870919995E-2</v>
      </c>
      <c r="R8" t="s">
        <v>6</v>
      </c>
      <c r="S8">
        <v>0.1868986338377</v>
      </c>
      <c r="T8" t="s">
        <v>6</v>
      </c>
      <c r="U8">
        <v>0.18127793073654</v>
      </c>
    </row>
    <row r="9" spans="1:21" x14ac:dyDescent="0.25">
      <c r="A9" t="s">
        <v>15</v>
      </c>
      <c r="B9" t="s">
        <v>7</v>
      </c>
      <c r="C9">
        <v>6.75</v>
      </c>
      <c r="D9">
        <v>67.5</v>
      </c>
      <c r="E9">
        <v>0.9</v>
      </c>
      <c r="R9" t="s">
        <v>6</v>
      </c>
    </row>
    <row r="10" spans="1:21" x14ac:dyDescent="0.25">
      <c r="A10" t="s">
        <v>16</v>
      </c>
      <c r="B10" t="s">
        <v>7</v>
      </c>
      <c r="C10">
        <v>6.16</v>
      </c>
      <c r="D10">
        <v>61.6</v>
      </c>
      <c r="E10">
        <v>2</v>
      </c>
      <c r="H10" t="s">
        <v>44</v>
      </c>
      <c r="I10">
        <v>2</v>
      </c>
      <c r="J10">
        <f>(4*I4)/(4*I4+I10*(I5+I6))</f>
        <v>0.33333333333333331</v>
      </c>
      <c r="R10" t="s">
        <v>6</v>
      </c>
    </row>
    <row r="11" spans="1:21" x14ac:dyDescent="0.25">
      <c r="A11" t="s">
        <v>17</v>
      </c>
      <c r="B11" t="s">
        <v>7</v>
      </c>
      <c r="C11">
        <v>8.49</v>
      </c>
      <c r="D11">
        <v>84.9</v>
      </c>
      <c r="E11">
        <v>0.1</v>
      </c>
      <c r="M11" t="s">
        <v>53</v>
      </c>
      <c r="N11" s="4">
        <f>J13/J8 - 1</f>
        <v>0.18135491606714615</v>
      </c>
      <c r="R11" t="s">
        <v>6</v>
      </c>
    </row>
    <row r="12" spans="1:21" x14ac:dyDescent="0.25">
      <c r="A12" s="5" t="s">
        <v>18</v>
      </c>
      <c r="B12" s="5" t="s">
        <v>7</v>
      </c>
      <c r="C12" s="5">
        <v>8.06</v>
      </c>
      <c r="D12" s="5">
        <v>80.599999999999994</v>
      </c>
      <c r="E12" s="5">
        <v>0.214285714285714</v>
      </c>
      <c r="J12">
        <f>J10*H2</f>
        <v>2.5841666666666665</v>
      </c>
      <c r="K12">
        <v>0.7</v>
      </c>
      <c r="R12" t="s">
        <v>6</v>
      </c>
    </row>
    <row r="13" spans="1:21" x14ac:dyDescent="0.25">
      <c r="A13" t="s">
        <v>19</v>
      </c>
      <c r="B13" t="s">
        <v>7</v>
      </c>
      <c r="C13">
        <v>6.67</v>
      </c>
      <c r="D13">
        <v>66.7</v>
      </c>
      <c r="E13">
        <v>0.54285714285714204</v>
      </c>
      <c r="I13" s="2" t="s">
        <v>46</v>
      </c>
      <c r="J13" s="2">
        <f>J12+K12</f>
        <v>3.2841666666666667</v>
      </c>
    </row>
    <row r="14" spans="1:21" x14ac:dyDescent="0.25">
      <c r="A14" t="s">
        <v>20</v>
      </c>
      <c r="B14" t="s">
        <v>7</v>
      </c>
      <c r="C14">
        <v>6.83</v>
      </c>
      <c r="D14">
        <v>68.3</v>
      </c>
      <c r="E14">
        <v>0.64285714285714202</v>
      </c>
      <c r="P14" t="s">
        <v>54</v>
      </c>
      <c r="Q14">
        <f>SUM(Q7:Q8,S7:S12,U7:U8)</f>
        <v>0.86902835965156999</v>
      </c>
    </row>
    <row r="15" spans="1:21" x14ac:dyDescent="0.25">
      <c r="A15" t="s">
        <v>21</v>
      </c>
      <c r="B15" t="s">
        <v>7</v>
      </c>
      <c r="C15">
        <v>6.55</v>
      </c>
      <c r="D15">
        <v>65.5</v>
      </c>
      <c r="E15">
        <v>1.4285714285714199</v>
      </c>
      <c r="P15" t="s">
        <v>55</v>
      </c>
      <c r="Q15">
        <f>(H3*10-Q14)</f>
        <v>1.2738287832055701</v>
      </c>
      <c r="R15">
        <f>Q15/8</f>
        <v>0.15922859790069627</v>
      </c>
    </row>
    <row r="16" spans="1:21" x14ac:dyDescent="0.25">
      <c r="A16" t="s">
        <v>22</v>
      </c>
      <c r="B16" t="s">
        <v>7</v>
      </c>
      <c r="C16">
        <v>8.09</v>
      </c>
      <c r="D16">
        <v>80.900000000000006</v>
      </c>
      <c r="E16">
        <v>7.0000000000000007E-2</v>
      </c>
    </row>
    <row r="17" spans="1:9" x14ac:dyDescent="0.25">
      <c r="A17" s="5" t="s">
        <v>23</v>
      </c>
      <c r="B17" s="5" t="s">
        <v>7</v>
      </c>
      <c r="C17" s="5">
        <v>7.72</v>
      </c>
      <c r="D17" s="5">
        <v>77.2</v>
      </c>
      <c r="E17" s="5">
        <v>0.15</v>
      </c>
    </row>
    <row r="18" spans="1:9" x14ac:dyDescent="0.25">
      <c r="A18" t="s">
        <v>24</v>
      </c>
      <c r="B18" t="s">
        <v>7</v>
      </c>
      <c r="C18">
        <v>7.39</v>
      </c>
      <c r="D18">
        <v>73.899999999999906</v>
      </c>
      <c r="E18">
        <v>0.38</v>
      </c>
    </row>
    <row r="19" spans="1:9" x14ac:dyDescent="0.25">
      <c r="A19" t="s">
        <v>25</v>
      </c>
      <c r="B19" t="s">
        <v>7</v>
      </c>
      <c r="C19">
        <v>6.17</v>
      </c>
      <c r="D19">
        <v>61.7</v>
      </c>
      <c r="E19">
        <v>0.45</v>
      </c>
    </row>
    <row r="20" spans="1:9" x14ac:dyDescent="0.25">
      <c r="A20" t="s">
        <v>26</v>
      </c>
      <c r="B20" t="s">
        <v>7</v>
      </c>
      <c r="C20">
        <v>6.38</v>
      </c>
      <c r="D20">
        <v>63.8</v>
      </c>
      <c r="E20">
        <v>1</v>
      </c>
      <c r="H20" t="s">
        <v>58</v>
      </c>
      <c r="I20" t="s">
        <v>58</v>
      </c>
    </row>
    <row r="21" spans="1:9" x14ac:dyDescent="0.25">
      <c r="A21" t="s">
        <v>28</v>
      </c>
      <c r="B21" t="s">
        <v>27</v>
      </c>
      <c r="C21">
        <v>1.74</v>
      </c>
      <c r="D21">
        <v>17.399999999999999</v>
      </c>
      <c r="E21">
        <v>2.04081632653061E-2</v>
      </c>
      <c r="G21" t="s">
        <v>56</v>
      </c>
      <c r="H21">
        <v>0.84</v>
      </c>
      <c r="I21">
        <v>0.84</v>
      </c>
    </row>
    <row r="22" spans="1:9" x14ac:dyDescent="0.25">
      <c r="A22" t="s">
        <v>29</v>
      </c>
      <c r="B22" t="s">
        <v>27</v>
      </c>
      <c r="C22">
        <v>0.83</v>
      </c>
      <c r="D22">
        <v>8.2999999999999901</v>
      </c>
      <c r="E22">
        <v>0.183673469387755</v>
      </c>
      <c r="G22" t="s">
        <v>57</v>
      </c>
      <c r="H22">
        <v>0.18042591214180001</v>
      </c>
      <c r="I22">
        <v>0.18127793073654</v>
      </c>
    </row>
    <row r="23" spans="1:9" x14ac:dyDescent="0.25">
      <c r="A23" t="s">
        <v>30</v>
      </c>
      <c r="B23" t="s">
        <v>27</v>
      </c>
      <c r="C23">
        <v>0.76</v>
      </c>
      <c r="D23">
        <v>7.6</v>
      </c>
      <c r="E23">
        <v>0.65306122448979498</v>
      </c>
    </row>
    <row r="24" spans="1:9" x14ac:dyDescent="0.25">
      <c r="A24" t="s">
        <v>31</v>
      </c>
      <c r="B24" t="s">
        <v>27</v>
      </c>
      <c r="C24">
        <v>0.75</v>
      </c>
      <c r="D24">
        <v>7.5</v>
      </c>
      <c r="E24">
        <v>0.79591836734693799</v>
      </c>
    </row>
    <row r="25" spans="1:9" x14ac:dyDescent="0.25">
      <c r="A25" t="s">
        <v>32</v>
      </c>
      <c r="B25" t="s">
        <v>27</v>
      </c>
      <c r="C25">
        <v>0.76</v>
      </c>
      <c r="D25">
        <v>7.6</v>
      </c>
      <c r="E25">
        <v>1.9183673469387701</v>
      </c>
    </row>
    <row r="26" spans="1:9" x14ac:dyDescent="0.25">
      <c r="A26" t="s">
        <v>33</v>
      </c>
      <c r="B26" t="s">
        <v>27</v>
      </c>
      <c r="C26">
        <v>0.91</v>
      </c>
      <c r="D26">
        <v>9.1</v>
      </c>
      <c r="E26">
        <v>0.31818181818181801</v>
      </c>
    </row>
    <row r="27" spans="1:9" x14ac:dyDescent="0.25">
      <c r="A27" t="s">
        <v>34</v>
      </c>
      <c r="B27" t="s">
        <v>27</v>
      </c>
      <c r="C27">
        <v>0.83</v>
      </c>
      <c r="D27">
        <v>8.2999999999999901</v>
      </c>
      <c r="E27">
        <v>0.68181818181818099</v>
      </c>
    </row>
    <row r="28" spans="1:9" x14ac:dyDescent="0.25">
      <c r="A28" t="s">
        <v>35</v>
      </c>
      <c r="B28" t="s">
        <v>27</v>
      </c>
      <c r="C28">
        <v>0.82</v>
      </c>
      <c r="D28">
        <v>8.1999999999999993</v>
      </c>
      <c r="E28">
        <v>1.72727272727272</v>
      </c>
    </row>
    <row r="29" spans="1:9" x14ac:dyDescent="0.25">
      <c r="A29" t="s">
        <v>36</v>
      </c>
      <c r="B29" t="s">
        <v>27</v>
      </c>
      <c r="C29">
        <v>0.9</v>
      </c>
      <c r="D29">
        <v>9</v>
      </c>
      <c r="E29">
        <v>0.2</v>
      </c>
    </row>
    <row r="30" spans="1:9" x14ac:dyDescent="0.25">
      <c r="A30" t="s">
        <v>37</v>
      </c>
      <c r="B30" t="s">
        <v>27</v>
      </c>
      <c r="C30">
        <v>0.84</v>
      </c>
      <c r="D30">
        <v>8.4</v>
      </c>
      <c r="E30">
        <v>0.42857142857142799</v>
      </c>
    </row>
    <row r="31" spans="1:9" x14ac:dyDescent="0.25">
      <c r="A31" t="s">
        <v>38</v>
      </c>
      <c r="B31" t="s">
        <v>27</v>
      </c>
      <c r="C31">
        <v>0.79</v>
      </c>
      <c r="D31">
        <v>7.9</v>
      </c>
      <c r="E31">
        <v>1.0857142857142801</v>
      </c>
    </row>
    <row r="32" spans="1:9" x14ac:dyDescent="0.25">
      <c r="A32" t="s">
        <v>39</v>
      </c>
      <c r="B32" t="s">
        <v>27</v>
      </c>
      <c r="C32">
        <v>0.94</v>
      </c>
      <c r="D32">
        <v>9.3999999999999897</v>
      </c>
      <c r="E32">
        <v>0.14000000000000001</v>
      </c>
    </row>
    <row r="33" spans="1:5" x14ac:dyDescent="0.25">
      <c r="A33" t="s">
        <v>40</v>
      </c>
      <c r="B33" t="s">
        <v>27</v>
      </c>
      <c r="C33">
        <v>0.84</v>
      </c>
      <c r="D33">
        <v>8.4</v>
      </c>
      <c r="E33">
        <v>0.3</v>
      </c>
    </row>
    <row r="34" spans="1:5" x14ac:dyDescent="0.25">
      <c r="A34" t="s">
        <v>41</v>
      </c>
      <c r="B34" t="s">
        <v>27</v>
      </c>
      <c r="C34">
        <v>0.78</v>
      </c>
      <c r="D34">
        <v>7.8</v>
      </c>
      <c r="E34">
        <v>0.76</v>
      </c>
    </row>
    <row r="35" spans="1:5" x14ac:dyDescent="0.25">
      <c r="A35" t="s">
        <v>42</v>
      </c>
      <c r="B35" t="s">
        <v>27</v>
      </c>
      <c r="C35">
        <v>0.8</v>
      </c>
      <c r="D35">
        <v>8</v>
      </c>
      <c r="E35">
        <v>0.9</v>
      </c>
    </row>
    <row r="36" spans="1:5" x14ac:dyDescent="0.25">
      <c r="A36" t="s">
        <v>43</v>
      </c>
      <c r="B36" t="s">
        <v>27</v>
      </c>
      <c r="C36">
        <v>0.85</v>
      </c>
      <c r="D36">
        <v>8.5</v>
      </c>
      <c r="E36"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981F-6863-458A-A835-6DF4117112F2}">
  <dimension ref="A1:V35"/>
  <sheetViews>
    <sheetView tabSelected="1" workbookViewId="0">
      <selection activeCell="A3" sqref="A3:G5"/>
    </sheetView>
  </sheetViews>
  <sheetFormatPr defaultRowHeight="15" x14ac:dyDescent="0.25"/>
  <cols>
    <col min="5" max="5" width="10" bestFit="1" customWidth="1"/>
    <col min="9" max="9" width="12.7109375" bestFit="1" customWidth="1"/>
  </cols>
  <sheetData>
    <row r="1" spans="1:22" ht="15.75" thickBot="1" x14ac:dyDescent="0.3">
      <c r="B1">
        <v>2</v>
      </c>
      <c r="C1" t="s">
        <v>6</v>
      </c>
      <c r="F1">
        <v>2</v>
      </c>
      <c r="G1" t="s">
        <v>5</v>
      </c>
      <c r="J1">
        <v>6</v>
      </c>
      <c r="K1" t="s">
        <v>6</v>
      </c>
    </row>
    <row r="2" spans="1:22" x14ac:dyDescent="0.25">
      <c r="A2" s="6" t="s">
        <v>0</v>
      </c>
      <c r="B2" s="7" t="s">
        <v>2</v>
      </c>
      <c r="C2" s="8" t="s">
        <v>52</v>
      </c>
      <c r="E2" s="6" t="s">
        <v>0</v>
      </c>
      <c r="F2" s="7" t="s">
        <v>2</v>
      </c>
      <c r="G2" s="8" t="s">
        <v>52</v>
      </c>
      <c r="I2" s="6" t="s">
        <v>0</v>
      </c>
      <c r="J2" s="7" t="s">
        <v>2</v>
      </c>
      <c r="K2" s="8" t="s">
        <v>52</v>
      </c>
    </row>
    <row r="3" spans="1:22" x14ac:dyDescent="0.25">
      <c r="A3" s="9"/>
      <c r="B3" s="10"/>
      <c r="C3" s="11"/>
      <c r="E3" s="9"/>
      <c r="F3" s="10"/>
      <c r="G3" s="11"/>
      <c r="I3" s="9"/>
      <c r="J3" s="10">
        <v>0.12</v>
      </c>
      <c r="K3" s="11">
        <v>0.20949999999999999</v>
      </c>
    </row>
    <row r="4" spans="1:22" ht="15.75" thickBot="1" x14ac:dyDescent="0.3">
      <c r="A4" s="12"/>
      <c r="B4" s="13"/>
      <c r="C4" s="14"/>
      <c r="E4" s="12"/>
      <c r="F4" s="13"/>
      <c r="G4" s="14"/>
      <c r="I4" s="9"/>
      <c r="J4" s="10">
        <v>0.12</v>
      </c>
      <c r="K4" s="11">
        <v>0.17580000000000001</v>
      </c>
      <c r="M4">
        <f>AVERAGE(K3:K8,G3:G4,C3:C4)</f>
        <v>0.19677500000000001</v>
      </c>
      <c r="N4" t="s">
        <v>52</v>
      </c>
      <c r="P4" t="s">
        <v>60</v>
      </c>
      <c r="Q4">
        <f>'The+Norse+Collection_guns'!H3</f>
        <v>0.214285714285714</v>
      </c>
    </row>
    <row r="5" spans="1:22" x14ac:dyDescent="0.25">
      <c r="I5" s="9"/>
      <c r="J5" s="15">
        <v>0.12</v>
      </c>
      <c r="K5" s="11">
        <v>0.22650000000000001</v>
      </c>
      <c r="M5">
        <f>(10*$Q$4-SUM(K3:K8,G3:G4,C3:C4))/(10-COUNTA(C3:C4,G3:G4,K3:K8))</f>
        <v>0.22595952380952333</v>
      </c>
      <c r="N5" t="s">
        <v>59</v>
      </c>
      <c r="P5" t="s">
        <v>61</v>
      </c>
      <c r="Q5">
        <f>'The+Norse+Collection_guns'!J13</f>
        <v>3.2841666666666667</v>
      </c>
    </row>
    <row r="6" spans="1:22" x14ac:dyDescent="0.25">
      <c r="I6" s="9"/>
      <c r="J6" s="15">
        <v>0.12</v>
      </c>
      <c r="K6" s="11">
        <v>0.17530000000000001</v>
      </c>
      <c r="M6">
        <f>SUM(J3:J8,F3:F4,B3:B4)</f>
        <v>0.72</v>
      </c>
      <c r="N6" t="s">
        <v>49</v>
      </c>
    </row>
    <row r="7" spans="1:22" x14ac:dyDescent="0.25">
      <c r="I7" s="9"/>
      <c r="J7" s="15">
        <v>0.12</v>
      </c>
      <c r="K7" s="11"/>
      <c r="M7" s="4">
        <f>$Q$5/M6-1</f>
        <v>3.5613425925925926</v>
      </c>
      <c r="N7" t="s">
        <v>62</v>
      </c>
    </row>
    <row r="8" spans="1:22" ht="15.75" thickBot="1" x14ac:dyDescent="0.3">
      <c r="I8" s="12"/>
      <c r="J8" s="13">
        <v>0.12</v>
      </c>
      <c r="K8" s="11"/>
    </row>
    <row r="9" spans="1:22" ht="15.75" thickBot="1" x14ac:dyDescent="0.3"/>
    <row r="10" spans="1:22" x14ac:dyDescent="0.25">
      <c r="A10" s="6" t="s">
        <v>0</v>
      </c>
      <c r="B10" s="7" t="s">
        <v>2</v>
      </c>
      <c r="C10" s="8" t="s">
        <v>52</v>
      </c>
      <c r="E10" s="6" t="s">
        <v>0</v>
      </c>
      <c r="F10" s="7" t="s">
        <v>2</v>
      </c>
      <c r="G10" s="8" t="s">
        <v>52</v>
      </c>
      <c r="I10" s="6" t="s">
        <v>0</v>
      </c>
      <c r="J10" s="7" t="s">
        <v>2</v>
      </c>
      <c r="K10" s="8" t="s">
        <v>52</v>
      </c>
    </row>
    <row r="11" spans="1:22" x14ac:dyDescent="0.25">
      <c r="A11" s="9"/>
      <c r="B11" s="10"/>
      <c r="C11" s="11"/>
      <c r="E11" s="9"/>
      <c r="F11" s="10"/>
      <c r="G11" s="11"/>
      <c r="I11" s="9"/>
      <c r="J11" s="10"/>
      <c r="K11" s="11"/>
    </row>
    <row r="12" spans="1:22" ht="15.75" thickBot="1" x14ac:dyDescent="0.3">
      <c r="A12" s="12"/>
      <c r="B12" s="13"/>
      <c r="C12" s="14"/>
      <c r="E12" s="12"/>
      <c r="F12" s="13"/>
      <c r="G12" s="14"/>
      <c r="I12" s="9"/>
      <c r="J12" s="10"/>
      <c r="K12" s="11"/>
      <c r="M12" t="e">
        <f>AVERAGE(K11:K16,G11:G12,C11:C12)</f>
        <v>#DIV/0!</v>
      </c>
      <c r="N12" t="s">
        <v>52</v>
      </c>
    </row>
    <row r="13" spans="1:22" x14ac:dyDescent="0.25">
      <c r="I13" s="9"/>
      <c r="J13" s="10"/>
      <c r="K13" s="11"/>
      <c r="M13">
        <f>(10*$Q$4-SUM(K11:K16,G11:G12,C11:C12))/(10-COUNTA(C11:C12,G11:G12,K11:K16))</f>
        <v>0.21428571428571402</v>
      </c>
      <c r="N13" t="s">
        <v>59</v>
      </c>
      <c r="Q13">
        <v>2.46</v>
      </c>
    </row>
    <row r="14" spans="1:22" x14ac:dyDescent="0.25">
      <c r="I14" s="9"/>
      <c r="J14" s="10"/>
      <c r="K14" s="11"/>
      <c r="M14">
        <f>SUM(J11:J16,F11:F12,B11:B12)</f>
        <v>0</v>
      </c>
      <c r="N14" t="s">
        <v>49</v>
      </c>
    </row>
    <row r="15" spans="1:22" x14ac:dyDescent="0.25">
      <c r="I15" s="9"/>
      <c r="J15" s="10"/>
      <c r="K15" s="11"/>
      <c r="M15" s="4" t="e">
        <f>$Q$5/M14-1</f>
        <v>#DIV/0!</v>
      </c>
      <c r="N15" t="s">
        <v>62</v>
      </c>
      <c r="V15">
        <f>0.11*8+0.75*2</f>
        <v>2.38</v>
      </c>
    </row>
    <row r="16" spans="1:22" ht="15.75" thickBot="1" x14ac:dyDescent="0.3">
      <c r="I16" s="12"/>
      <c r="J16" s="13"/>
      <c r="K16" s="14"/>
    </row>
    <row r="17" spans="1:20" ht="15.75" thickBot="1" x14ac:dyDescent="0.3"/>
    <row r="18" spans="1:20" x14ac:dyDescent="0.25">
      <c r="A18" s="6" t="s">
        <v>0</v>
      </c>
      <c r="B18" s="7" t="s">
        <v>2</v>
      </c>
      <c r="C18" s="8" t="s">
        <v>52</v>
      </c>
      <c r="E18" s="6" t="s">
        <v>0</v>
      </c>
      <c r="F18" s="7" t="s">
        <v>2</v>
      </c>
      <c r="G18" s="8" t="s">
        <v>52</v>
      </c>
      <c r="I18" s="6" t="s">
        <v>0</v>
      </c>
      <c r="J18" s="7" t="s">
        <v>2</v>
      </c>
      <c r="K18" s="8" t="s">
        <v>52</v>
      </c>
    </row>
    <row r="19" spans="1:20" x14ac:dyDescent="0.25">
      <c r="A19" s="9"/>
      <c r="B19" s="10"/>
      <c r="C19" s="11"/>
      <c r="E19" s="9"/>
      <c r="F19" s="10"/>
      <c r="G19" s="11"/>
      <c r="I19" s="9"/>
      <c r="J19" s="10">
        <v>0.12</v>
      </c>
      <c r="K19" s="11"/>
    </row>
    <row r="20" spans="1:20" ht="15.75" thickBot="1" x14ac:dyDescent="0.3">
      <c r="A20" s="12"/>
      <c r="B20" s="13"/>
      <c r="C20" s="14"/>
      <c r="E20" s="12"/>
      <c r="F20" s="13"/>
      <c r="G20" s="14"/>
      <c r="I20" s="9"/>
      <c r="J20" s="10">
        <v>0.12</v>
      </c>
      <c r="K20" s="11"/>
      <c r="M20" t="e">
        <f>AVERAGE(K19:K24,G19:G20,C19:C20)</f>
        <v>#DIV/0!</v>
      </c>
      <c r="N20" t="s">
        <v>52</v>
      </c>
      <c r="S20">
        <f>2.7*6</f>
        <v>16.200000000000003</v>
      </c>
    </row>
    <row r="21" spans="1:20" x14ac:dyDescent="0.25">
      <c r="I21" s="9"/>
      <c r="J21" s="10">
        <v>0.12</v>
      </c>
      <c r="K21" s="11"/>
      <c r="M21">
        <f>(10*$Q$4-SUM(K19:K24,G19:G20,C19:C20))/(10-COUNTA(C19:C20,G19:G20,K19:K24))</f>
        <v>0.21428571428571402</v>
      </c>
      <c r="N21" t="s">
        <v>59</v>
      </c>
      <c r="S21">
        <f>0.7*4+7.5+7</f>
        <v>17.3</v>
      </c>
    </row>
    <row r="22" spans="1:20" x14ac:dyDescent="0.25">
      <c r="I22" s="9"/>
      <c r="J22" s="10">
        <v>0.12</v>
      </c>
      <c r="K22" s="11"/>
      <c r="M22">
        <f>SUM(J19:J24,F19:F20,B19:B20)</f>
        <v>0.72</v>
      </c>
      <c r="N22" t="s">
        <v>49</v>
      </c>
    </row>
    <row r="23" spans="1:20" x14ac:dyDescent="0.25">
      <c r="I23" s="9"/>
      <c r="J23" s="10">
        <v>0.12</v>
      </c>
      <c r="K23" s="11"/>
      <c r="M23" s="4">
        <f>$Q$5/M22-1</f>
        <v>3.5613425925925926</v>
      </c>
      <c r="N23" t="s">
        <v>62</v>
      </c>
      <c r="Q23">
        <v>2.5</v>
      </c>
      <c r="R23">
        <v>7.8</v>
      </c>
      <c r="S23">
        <f>Q23/R23</f>
        <v>0.32051282051282054</v>
      </c>
    </row>
    <row r="24" spans="1:20" ht="15.75" thickBot="1" x14ac:dyDescent="0.3">
      <c r="I24" s="12"/>
      <c r="J24" s="13">
        <v>0.12</v>
      </c>
      <c r="K24" s="14"/>
    </row>
    <row r="25" spans="1:20" ht="15.75" thickBot="1" x14ac:dyDescent="0.3"/>
    <row r="26" spans="1:20" x14ac:dyDescent="0.25">
      <c r="A26" s="6" t="s">
        <v>0</v>
      </c>
      <c r="B26" s="7" t="s">
        <v>2</v>
      </c>
      <c r="C26" s="8" t="s">
        <v>52</v>
      </c>
      <c r="E26" s="6" t="s">
        <v>0</v>
      </c>
      <c r="F26" s="7" t="s">
        <v>2</v>
      </c>
      <c r="G26" s="8" t="s">
        <v>52</v>
      </c>
      <c r="I26" s="6" t="s">
        <v>0</v>
      </c>
      <c r="J26" s="7" t="s">
        <v>2</v>
      </c>
      <c r="K26" s="8" t="s">
        <v>52</v>
      </c>
      <c r="P26" t="s">
        <v>63</v>
      </c>
      <c r="Q26">
        <v>15</v>
      </c>
      <c r="S26">
        <f>Q26*Q23</f>
        <v>37.5</v>
      </c>
      <c r="T26">
        <f>R23*Q27+0.6*(Q26-Q27)</f>
        <v>37.799999999999997</v>
      </c>
    </row>
    <row r="27" spans="1:20" x14ac:dyDescent="0.25">
      <c r="A27" s="9"/>
      <c r="B27" s="10"/>
      <c r="C27" s="11"/>
      <c r="E27" s="9"/>
      <c r="F27" s="10"/>
      <c r="G27" s="11"/>
      <c r="I27" s="9"/>
      <c r="J27" s="10"/>
      <c r="K27" s="11"/>
      <c r="P27" t="s">
        <v>64</v>
      </c>
      <c r="Q27">
        <v>4</v>
      </c>
    </row>
    <row r="28" spans="1:20" ht="15.75" thickBot="1" x14ac:dyDescent="0.3">
      <c r="A28" s="12"/>
      <c r="B28" s="13"/>
      <c r="C28" s="14"/>
      <c r="E28" s="12"/>
      <c r="F28" s="13"/>
      <c r="G28" s="14"/>
      <c r="I28" s="9"/>
      <c r="J28" s="10"/>
      <c r="K28" s="11"/>
      <c r="M28" t="e">
        <f>AVERAGE(K27:K32,G27:G28,C27:C28)</f>
        <v>#DIV/0!</v>
      </c>
      <c r="N28" t="s">
        <v>52</v>
      </c>
      <c r="P28" t="s">
        <v>62</v>
      </c>
      <c r="Q28" s="4">
        <f>Q27/Q26</f>
        <v>0.26666666666666666</v>
      </c>
    </row>
    <row r="29" spans="1:20" x14ac:dyDescent="0.25">
      <c r="I29" s="9"/>
      <c r="J29" s="10"/>
      <c r="K29" s="11"/>
      <c r="M29">
        <f>(10*$Q$4-SUM(K27:K32,G27:G28,C27:C28))/(10-COUNTA(C27:C28,G27:G28,K27:K32))</f>
        <v>0.21428571428571402</v>
      </c>
      <c r="N29" t="s">
        <v>59</v>
      </c>
      <c r="P29" t="s">
        <v>65</v>
      </c>
      <c r="Q29" s="4">
        <f>1/3</f>
        <v>0.33333333333333331</v>
      </c>
    </row>
    <row r="30" spans="1:20" x14ac:dyDescent="0.25">
      <c r="I30" s="9"/>
      <c r="J30" s="10"/>
      <c r="K30" s="11"/>
      <c r="M30">
        <f>SUM(J27:J32,F27:F28,B27:B28)</f>
        <v>0</v>
      </c>
      <c r="N30" t="s">
        <v>49</v>
      </c>
    </row>
    <row r="31" spans="1:20" x14ac:dyDescent="0.25">
      <c r="I31" s="9"/>
      <c r="J31" s="10"/>
      <c r="K31" s="11"/>
      <c r="M31" s="4" t="e">
        <f>$Q$5/M30-1</f>
        <v>#DIV/0!</v>
      </c>
      <c r="N31" t="s">
        <v>62</v>
      </c>
    </row>
    <row r="32" spans="1:20" ht="15.75" thickBot="1" x14ac:dyDescent="0.3">
      <c r="I32" s="12"/>
      <c r="J32" s="13"/>
      <c r="K32" s="14"/>
    </row>
    <row r="35" spans="10:10" x14ac:dyDescent="0.25">
      <c r="J35">
        <f>SUM(J11:J16,J19:J24,J27:J32)</f>
        <v>0.72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7A22-97AD-450E-9C0A-3AAB22D5E994}">
  <dimension ref="B5:I13"/>
  <sheetViews>
    <sheetView workbookViewId="0">
      <selection activeCell="I8" sqref="I8"/>
    </sheetView>
  </sheetViews>
  <sheetFormatPr defaultRowHeight="15" x14ac:dyDescent="0.25"/>
  <cols>
    <col min="8" max="8" width="24.7109375" bestFit="1" customWidth="1"/>
  </cols>
  <sheetData>
    <row r="5" spans="2:9" ht="15.75" thickBot="1" x14ac:dyDescent="0.3">
      <c r="B5" t="s">
        <v>47</v>
      </c>
      <c r="C5" t="s">
        <v>6</v>
      </c>
      <c r="E5" t="s">
        <v>48</v>
      </c>
      <c r="F5" t="s">
        <v>6</v>
      </c>
      <c r="H5" t="s">
        <v>60</v>
      </c>
      <c r="I5">
        <f>'The+Norse+Collection_guns'!H3</f>
        <v>0.214285714285714</v>
      </c>
    </row>
    <row r="6" spans="2:9" x14ac:dyDescent="0.25">
      <c r="B6" s="6"/>
      <c r="C6" s="8">
        <v>0.2039</v>
      </c>
      <c r="E6" s="6"/>
      <c r="F6" s="8">
        <v>0.18808804452419001</v>
      </c>
      <c r="H6" t="s">
        <v>61</v>
      </c>
      <c r="I6">
        <f>AVERAGE(F6:F13,C6:C7)</f>
        <v>0.18643887560897443</v>
      </c>
    </row>
    <row r="7" spans="2:9" ht="15.75" thickBot="1" x14ac:dyDescent="0.3">
      <c r="B7" s="12"/>
      <c r="C7" s="14">
        <v>0.1981</v>
      </c>
      <c r="E7" s="9"/>
      <c r="F7" s="11">
        <v>0.16821281611919001</v>
      </c>
      <c r="H7" t="s">
        <v>66</v>
      </c>
      <c r="I7">
        <f>COUNTA(C6:C7,F6:F13)</f>
        <v>9</v>
      </c>
    </row>
    <row r="8" spans="2:9" x14ac:dyDescent="0.25">
      <c r="E8" s="9"/>
      <c r="F8" s="11">
        <v>0.1509752124548</v>
      </c>
      <c r="H8" t="s">
        <v>67</v>
      </c>
      <c r="I8">
        <f>(I5*10-I7*I6)/(10-I7)</f>
        <v>0.46490726237637015</v>
      </c>
    </row>
    <row r="9" spans="2:9" x14ac:dyDescent="0.25">
      <c r="E9" s="9"/>
      <c r="F9" s="11">
        <v>0.1941244751215</v>
      </c>
    </row>
    <row r="10" spans="2:9" x14ac:dyDescent="0.25">
      <c r="E10" s="9"/>
      <c r="F10" s="11">
        <v>0.19420756399632</v>
      </c>
    </row>
    <row r="11" spans="2:9" x14ac:dyDescent="0.25">
      <c r="E11" s="9"/>
      <c r="F11" s="11">
        <v>0.21031023561953999</v>
      </c>
    </row>
    <row r="12" spans="2:9" x14ac:dyDescent="0.25">
      <c r="E12" s="9"/>
      <c r="F12" s="11">
        <v>0.17003153264522999</v>
      </c>
    </row>
    <row r="13" spans="2:9" ht="15.75" thickBot="1" x14ac:dyDescent="0.3">
      <c r="E13" s="12"/>
      <c r="F1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The+Norse+Collection_guns</vt:lpstr>
      <vt:lpstr>Buys</vt:lpstr>
      <vt:lpstr>Buys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2020-03-22T23:23:39Z</dcterms:created>
  <dcterms:modified xsi:type="dcterms:W3CDTF">2020-03-28T15:28:04Z</dcterms:modified>
</cp:coreProperties>
</file>