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.POB\Documents\"/>
    </mc:Choice>
  </mc:AlternateContent>
  <xr:revisionPtr revIDLastSave="0" documentId="8_{837EF459-A517-496B-A1AC-0E612386F6D8}" xr6:coauthVersionLast="47" xr6:coauthVersionMax="47" xr10:uidLastSave="{00000000-0000-0000-0000-000000000000}"/>
  <bookViews>
    <workbookView xWindow="28680" yWindow="-120" windowWidth="29040" windowHeight="17640" xr2:uid="{82CB9BE7-0FFB-4B1D-9A8C-C141CF247564}"/>
  </bookViews>
  <sheets>
    <sheet name="Sheet1" sheetId="1" r:id="rId1"/>
  </sheets>
  <externalReferences>
    <externalReference r:id="rId2"/>
  </externalReferences>
  <definedNames>
    <definedName name="oil">[1]Data!$K$5:$M$325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4" i="1" l="1"/>
  <c r="H264" i="1"/>
  <c r="AF263" i="1"/>
  <c r="AC263" i="1"/>
  <c r="AB263" i="1"/>
  <c r="Y263" i="1"/>
  <c r="Z263" i="1" s="1"/>
  <c r="AF262" i="1"/>
  <c r="AC262" i="1"/>
  <c r="AB262" i="1"/>
  <c r="Y262" i="1"/>
  <c r="Z262" i="1" s="1"/>
  <c r="AF261" i="1"/>
  <c r="AC261" i="1"/>
  <c r="AB261" i="1"/>
  <c r="Z261" i="1"/>
  <c r="Y261" i="1"/>
  <c r="AF260" i="1"/>
  <c r="Z260" i="1"/>
  <c r="AF259" i="1"/>
  <c r="Z259" i="1"/>
  <c r="AF258" i="1"/>
  <c r="Z258" i="1"/>
  <c r="AF257" i="1"/>
  <c r="Z257" i="1"/>
  <c r="AF256" i="1"/>
  <c r="Z256" i="1"/>
  <c r="AF255" i="1"/>
  <c r="Z255" i="1"/>
  <c r="AF254" i="1"/>
  <c r="Z254" i="1"/>
  <c r="AF253" i="1"/>
  <c r="Z253" i="1"/>
  <c r="AF252" i="1"/>
  <c r="Z252" i="1"/>
  <c r="AF251" i="1"/>
  <c r="Y251" i="1"/>
  <c r="Z251" i="1" s="1"/>
  <c r="L251" i="1"/>
  <c r="D251" i="1"/>
  <c r="C251" i="1"/>
  <c r="B251" i="1"/>
  <c r="AF250" i="1"/>
  <c r="Y250" i="1"/>
  <c r="Z250" i="1" s="1"/>
  <c r="L250" i="1"/>
  <c r="D250" i="1"/>
  <c r="C250" i="1"/>
  <c r="B250" i="1"/>
  <c r="AF249" i="1"/>
  <c r="Z249" i="1"/>
  <c r="Y249" i="1"/>
  <c r="L249" i="1"/>
  <c r="B249" i="1"/>
  <c r="AF248" i="1"/>
  <c r="Y248" i="1"/>
  <c r="Z248" i="1" s="1"/>
  <c r="L248" i="1"/>
  <c r="B248" i="1"/>
  <c r="C248" i="1" s="1"/>
  <c r="AF247" i="1"/>
  <c r="Z247" i="1"/>
  <c r="Y247" i="1"/>
  <c r="L247" i="1"/>
  <c r="B247" i="1"/>
  <c r="D247" i="1" s="1"/>
  <c r="Y246" i="1"/>
  <c r="Z246" i="1" s="1"/>
  <c r="L246" i="1"/>
  <c r="D246" i="1"/>
  <c r="C246" i="1"/>
  <c r="B246" i="1"/>
  <c r="Y245" i="1"/>
  <c r="Z245" i="1" s="1"/>
  <c r="L245" i="1"/>
  <c r="D245" i="1"/>
  <c r="C245" i="1"/>
  <c r="B245" i="1"/>
  <c r="Z244" i="1"/>
  <c r="Y244" i="1"/>
  <c r="L244" i="1"/>
  <c r="B244" i="1"/>
  <c r="AF243" i="1"/>
  <c r="Y243" i="1"/>
  <c r="Z243" i="1" s="1"/>
  <c r="L243" i="1"/>
  <c r="B243" i="1"/>
  <c r="C243" i="1" s="1"/>
  <c r="AF242" i="1"/>
  <c r="Z242" i="1"/>
  <c r="Y242" i="1"/>
  <c r="L242" i="1"/>
  <c r="B242" i="1"/>
  <c r="D242" i="1" s="1"/>
  <c r="AF241" i="1"/>
  <c r="Z241" i="1"/>
  <c r="Y241" i="1"/>
  <c r="L241" i="1"/>
  <c r="B241" i="1"/>
  <c r="D241" i="1" s="1"/>
  <c r="AF240" i="1"/>
  <c r="Y240" i="1"/>
  <c r="Z240" i="1" s="1"/>
  <c r="L240" i="1"/>
  <c r="D240" i="1"/>
  <c r="C240" i="1"/>
  <c r="B240" i="1"/>
  <c r="AF239" i="1"/>
  <c r="Y239" i="1"/>
  <c r="Z239" i="1" s="1"/>
  <c r="L239" i="1"/>
  <c r="D239" i="1"/>
  <c r="B239" i="1"/>
  <c r="C239" i="1" s="1"/>
  <c r="Y238" i="1"/>
  <c r="Z238" i="1" s="1"/>
  <c r="L238" i="1"/>
  <c r="D238" i="1"/>
  <c r="C238" i="1"/>
  <c r="B238" i="1"/>
  <c r="L237" i="1"/>
  <c r="B237" i="1"/>
  <c r="D237" i="1" s="1"/>
  <c r="L236" i="1"/>
  <c r="D236" i="1"/>
  <c r="C236" i="1"/>
  <c r="B236" i="1"/>
  <c r="I231" i="1"/>
  <c r="H231" i="1"/>
  <c r="AC230" i="1"/>
  <c r="AB230" i="1"/>
  <c r="Y230" i="1"/>
  <c r="Z230" i="1" s="1"/>
  <c r="L230" i="1"/>
  <c r="B230" i="1"/>
  <c r="D230" i="1" s="1"/>
  <c r="AC229" i="1"/>
  <c r="AB229" i="1"/>
  <c r="Y229" i="1"/>
  <c r="Z229" i="1" s="1"/>
  <c r="L229" i="1"/>
  <c r="B229" i="1"/>
  <c r="D229" i="1" s="1"/>
  <c r="AC228" i="1"/>
  <c r="AB228" i="1"/>
  <c r="Y228" i="1"/>
  <c r="Z228" i="1" s="1"/>
  <c r="L228" i="1"/>
  <c r="B228" i="1"/>
  <c r="D228" i="1" s="1"/>
  <c r="AC227" i="1"/>
  <c r="AB227" i="1"/>
  <c r="Y227" i="1"/>
  <c r="Z227" i="1" s="1"/>
  <c r="L227" i="1"/>
  <c r="B227" i="1"/>
  <c r="D227" i="1" s="1"/>
  <c r="AC226" i="1"/>
  <c r="AB226" i="1"/>
  <c r="Y226" i="1"/>
  <c r="Z226" i="1" s="1"/>
  <c r="L226" i="1"/>
  <c r="B226" i="1"/>
  <c r="D226" i="1" s="1"/>
  <c r="Y225" i="1"/>
  <c r="Z225" i="1" s="1"/>
  <c r="L225" i="1"/>
  <c r="D225" i="1"/>
  <c r="C225" i="1"/>
  <c r="B225" i="1"/>
  <c r="Y224" i="1"/>
  <c r="Z224" i="1" s="1"/>
  <c r="L224" i="1"/>
  <c r="B224" i="1"/>
  <c r="C224" i="1" s="1"/>
  <c r="AF223" i="1"/>
  <c r="Z223" i="1"/>
  <c r="Y223" i="1"/>
  <c r="L223" i="1"/>
  <c r="B223" i="1"/>
  <c r="D223" i="1" s="1"/>
  <c r="AF222" i="1"/>
  <c r="Z222" i="1"/>
  <c r="Y222" i="1"/>
  <c r="L222" i="1"/>
  <c r="B222" i="1"/>
  <c r="D222" i="1" s="1"/>
  <c r="AF221" i="1"/>
  <c r="Y221" i="1"/>
  <c r="Z221" i="1" s="1"/>
  <c r="L221" i="1"/>
  <c r="D221" i="1"/>
  <c r="C221" i="1"/>
  <c r="B221" i="1"/>
  <c r="AF220" i="1"/>
  <c r="Y220" i="1"/>
  <c r="Z220" i="1" s="1"/>
  <c r="L220" i="1"/>
  <c r="B220" i="1"/>
  <c r="D220" i="1" s="1"/>
  <c r="AF219" i="1"/>
  <c r="Y219" i="1"/>
  <c r="Z219" i="1" s="1"/>
  <c r="L219" i="1"/>
  <c r="D219" i="1"/>
  <c r="C219" i="1"/>
  <c r="B219" i="1"/>
  <c r="AF218" i="1"/>
  <c r="Y218" i="1"/>
  <c r="Z218" i="1" s="1"/>
  <c r="L218" i="1"/>
  <c r="D218" i="1"/>
  <c r="C218" i="1"/>
  <c r="B218" i="1"/>
  <c r="AF217" i="1"/>
  <c r="Z217" i="1"/>
  <c r="Y217" i="1"/>
  <c r="L217" i="1"/>
  <c r="B217" i="1"/>
  <c r="AF216" i="1"/>
  <c r="Z216" i="1"/>
  <c r="AF215" i="1"/>
  <c r="Y215" i="1"/>
  <c r="Z215" i="1" s="1"/>
  <c r="L215" i="1"/>
  <c r="D215" i="1"/>
  <c r="C215" i="1"/>
  <c r="B215" i="1"/>
  <c r="AF214" i="1"/>
  <c r="Z214" i="1"/>
  <c r="Y214" i="1"/>
  <c r="L214" i="1"/>
  <c r="B214" i="1"/>
  <c r="AF213" i="1"/>
  <c r="Y213" i="1"/>
  <c r="Z213" i="1" s="1"/>
  <c r="L213" i="1"/>
  <c r="B213" i="1"/>
  <c r="C213" i="1" s="1"/>
  <c r="AF212" i="1"/>
  <c r="Z212" i="1"/>
  <c r="Y212" i="1"/>
  <c r="L212" i="1"/>
  <c r="B212" i="1"/>
  <c r="D212" i="1" s="1"/>
  <c r="AF211" i="1"/>
  <c r="Z211" i="1"/>
  <c r="Y211" i="1"/>
  <c r="L211" i="1"/>
  <c r="B211" i="1"/>
  <c r="D211" i="1" s="1"/>
  <c r="AF210" i="1"/>
  <c r="Y210" i="1"/>
  <c r="Z210" i="1" s="1"/>
  <c r="L210" i="1"/>
  <c r="D210" i="1"/>
  <c r="C210" i="1"/>
  <c r="B210" i="1"/>
  <c r="B209" i="1"/>
  <c r="D208" i="1"/>
  <c r="C208" i="1"/>
  <c r="B208" i="1"/>
  <c r="B207" i="1"/>
  <c r="D207" i="1" s="1"/>
  <c r="B206" i="1"/>
  <c r="D206" i="1" s="1"/>
  <c r="B205" i="1"/>
  <c r="D205" i="1" s="1"/>
  <c r="B204" i="1"/>
  <c r="D204" i="1" s="1"/>
  <c r="D203" i="1"/>
  <c r="C203" i="1"/>
  <c r="B203" i="1"/>
  <c r="I198" i="1"/>
  <c r="H198" i="1"/>
  <c r="AC197" i="1"/>
  <c r="AB197" i="1"/>
  <c r="Y197" i="1"/>
  <c r="Z197" i="1" s="1"/>
  <c r="L197" i="1"/>
  <c r="AC196" i="1"/>
  <c r="AB196" i="1"/>
  <c r="Z196" i="1"/>
  <c r="Y196" i="1"/>
  <c r="L196" i="1"/>
  <c r="AC195" i="1"/>
  <c r="AB195" i="1"/>
  <c r="Z195" i="1"/>
  <c r="Y195" i="1"/>
  <c r="L195" i="1"/>
  <c r="AC194" i="1"/>
  <c r="AB194" i="1"/>
  <c r="Y194" i="1"/>
  <c r="Z194" i="1" s="1"/>
  <c r="L194" i="1"/>
  <c r="AC193" i="1"/>
  <c r="AB193" i="1"/>
  <c r="Y193" i="1"/>
  <c r="Z193" i="1" s="1"/>
  <c r="L193" i="1"/>
  <c r="Y192" i="1"/>
  <c r="Z192" i="1" s="1"/>
  <c r="L192" i="1"/>
  <c r="Z191" i="1"/>
  <c r="Y191" i="1"/>
  <c r="L191" i="1"/>
  <c r="Z190" i="1"/>
  <c r="Y190" i="1"/>
  <c r="L190" i="1"/>
  <c r="Y189" i="1"/>
  <c r="Z189" i="1" s="1"/>
  <c r="L189" i="1"/>
  <c r="Z188" i="1"/>
  <c r="Y188" i="1"/>
  <c r="L188" i="1"/>
  <c r="Y187" i="1"/>
  <c r="Z187" i="1" s="1"/>
  <c r="L187" i="1"/>
  <c r="D187" i="1"/>
  <c r="C187" i="1"/>
  <c r="B187" i="1"/>
  <c r="Y186" i="1"/>
  <c r="Z186" i="1" s="1"/>
  <c r="L186" i="1"/>
  <c r="B186" i="1"/>
  <c r="Z185" i="1"/>
  <c r="Y185" i="1"/>
  <c r="L185" i="1"/>
  <c r="B185" i="1"/>
  <c r="D185" i="1" s="1"/>
  <c r="Y184" i="1"/>
  <c r="Z184" i="1" s="1"/>
  <c r="L184" i="1"/>
  <c r="B184" i="1"/>
  <c r="D184" i="1" s="1"/>
  <c r="Y183" i="1"/>
  <c r="Z183" i="1" s="1"/>
  <c r="L183" i="1"/>
  <c r="D183" i="1"/>
  <c r="C183" i="1"/>
  <c r="B183" i="1"/>
  <c r="Y182" i="1"/>
  <c r="Z182" i="1" s="1"/>
  <c r="L182" i="1"/>
  <c r="B182" i="1"/>
  <c r="Z181" i="1"/>
  <c r="Y181" i="1"/>
  <c r="L181" i="1"/>
  <c r="B181" i="1"/>
  <c r="D181" i="1" s="1"/>
  <c r="Y180" i="1"/>
  <c r="Z180" i="1" s="1"/>
  <c r="L180" i="1"/>
  <c r="B180" i="1"/>
  <c r="D180" i="1" s="1"/>
  <c r="Y179" i="1"/>
  <c r="Z179" i="1" s="1"/>
  <c r="L179" i="1"/>
  <c r="D179" i="1"/>
  <c r="C179" i="1"/>
  <c r="B179" i="1"/>
  <c r="Y178" i="1"/>
  <c r="Z178" i="1" s="1"/>
  <c r="L178" i="1"/>
  <c r="B178" i="1"/>
  <c r="Z177" i="1"/>
  <c r="Y177" i="1"/>
  <c r="L177" i="1"/>
  <c r="B177" i="1"/>
  <c r="D177" i="1" s="1"/>
  <c r="Y176" i="1"/>
  <c r="Z176" i="1" s="1"/>
  <c r="L176" i="1"/>
  <c r="B176" i="1"/>
  <c r="D176" i="1" s="1"/>
  <c r="B175" i="1"/>
  <c r="D175" i="1" s="1"/>
  <c r="D174" i="1"/>
  <c r="C174" i="1"/>
  <c r="B174" i="1"/>
  <c r="D173" i="1"/>
  <c r="C173" i="1"/>
  <c r="B173" i="1"/>
  <c r="B172" i="1"/>
  <c r="D171" i="1"/>
  <c r="C171" i="1"/>
  <c r="B171" i="1"/>
  <c r="B170" i="1"/>
  <c r="D170" i="1" s="1"/>
  <c r="I165" i="1"/>
  <c r="H165" i="1"/>
  <c r="AF164" i="1"/>
  <c r="AC164" i="1"/>
  <c r="AB164" i="1"/>
  <c r="Z164" i="1"/>
  <c r="Y164" i="1"/>
  <c r="L164" i="1"/>
  <c r="AF163" i="1"/>
  <c r="AC163" i="1"/>
  <c r="AB163" i="1"/>
  <c r="Z163" i="1"/>
  <c r="Y163" i="1"/>
  <c r="L163" i="1"/>
  <c r="AF162" i="1"/>
  <c r="AC162" i="1"/>
  <c r="AB162" i="1"/>
  <c r="Z162" i="1"/>
  <c r="Y162" i="1"/>
  <c r="L162" i="1"/>
  <c r="AF161" i="1"/>
  <c r="AC161" i="1"/>
  <c r="AB161" i="1"/>
  <c r="Y161" i="1"/>
  <c r="Z161" i="1" s="1"/>
  <c r="L161" i="1"/>
  <c r="AF160" i="1"/>
  <c r="AC160" i="1"/>
  <c r="AB160" i="1"/>
  <c r="Z160" i="1"/>
  <c r="Y160" i="1"/>
  <c r="L160" i="1"/>
  <c r="AF159" i="1"/>
  <c r="Y159" i="1"/>
  <c r="Z159" i="1" s="1"/>
  <c r="L159" i="1"/>
  <c r="AF158" i="1"/>
  <c r="Z158" i="1"/>
  <c r="Y158" i="1"/>
  <c r="L158" i="1"/>
  <c r="AF157" i="1"/>
  <c r="Y157" i="1"/>
  <c r="Z157" i="1" s="1"/>
  <c r="L157" i="1"/>
  <c r="AF156" i="1"/>
  <c r="Z156" i="1"/>
  <c r="Y156" i="1"/>
  <c r="L156" i="1"/>
  <c r="B156" i="1"/>
  <c r="D156" i="1" s="1"/>
  <c r="AF155" i="1"/>
  <c r="Y155" i="1"/>
  <c r="Z155" i="1" s="1"/>
  <c r="L155" i="1"/>
  <c r="B155" i="1"/>
  <c r="AF154" i="1"/>
  <c r="Z154" i="1"/>
  <c r="Y154" i="1"/>
  <c r="L154" i="1"/>
  <c r="B154" i="1"/>
  <c r="D154" i="1" s="1"/>
  <c r="AF153" i="1"/>
  <c r="Z153" i="1"/>
  <c r="Y153" i="1"/>
  <c r="L153" i="1"/>
  <c r="B153" i="1"/>
  <c r="D153" i="1" s="1"/>
  <c r="AF152" i="1"/>
  <c r="Y152" i="1"/>
  <c r="Z152" i="1" s="1"/>
  <c r="L152" i="1"/>
  <c r="D152" i="1"/>
  <c r="C152" i="1"/>
  <c r="B152" i="1"/>
  <c r="AF151" i="1"/>
  <c r="Y151" i="1"/>
  <c r="Z151" i="1" s="1"/>
  <c r="L151" i="1"/>
  <c r="B151" i="1"/>
  <c r="D151" i="1" s="1"/>
  <c r="AF150" i="1"/>
  <c r="Y150" i="1"/>
  <c r="Z150" i="1" s="1"/>
  <c r="L150" i="1"/>
  <c r="D150" i="1"/>
  <c r="C150" i="1"/>
  <c r="B150" i="1"/>
  <c r="AF149" i="1"/>
  <c r="Y149" i="1"/>
  <c r="Z149" i="1" s="1"/>
  <c r="L149" i="1"/>
  <c r="D149" i="1"/>
  <c r="C149" i="1"/>
  <c r="B149" i="1"/>
  <c r="AF148" i="1"/>
  <c r="Z148" i="1"/>
  <c r="Y148" i="1"/>
  <c r="L148" i="1"/>
  <c r="B148" i="1"/>
  <c r="D148" i="1" s="1"/>
  <c r="AF147" i="1"/>
  <c r="Y147" i="1"/>
  <c r="Z147" i="1" s="1"/>
  <c r="L147" i="1"/>
  <c r="B147" i="1"/>
  <c r="AF146" i="1"/>
  <c r="Z146" i="1"/>
  <c r="Y146" i="1"/>
  <c r="L146" i="1"/>
  <c r="B146" i="1"/>
  <c r="D146" i="1" s="1"/>
  <c r="AF145" i="1"/>
  <c r="Z145" i="1"/>
  <c r="Y145" i="1"/>
  <c r="L145" i="1"/>
  <c r="B145" i="1"/>
  <c r="D145" i="1" s="1"/>
  <c r="AF144" i="1"/>
  <c r="Y144" i="1"/>
  <c r="Z144" i="1" s="1"/>
  <c r="L144" i="1"/>
  <c r="D144" i="1"/>
  <c r="C144" i="1"/>
  <c r="B144" i="1"/>
  <c r="AF143" i="1"/>
  <c r="Y143" i="1"/>
  <c r="Z143" i="1" s="1"/>
  <c r="L143" i="1"/>
  <c r="B143" i="1"/>
  <c r="D143" i="1" s="1"/>
  <c r="B142" i="1"/>
  <c r="D142" i="1" s="1"/>
  <c r="D141" i="1"/>
  <c r="C141" i="1"/>
  <c r="B141" i="1"/>
  <c r="D140" i="1"/>
  <c r="C140" i="1"/>
  <c r="B140" i="1"/>
  <c r="B139" i="1"/>
  <c r="D138" i="1"/>
  <c r="C138" i="1"/>
  <c r="B138" i="1"/>
  <c r="B137" i="1"/>
  <c r="D137" i="1" s="1"/>
  <c r="I132" i="1"/>
  <c r="H132" i="1"/>
  <c r="AC131" i="1"/>
  <c r="AB131" i="1"/>
  <c r="Y131" i="1"/>
  <c r="Z131" i="1" s="1"/>
  <c r="L131" i="1"/>
  <c r="B131" i="1"/>
  <c r="AC130" i="1"/>
  <c r="AB130" i="1"/>
  <c r="Y130" i="1"/>
  <c r="Z130" i="1" s="1"/>
  <c r="L130" i="1"/>
  <c r="B130" i="1"/>
  <c r="AC129" i="1"/>
  <c r="AB129" i="1"/>
  <c r="Y129" i="1"/>
  <c r="Z129" i="1" s="1"/>
  <c r="L129" i="1"/>
  <c r="B129" i="1"/>
  <c r="AC128" i="1"/>
  <c r="AB128" i="1"/>
  <c r="Y128" i="1"/>
  <c r="Z128" i="1" s="1"/>
  <c r="L128" i="1"/>
  <c r="B128" i="1"/>
  <c r="AC127" i="1"/>
  <c r="AB127" i="1"/>
  <c r="Y127" i="1"/>
  <c r="Z127" i="1" s="1"/>
  <c r="L127" i="1"/>
  <c r="B127" i="1"/>
  <c r="AF126" i="1"/>
  <c r="Z126" i="1"/>
  <c r="Y126" i="1"/>
  <c r="L126" i="1"/>
  <c r="B126" i="1"/>
  <c r="D126" i="1" s="1"/>
  <c r="AF125" i="1"/>
  <c r="Z125" i="1"/>
  <c r="Y125" i="1"/>
  <c r="L125" i="1"/>
  <c r="B125" i="1"/>
  <c r="D125" i="1" s="1"/>
  <c r="AF124" i="1"/>
  <c r="Y124" i="1"/>
  <c r="Z124" i="1" s="1"/>
  <c r="L124" i="1"/>
  <c r="D124" i="1"/>
  <c r="C124" i="1"/>
  <c r="B124" i="1"/>
  <c r="AF123" i="1"/>
  <c r="Y123" i="1"/>
  <c r="Z123" i="1" s="1"/>
  <c r="L123" i="1"/>
  <c r="B123" i="1"/>
  <c r="D123" i="1" s="1"/>
  <c r="AF122" i="1"/>
  <c r="Y122" i="1"/>
  <c r="Z122" i="1" s="1"/>
  <c r="L122" i="1"/>
  <c r="D122" i="1"/>
  <c r="C122" i="1"/>
  <c r="B122" i="1"/>
  <c r="AF121" i="1"/>
  <c r="Y121" i="1"/>
  <c r="Z121" i="1" s="1"/>
  <c r="L121" i="1"/>
  <c r="D121" i="1"/>
  <c r="C121" i="1"/>
  <c r="B121" i="1"/>
  <c r="AF120" i="1"/>
  <c r="Z120" i="1"/>
  <c r="Y120" i="1"/>
  <c r="L120" i="1"/>
  <c r="C120" i="1"/>
  <c r="B120" i="1"/>
  <c r="D120" i="1" s="1"/>
  <c r="AF119" i="1"/>
  <c r="Y119" i="1"/>
  <c r="Z119" i="1" s="1"/>
  <c r="L119" i="1"/>
  <c r="B119" i="1"/>
  <c r="AF118" i="1"/>
  <c r="Z118" i="1"/>
  <c r="Y118" i="1"/>
  <c r="L118" i="1"/>
  <c r="B118" i="1"/>
  <c r="D118" i="1" s="1"/>
  <c r="AF117" i="1"/>
  <c r="Z117" i="1"/>
  <c r="AF116" i="1"/>
  <c r="Y116" i="1"/>
  <c r="Z116" i="1" s="1"/>
  <c r="L116" i="1"/>
  <c r="B116" i="1"/>
  <c r="AF115" i="1"/>
  <c r="Z115" i="1"/>
  <c r="Y115" i="1"/>
  <c r="L115" i="1"/>
  <c r="B115" i="1"/>
  <c r="D115" i="1" s="1"/>
  <c r="AF114" i="1"/>
  <c r="Z114" i="1"/>
  <c r="Y114" i="1"/>
  <c r="L114" i="1"/>
  <c r="B114" i="1"/>
  <c r="D114" i="1" s="1"/>
  <c r="AF113" i="1"/>
  <c r="Y113" i="1"/>
  <c r="Z113" i="1" s="1"/>
  <c r="L113" i="1"/>
  <c r="D113" i="1"/>
  <c r="C113" i="1"/>
  <c r="B113" i="1"/>
  <c r="AF112" i="1"/>
  <c r="Y112" i="1"/>
  <c r="Z112" i="1" s="1"/>
  <c r="L112" i="1"/>
  <c r="D112" i="1"/>
  <c r="B112" i="1"/>
  <c r="C112" i="1" s="1"/>
  <c r="AF111" i="1"/>
  <c r="Y111" i="1"/>
  <c r="Z111" i="1" s="1"/>
  <c r="L111" i="1"/>
  <c r="D111" i="1"/>
  <c r="C111" i="1"/>
  <c r="B111" i="1"/>
  <c r="AF110" i="1"/>
  <c r="Y110" i="1"/>
  <c r="Z110" i="1" s="1"/>
  <c r="L110" i="1"/>
  <c r="D110" i="1"/>
  <c r="C110" i="1"/>
  <c r="B110" i="1"/>
  <c r="AF109" i="1"/>
  <c r="Z109" i="1"/>
  <c r="Y109" i="1"/>
  <c r="L109" i="1"/>
  <c r="B109" i="1"/>
  <c r="D109" i="1" s="1"/>
  <c r="AF108" i="1"/>
  <c r="Y108" i="1"/>
  <c r="Z108" i="1" s="1"/>
  <c r="L108" i="1"/>
  <c r="B108" i="1"/>
  <c r="Z107" i="1"/>
  <c r="Y107" i="1"/>
  <c r="L107" i="1"/>
  <c r="B107" i="1"/>
  <c r="D107" i="1" s="1"/>
  <c r="L106" i="1"/>
  <c r="D106" i="1"/>
  <c r="C106" i="1"/>
  <c r="B106" i="1"/>
  <c r="L105" i="1"/>
  <c r="B105" i="1"/>
  <c r="D105" i="1" s="1"/>
  <c r="L104" i="1"/>
  <c r="D104" i="1"/>
  <c r="C104" i="1"/>
  <c r="B104" i="1"/>
  <c r="I99" i="1"/>
  <c r="H99" i="1"/>
  <c r="AF98" i="1"/>
  <c r="AC98" i="1"/>
  <c r="AB98" i="1"/>
  <c r="Z98" i="1"/>
  <c r="Y98" i="1"/>
  <c r="L98" i="1"/>
  <c r="D98" i="1"/>
  <c r="C98" i="1"/>
  <c r="B98" i="1"/>
  <c r="AF97" i="1"/>
  <c r="AC97" i="1"/>
  <c r="AB97" i="1"/>
  <c r="Z97" i="1"/>
  <c r="Y97" i="1"/>
  <c r="L97" i="1"/>
  <c r="B97" i="1"/>
  <c r="D97" i="1" s="1"/>
  <c r="AF96" i="1"/>
  <c r="AC96" i="1"/>
  <c r="AB96" i="1"/>
  <c r="Z96" i="1"/>
  <c r="Y96" i="1"/>
  <c r="L96" i="1"/>
  <c r="B96" i="1"/>
  <c r="D96" i="1" s="1"/>
  <c r="AC95" i="1"/>
  <c r="AB95" i="1"/>
  <c r="Z95" i="1"/>
  <c r="Y95" i="1"/>
  <c r="L95" i="1"/>
  <c r="B95" i="1"/>
  <c r="D95" i="1" s="1"/>
  <c r="AC94" i="1"/>
  <c r="AB94" i="1"/>
  <c r="Z94" i="1"/>
  <c r="Y94" i="1"/>
  <c r="L94" i="1"/>
  <c r="B94" i="1"/>
  <c r="D94" i="1" s="1"/>
  <c r="Z93" i="1"/>
  <c r="Y93" i="1"/>
  <c r="L93" i="1"/>
  <c r="D93" i="1"/>
  <c r="C93" i="1"/>
  <c r="B93" i="1"/>
  <c r="Y92" i="1"/>
  <c r="Z92" i="1" s="1"/>
  <c r="L92" i="1"/>
  <c r="D92" i="1"/>
  <c r="C92" i="1"/>
  <c r="B92" i="1"/>
  <c r="Z91" i="1"/>
  <c r="Y91" i="1"/>
  <c r="L91" i="1"/>
  <c r="B91" i="1"/>
  <c r="D91" i="1" s="1"/>
  <c r="Z90" i="1"/>
  <c r="Y90" i="1"/>
  <c r="L90" i="1"/>
  <c r="B90" i="1"/>
  <c r="D90" i="1" s="1"/>
  <c r="Y89" i="1"/>
  <c r="Z89" i="1" s="1"/>
  <c r="L89" i="1"/>
  <c r="D89" i="1"/>
  <c r="C89" i="1"/>
  <c r="B89" i="1"/>
  <c r="Y88" i="1"/>
  <c r="Z88" i="1" s="1"/>
  <c r="L88" i="1"/>
  <c r="D88" i="1"/>
  <c r="C88" i="1"/>
  <c r="B88" i="1"/>
  <c r="Z87" i="1"/>
  <c r="Y87" i="1"/>
  <c r="L87" i="1"/>
  <c r="B87" i="1"/>
  <c r="D87" i="1" s="1"/>
  <c r="Z86" i="1"/>
  <c r="Y86" i="1"/>
  <c r="L86" i="1"/>
  <c r="B86" i="1"/>
  <c r="D86" i="1" s="1"/>
  <c r="Z85" i="1"/>
  <c r="Y85" i="1"/>
  <c r="L85" i="1"/>
  <c r="D85" i="1"/>
  <c r="C85" i="1"/>
  <c r="B85" i="1"/>
  <c r="Y83" i="1"/>
  <c r="Z83" i="1" s="1"/>
  <c r="L83" i="1"/>
  <c r="D83" i="1"/>
  <c r="C83" i="1"/>
  <c r="B83" i="1"/>
  <c r="Z82" i="1"/>
  <c r="Y82" i="1"/>
  <c r="L82" i="1"/>
  <c r="B82" i="1"/>
  <c r="D82" i="1" s="1"/>
  <c r="Z81" i="1"/>
  <c r="Y81" i="1"/>
  <c r="L81" i="1"/>
  <c r="B81" i="1"/>
  <c r="D81" i="1" s="1"/>
  <c r="Y80" i="1"/>
  <c r="Z80" i="1" s="1"/>
  <c r="L80" i="1"/>
  <c r="D80" i="1"/>
  <c r="C80" i="1"/>
  <c r="B80" i="1"/>
  <c r="Y79" i="1"/>
  <c r="Z79" i="1" s="1"/>
  <c r="L79" i="1"/>
  <c r="D79" i="1"/>
  <c r="C79" i="1"/>
  <c r="B79" i="1"/>
  <c r="Z78" i="1"/>
  <c r="Y78" i="1"/>
  <c r="L78" i="1"/>
  <c r="B78" i="1"/>
  <c r="D78" i="1" s="1"/>
  <c r="D77" i="1"/>
  <c r="B77" i="1"/>
  <c r="C77" i="1" s="1"/>
  <c r="B76" i="1"/>
  <c r="D76" i="1" s="1"/>
  <c r="D75" i="1"/>
  <c r="C75" i="1"/>
  <c r="B75" i="1"/>
  <c r="D74" i="1"/>
  <c r="C74" i="1"/>
  <c r="B74" i="1"/>
  <c r="B73" i="1"/>
  <c r="D72" i="1"/>
  <c r="C72" i="1"/>
  <c r="B72" i="1"/>
  <c r="B71" i="1"/>
  <c r="D71" i="1" s="1"/>
  <c r="I66" i="1"/>
  <c r="H66" i="1"/>
  <c r="AF65" i="1"/>
  <c r="AC65" i="1"/>
  <c r="AB65" i="1"/>
  <c r="Z65" i="1"/>
  <c r="Y65" i="1"/>
  <c r="L65" i="1"/>
  <c r="AF64" i="1"/>
  <c r="AC64" i="1"/>
  <c r="AB64" i="1"/>
  <c r="Z64" i="1"/>
  <c r="Y64" i="1"/>
  <c r="L64" i="1"/>
  <c r="AF63" i="1"/>
  <c r="AC63" i="1"/>
  <c r="AB63" i="1"/>
  <c r="Y63" i="1"/>
  <c r="Z63" i="1" s="1"/>
  <c r="L63" i="1"/>
  <c r="AF62" i="1"/>
  <c r="AC62" i="1"/>
  <c r="AB62" i="1"/>
  <c r="Y62" i="1"/>
  <c r="Z62" i="1" s="1"/>
  <c r="L62" i="1"/>
  <c r="AF61" i="1"/>
  <c r="AC61" i="1"/>
  <c r="AB61" i="1"/>
  <c r="Z61" i="1"/>
  <c r="Y61" i="1"/>
  <c r="L61" i="1"/>
  <c r="AF60" i="1"/>
  <c r="Y60" i="1"/>
  <c r="Z60" i="1" s="1"/>
  <c r="L60" i="1"/>
  <c r="AF59" i="1"/>
  <c r="Z59" i="1"/>
  <c r="Y59" i="1"/>
  <c r="L59" i="1"/>
  <c r="AF58" i="1"/>
  <c r="Y58" i="1"/>
  <c r="Z58" i="1" s="1"/>
  <c r="L58" i="1"/>
  <c r="AF57" i="1"/>
  <c r="Z57" i="1"/>
  <c r="Y57" i="1"/>
  <c r="L57" i="1"/>
  <c r="AF56" i="1"/>
  <c r="Y56" i="1"/>
  <c r="Z56" i="1" s="1"/>
  <c r="L56" i="1"/>
  <c r="AF55" i="1"/>
  <c r="Z55" i="1"/>
  <c r="Y55" i="1"/>
  <c r="L55" i="1"/>
  <c r="AF54" i="1"/>
  <c r="Y54" i="1"/>
  <c r="Z54" i="1" s="1"/>
  <c r="L54" i="1"/>
  <c r="AF53" i="1"/>
  <c r="Z53" i="1"/>
  <c r="Y53" i="1"/>
  <c r="L53" i="1"/>
  <c r="AF52" i="1"/>
  <c r="Y52" i="1"/>
  <c r="Z52" i="1" s="1"/>
  <c r="L52" i="1"/>
  <c r="AF51" i="1"/>
  <c r="Z51" i="1"/>
  <c r="Y51" i="1"/>
  <c r="L51" i="1"/>
  <c r="B51" i="1"/>
  <c r="D51" i="1" s="1"/>
  <c r="AF50" i="1"/>
  <c r="Y50" i="1"/>
  <c r="Z50" i="1" s="1"/>
  <c r="L50" i="1"/>
  <c r="B50" i="1"/>
  <c r="AF49" i="1"/>
  <c r="Z49" i="1"/>
  <c r="Y49" i="1"/>
  <c r="L49" i="1"/>
  <c r="B49" i="1"/>
  <c r="D49" i="1" s="1"/>
  <c r="AF48" i="1"/>
  <c r="Z48" i="1"/>
  <c r="Y48" i="1"/>
  <c r="L48" i="1"/>
  <c r="B48" i="1"/>
  <c r="D48" i="1" s="1"/>
  <c r="AF47" i="1"/>
  <c r="Y47" i="1"/>
  <c r="Z47" i="1" s="1"/>
  <c r="L47" i="1"/>
  <c r="D47" i="1"/>
  <c r="C47" i="1"/>
  <c r="B47" i="1"/>
  <c r="AF46" i="1"/>
  <c r="Y46" i="1"/>
  <c r="Z46" i="1" s="1"/>
  <c r="L46" i="1"/>
  <c r="D46" i="1"/>
  <c r="B46" i="1"/>
  <c r="C46" i="1" s="1"/>
  <c r="AF45" i="1"/>
  <c r="Y45" i="1"/>
  <c r="Z45" i="1" s="1"/>
  <c r="L45" i="1"/>
  <c r="D45" i="1"/>
  <c r="C45" i="1"/>
  <c r="B45" i="1"/>
  <c r="AF44" i="1"/>
  <c r="Y44" i="1"/>
  <c r="Z44" i="1" s="1"/>
  <c r="L44" i="1"/>
  <c r="D44" i="1"/>
  <c r="C44" i="1"/>
  <c r="B44" i="1"/>
  <c r="AF43" i="1"/>
  <c r="Z43" i="1"/>
  <c r="Y43" i="1"/>
  <c r="L43" i="1"/>
  <c r="C43" i="1"/>
  <c r="B43" i="1"/>
  <c r="D43" i="1" s="1"/>
  <c r="D42" i="1"/>
  <c r="B42" i="1"/>
  <c r="C42" i="1" s="1"/>
  <c r="B41" i="1"/>
  <c r="D41" i="1" s="1"/>
  <c r="D40" i="1"/>
  <c r="C40" i="1"/>
  <c r="B40" i="1"/>
  <c r="D39" i="1"/>
  <c r="C39" i="1"/>
  <c r="B39" i="1"/>
  <c r="B38" i="1"/>
  <c r="I33" i="1"/>
  <c r="H33" i="1"/>
  <c r="AF32" i="1"/>
  <c r="AC32" i="1"/>
  <c r="AB32" i="1"/>
  <c r="Y32" i="1"/>
  <c r="Z32" i="1" s="1"/>
  <c r="L32" i="1"/>
  <c r="AF31" i="1"/>
  <c r="AC31" i="1"/>
  <c r="AB31" i="1"/>
  <c r="Z31" i="1"/>
  <c r="Y31" i="1"/>
  <c r="L31" i="1"/>
  <c r="AF30" i="1"/>
  <c r="AC30" i="1"/>
  <c r="AB30" i="1"/>
  <c r="Z30" i="1"/>
  <c r="Y30" i="1"/>
  <c r="L30" i="1"/>
  <c r="AC29" i="1"/>
  <c r="AB29" i="1"/>
  <c r="Y29" i="1"/>
  <c r="Z29" i="1" s="1"/>
  <c r="L29" i="1"/>
  <c r="AC28" i="1"/>
  <c r="AB28" i="1"/>
  <c r="Z28" i="1"/>
  <c r="Y28" i="1"/>
  <c r="L28" i="1"/>
  <c r="Y27" i="1"/>
  <c r="Z27" i="1" s="1"/>
  <c r="L27" i="1"/>
  <c r="AF26" i="1"/>
  <c r="Y26" i="1"/>
  <c r="Z26" i="1" s="1"/>
  <c r="L26" i="1"/>
  <c r="AF25" i="1"/>
  <c r="Y25" i="1"/>
  <c r="Z25" i="1" s="1"/>
  <c r="L25" i="1"/>
  <c r="AF24" i="1"/>
  <c r="Y24" i="1"/>
  <c r="Z24" i="1" s="1"/>
  <c r="L24" i="1"/>
  <c r="AF23" i="1"/>
  <c r="Y23" i="1"/>
  <c r="Z23" i="1" s="1"/>
  <c r="L23" i="1"/>
  <c r="Z22" i="1"/>
  <c r="Y22" i="1"/>
  <c r="L22" i="1"/>
  <c r="Y21" i="1"/>
  <c r="Z21" i="1" s="1"/>
  <c r="L21" i="1"/>
  <c r="Z20" i="1"/>
  <c r="Y20" i="1"/>
  <c r="L20" i="1"/>
  <c r="Y19" i="1"/>
  <c r="Z19" i="1" s="1"/>
  <c r="L19" i="1"/>
  <c r="Y17" i="1"/>
  <c r="Z17" i="1" s="1"/>
  <c r="L17" i="1"/>
  <c r="D17" i="1"/>
  <c r="C17" i="1"/>
  <c r="B17" i="1"/>
  <c r="Z16" i="1"/>
  <c r="Y16" i="1"/>
  <c r="L16" i="1"/>
  <c r="C16" i="1"/>
  <c r="B16" i="1"/>
  <c r="D16" i="1" s="1"/>
  <c r="Z15" i="1"/>
  <c r="Y15" i="1"/>
  <c r="L15" i="1"/>
  <c r="B15" i="1"/>
  <c r="D15" i="1" s="1"/>
  <c r="Y14" i="1"/>
  <c r="Z14" i="1" s="1"/>
  <c r="L14" i="1"/>
  <c r="D14" i="1"/>
  <c r="C14" i="1"/>
  <c r="B14" i="1"/>
  <c r="Y13" i="1"/>
  <c r="Z13" i="1" s="1"/>
  <c r="L13" i="1"/>
  <c r="D13" i="1"/>
  <c r="C13" i="1"/>
  <c r="B13" i="1"/>
  <c r="Z12" i="1"/>
  <c r="Y12" i="1"/>
  <c r="L12" i="1"/>
  <c r="B12" i="1"/>
  <c r="D12" i="1" s="1"/>
  <c r="Z11" i="1"/>
  <c r="Y11" i="1"/>
  <c r="L11" i="1"/>
  <c r="B11" i="1"/>
  <c r="D11" i="1" s="1"/>
  <c r="Y10" i="1"/>
  <c r="Z10" i="1" s="1"/>
  <c r="L10" i="1"/>
  <c r="D10" i="1"/>
  <c r="C10" i="1"/>
  <c r="B10" i="1"/>
  <c r="B9" i="1"/>
  <c r="D8" i="1"/>
  <c r="C8" i="1"/>
  <c r="B8" i="1"/>
  <c r="B7" i="1"/>
  <c r="D7" i="1" s="1"/>
  <c r="B6" i="1"/>
  <c r="D6" i="1" s="1"/>
  <c r="D5" i="1"/>
  <c r="B5" i="1"/>
  <c r="C5" i="1" s="1"/>
  <c r="C130" i="1" l="1"/>
  <c r="D130" i="1"/>
  <c r="C139" i="1"/>
  <c r="D139" i="1"/>
  <c r="C155" i="1"/>
  <c r="D155" i="1"/>
  <c r="C178" i="1"/>
  <c r="D178" i="1"/>
  <c r="C6" i="1"/>
  <c r="C78" i="1"/>
  <c r="C87" i="1"/>
  <c r="C127" i="1"/>
  <c r="D127" i="1"/>
  <c r="C172" i="1"/>
  <c r="D172" i="1"/>
  <c r="C206" i="1"/>
  <c r="D217" i="1"/>
  <c r="C217" i="1"/>
  <c r="C73" i="1"/>
  <c r="D73" i="1"/>
  <c r="C119" i="1"/>
  <c r="D119" i="1"/>
  <c r="C12" i="1"/>
  <c r="C51" i="1"/>
  <c r="C148" i="1"/>
  <c r="C38" i="1"/>
  <c r="D38" i="1"/>
  <c r="C116" i="1"/>
  <c r="D116" i="1"/>
  <c r="C129" i="1"/>
  <c r="D129" i="1"/>
  <c r="C109" i="1"/>
  <c r="D214" i="1"/>
  <c r="C214" i="1"/>
  <c r="D249" i="1"/>
  <c r="C249" i="1"/>
  <c r="C9" i="1"/>
  <c r="D9" i="1"/>
  <c r="C128" i="1"/>
  <c r="D128" i="1"/>
  <c r="C186" i="1"/>
  <c r="D186" i="1"/>
  <c r="C209" i="1"/>
  <c r="D209" i="1"/>
  <c r="C108" i="1"/>
  <c r="D108" i="1"/>
  <c r="C182" i="1"/>
  <c r="D182" i="1"/>
  <c r="C50" i="1"/>
  <c r="D50" i="1"/>
  <c r="C82" i="1"/>
  <c r="C91" i="1"/>
  <c r="C131" i="1"/>
  <c r="D131" i="1"/>
  <c r="C147" i="1"/>
  <c r="D147" i="1"/>
  <c r="C156" i="1"/>
  <c r="D244" i="1"/>
  <c r="C244" i="1"/>
  <c r="C11" i="1"/>
  <c r="C15" i="1"/>
  <c r="C41" i="1"/>
  <c r="C49" i="1"/>
  <c r="C76" i="1"/>
  <c r="C81" i="1"/>
  <c r="C86" i="1"/>
  <c r="C90" i="1"/>
  <c r="C94" i="1"/>
  <c r="C95" i="1"/>
  <c r="C96" i="1"/>
  <c r="C115" i="1"/>
  <c r="C118" i="1"/>
  <c r="C126" i="1"/>
  <c r="C142" i="1"/>
  <c r="C146" i="1"/>
  <c r="C154" i="1"/>
  <c r="C175" i="1"/>
  <c r="C204" i="1"/>
  <c r="C212" i="1"/>
  <c r="D213" i="1"/>
  <c r="C223" i="1"/>
  <c r="D224" i="1"/>
  <c r="C242" i="1"/>
  <c r="D243" i="1"/>
  <c r="C247" i="1"/>
  <c r="D248" i="1"/>
  <c r="C7" i="1"/>
  <c r="C48" i="1"/>
  <c r="C71" i="1"/>
  <c r="C97" i="1"/>
  <c r="C105" i="1"/>
  <c r="C107" i="1"/>
  <c r="C114" i="1"/>
  <c r="C125" i="1"/>
  <c r="C137" i="1"/>
  <c r="C145" i="1"/>
  <c r="C153" i="1"/>
  <c r="C170" i="1"/>
  <c r="C177" i="1"/>
  <c r="C181" i="1"/>
  <c r="C185" i="1"/>
  <c r="C207" i="1"/>
  <c r="C211" i="1"/>
  <c r="C222" i="1"/>
  <c r="C237" i="1"/>
  <c r="C241" i="1"/>
  <c r="C123" i="1"/>
  <c r="C143" i="1"/>
  <c r="C151" i="1"/>
  <c r="C176" i="1"/>
  <c r="C180" i="1"/>
  <c r="C184" i="1"/>
  <c r="C205" i="1"/>
  <c r="C220" i="1"/>
  <c r="C226" i="1"/>
  <c r="C227" i="1"/>
  <c r="C228" i="1"/>
  <c r="C229" i="1"/>
  <c r="C230" i="1"/>
</calcChain>
</file>

<file path=xl/sharedStrings.xml><?xml version="1.0" encoding="utf-8"?>
<sst xmlns="http://schemas.openxmlformats.org/spreadsheetml/2006/main" count="590" uniqueCount="41">
  <si>
    <t>Earnings -----------------------------------------</t>
  </si>
  <si>
    <t>STRIKE</t>
  </si>
  <si>
    <t>Company</t>
  </si>
  <si>
    <t>symbol</t>
  </si>
  <si>
    <t>share price</t>
  </si>
  <si>
    <t>One Yr. Pot</t>
  </si>
  <si>
    <t>Earnings - PY</t>
  </si>
  <si>
    <t>Earnings - CY Est.</t>
  </si>
  <si>
    <t>Earnings - Next Yr Est</t>
  </si>
  <si>
    <t>mrq</t>
  </si>
  <si>
    <t>Book Val/ Shr</t>
  </si>
  <si>
    <t>$/Shr</t>
  </si>
  <si>
    <t>C. Rat.</t>
  </si>
  <si>
    <t>TTM Profit %</t>
  </si>
  <si>
    <t>TTM Rev in B</t>
  </si>
  <si>
    <t>TTM Rev/Shr</t>
  </si>
  <si>
    <t>Debt/Shr</t>
  </si>
  <si>
    <t>Debt to Cap</t>
  </si>
  <si>
    <t>TTM OP CF/Shr</t>
  </si>
  <si>
    <t>TTM Lev Free CF/Shr</t>
  </si>
  <si>
    <t>Dividend/shr</t>
  </si>
  <si>
    <t>Div Yld</t>
  </si>
  <si>
    <t>Continental Resources</t>
  </si>
  <si>
    <t>CLR</t>
  </si>
  <si>
    <t>Kinder Morgan</t>
  </si>
  <si>
    <t>KMI</t>
  </si>
  <si>
    <t>N/A</t>
  </si>
  <si>
    <t>NAV</t>
  </si>
  <si>
    <t>Matador Resources Company</t>
  </si>
  <si>
    <t>MTDR</t>
  </si>
  <si>
    <t>National Oilwell Varco</t>
  </si>
  <si>
    <t>NOV</t>
  </si>
  <si>
    <t>Patterson UTI Energy</t>
  </si>
  <si>
    <t>PTEN</t>
  </si>
  <si>
    <t>Transocean</t>
  </si>
  <si>
    <t>RIG</t>
  </si>
  <si>
    <t>Range Resources Corp</t>
  </si>
  <si>
    <t>RRC</t>
  </si>
  <si>
    <t>Suncor</t>
  </si>
  <si>
    <t>SU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</si>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</sst>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mm/dd/yy;@"/>
    <numFmt numFmtId="165" formatCode="0.000"/>
    <numFmt numFmtId="166" formatCode="&quot;$&quot;#,##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8" fontId="0" fillId="0" borderId="0" xfId="0" applyNumberFormat="1"/>
    <xf numFmtId="2" fontId="0" fillId="0" borderId="0" xfId="0" applyNumberFormat="1"/>
    <xf numFmtId="164" fontId="0" fillId="0" borderId="0" xfId="0" applyNumberFormat="1"/>
    <xf numFmtId="8" fontId="2" fillId="0" borderId="0" xfId="0" applyNumberFormat="1" applyFont="1"/>
    <xf numFmtId="8" fontId="1" fillId="0" borderId="0" xfId="0" applyNumberFormat="1" applyFont="1"/>
    <xf numFmtId="8" fontId="3" fillId="0" borderId="0" xfId="0" applyNumberFormat="1" applyFont="1"/>
    <xf numFmtId="165" fontId="0" fillId="0" borderId="0" xfId="0" applyNumberFormat="1"/>
    <xf numFmtId="10" fontId="0" fillId="0" borderId="0" xfId="0" applyNumberFormat="1"/>
    <xf numFmtId="166" fontId="0" fillId="0" borderId="0" xfId="0" applyNumberFormat="1"/>
    <xf numFmtId="10" fontId="0" fillId="0" borderId="1" xfId="0" applyNumberFormat="1" applyBorder="1"/>
    <xf numFmtId="8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8" fontId="0" fillId="0" borderId="2" xfId="0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/>
    <xf numFmtId="8" fontId="0" fillId="0" borderId="2" xfId="0" applyNumberFormat="1" applyBorder="1"/>
    <xf numFmtId="2" fontId="0" fillId="0" borderId="2" xfId="0" applyNumberFormat="1" applyBorder="1"/>
    <xf numFmtId="164" fontId="0" fillId="0" borderId="2" xfId="0" applyNumberFormat="1" applyBorder="1"/>
    <xf numFmtId="8" fontId="2" fillId="0" borderId="2" xfId="0" applyNumberFormat="1" applyFont="1" applyBorder="1"/>
    <xf numFmtId="8" fontId="1" fillId="0" borderId="2" xfId="0" applyNumberFormat="1" applyFont="1" applyBorder="1"/>
    <xf numFmtId="8" fontId="3" fillId="0" borderId="2" xfId="0" applyNumberFormat="1" applyFont="1" applyBorder="1"/>
    <xf numFmtId="165" fontId="0" fillId="0" borderId="2" xfId="0" applyNumberFormat="1" applyBorder="1"/>
    <xf numFmtId="10" fontId="0" fillId="0" borderId="2" xfId="0" applyNumberFormat="1" applyBorder="1"/>
    <xf numFmtId="166" fontId="0" fillId="0" borderId="2" xfId="0" applyNumberFormat="1" applyBorder="1"/>
    <xf numFmtId="10" fontId="0" fillId="0" borderId="3" xfId="0" applyNumberFormat="1" applyBorder="1"/>
    <xf numFmtId="10" fontId="0" fillId="0" borderId="4" xfId="0" applyNumberFormat="1" applyBorder="1"/>
    <xf numFmtId="8" fontId="0" fillId="2" borderId="0" xfId="0" applyNumberFormat="1" applyFill="1"/>
    <xf numFmtId="8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rcher%20-%20Family%20and%20Personal/Stock%20tracking%20and%20inv%20ideas/earning%2012.31.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ividends"/>
      <sheetName val="Shares Held"/>
      <sheetName val="Cost by Account"/>
      <sheetName val="Value by Account"/>
      <sheetName val="Dividends by account"/>
      <sheetName val="Own"/>
      <sheetName val="Monitor"/>
      <sheetName val="Value Line"/>
      <sheetName val="Oil and Gas"/>
      <sheetName val="Louis"/>
      <sheetName val="CF Yld"/>
      <sheetName val="ValueLine"/>
      <sheetName val="Newly Watching"/>
      <sheetName val="Bankruptcies"/>
      <sheetName val="Data not used"/>
      <sheetName val="Top Values"/>
      <sheetName val="Hist"/>
    </sheetNames>
    <sheetDataSet>
      <sheetData sheetId="0">
        <row r="5">
          <cell r="K5" t="str">
            <v>CLR</v>
          </cell>
          <cell r="L5">
            <v>45.1</v>
          </cell>
          <cell r="M5">
            <v>44519</v>
          </cell>
        </row>
        <row r="6">
          <cell r="K6" t="str">
            <v>CVX</v>
          </cell>
          <cell r="L6">
            <v>111.91</v>
          </cell>
          <cell r="M6">
            <v>44519</v>
          </cell>
        </row>
        <row r="7">
          <cell r="K7" t="str">
            <v>KMI</v>
          </cell>
          <cell r="L7">
            <v>16.16</v>
          </cell>
          <cell r="M7">
            <v>44519</v>
          </cell>
        </row>
        <row r="8">
          <cell r="K8" t="str">
            <v>MTDR</v>
          </cell>
          <cell r="L8">
            <v>40.75</v>
          </cell>
          <cell r="M8">
            <v>44519</v>
          </cell>
        </row>
        <row r="9">
          <cell r="K9" t="str">
            <v>NOV</v>
          </cell>
          <cell r="L9">
            <v>12.03</v>
          </cell>
          <cell r="M9">
            <v>44519</v>
          </cell>
        </row>
        <row r="10">
          <cell r="K10" t="str">
            <v>PTEN</v>
          </cell>
          <cell r="L10">
            <v>7.36</v>
          </cell>
          <cell r="M10">
            <v>44519</v>
          </cell>
        </row>
        <row r="11">
          <cell r="K11" t="str">
            <v>PXD</v>
          </cell>
          <cell r="L11">
            <v>176.46</v>
          </cell>
          <cell r="M11">
            <v>44519</v>
          </cell>
        </row>
        <row r="12">
          <cell r="K12" t="str">
            <v>RIG</v>
          </cell>
          <cell r="L12">
            <v>2.98</v>
          </cell>
          <cell r="M12">
            <v>44519</v>
          </cell>
        </row>
        <row r="13">
          <cell r="K13" t="str">
            <v>RRC</v>
          </cell>
          <cell r="L13">
            <v>20.61</v>
          </cell>
          <cell r="M13">
            <v>44519</v>
          </cell>
        </row>
        <row r="14">
          <cell r="K14" t="str">
            <v>SU</v>
          </cell>
          <cell r="L14">
            <v>25.03</v>
          </cell>
          <cell r="M14">
            <v>44519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F0E67-DC19-4314-AD8D-63FD11CFC7B5}">
  <dimension ref="B1:AL268"/>
  <sheetViews>
    <sheetView tabSelected="1" topLeftCell="A4" workbookViewId="0">
      <selection activeCell="I33" sqref="I33"/>
    </sheetView>
  </sheetViews>
  <sheetFormatPr defaultRowHeight="15" x14ac:dyDescent="0.25"/>
  <cols>
    <col min="2" max="2" width="9.140625" style="1"/>
    <col min="3" max="3" width="9.140625" style="2"/>
    <col min="5" max="5" width="5.42578125" customWidth="1"/>
    <col min="6" max="6" width="24.7109375" customWidth="1"/>
    <col min="7" max="7" width="10.7109375" style="3" bestFit="1" customWidth="1"/>
    <col min="8" max="8" width="11.140625" style="3" customWidth="1"/>
    <col min="9" max="9" width="11" style="1" customWidth="1"/>
    <col min="10" max="10" width="11" style="4" customWidth="1"/>
    <col min="11" max="11" width="5.140625" customWidth="1"/>
    <col min="12" max="12" width="9.140625" style="5"/>
    <col min="13" max="14" width="9.140625" style="1"/>
    <col min="15" max="15" width="3.7109375" customWidth="1"/>
    <col min="16" max="16" width="10.85546875" style="3" customWidth="1"/>
    <col min="17" max="17" width="11" style="6" customWidth="1"/>
    <col min="18" max="18" width="10.5703125" style="1" customWidth="1"/>
    <col min="19" max="19" width="9.140625" style="7"/>
    <col min="20" max="20" width="3.7109375" customWidth="1"/>
    <col min="21" max="21" width="11.42578125" style="8" customWidth="1"/>
    <col min="22" max="22" width="12" style="9" customWidth="1"/>
    <col min="23" max="23" width="11.28515625" style="1" customWidth="1"/>
    <col min="24" max="24" width="3.5703125" customWidth="1"/>
    <col min="25" max="25" width="11.28515625" style="1" customWidth="1"/>
    <col min="26" max="26" width="12" style="8" customWidth="1"/>
    <col min="27" max="27" width="3.42578125" style="8" customWidth="1"/>
    <col min="28" max="29" width="12" style="1" customWidth="1"/>
    <col min="30" max="30" width="3" customWidth="1"/>
    <col min="31" max="31" width="11.28515625" style="1" customWidth="1"/>
    <col min="32" max="32" width="9.140625" style="10"/>
    <col min="261" max="261" width="5.42578125" customWidth="1"/>
    <col min="262" max="262" width="24.7109375" customWidth="1"/>
    <col min="263" max="263" width="10.7109375" bestFit="1" customWidth="1"/>
    <col min="264" max="264" width="11.140625" customWidth="1"/>
    <col min="265" max="266" width="11" customWidth="1"/>
    <col min="267" max="267" width="5.140625" customWidth="1"/>
    <col min="271" max="271" width="3.7109375" customWidth="1"/>
    <col min="272" max="272" width="10.85546875" customWidth="1"/>
    <col min="273" max="273" width="11" customWidth="1"/>
    <col min="274" max="274" width="10.5703125" customWidth="1"/>
    <col min="276" max="276" width="3.7109375" customWidth="1"/>
    <col min="277" max="277" width="11.42578125" customWidth="1"/>
    <col min="278" max="278" width="12" customWidth="1"/>
    <col min="279" max="279" width="11.28515625" customWidth="1"/>
    <col min="280" max="280" width="3.5703125" customWidth="1"/>
    <col min="281" max="281" width="11.28515625" customWidth="1"/>
    <col min="282" max="282" width="12" customWidth="1"/>
    <col min="283" max="283" width="3.42578125" customWidth="1"/>
    <col min="284" max="285" width="12" customWidth="1"/>
    <col min="286" max="286" width="3" customWidth="1"/>
    <col min="287" max="287" width="11.28515625" customWidth="1"/>
    <col min="517" max="517" width="5.42578125" customWidth="1"/>
    <col min="518" max="518" width="24.7109375" customWidth="1"/>
    <col min="519" max="519" width="10.7109375" bestFit="1" customWidth="1"/>
    <col min="520" max="520" width="11.140625" customWidth="1"/>
    <col min="521" max="522" width="11" customWidth="1"/>
    <col min="523" max="523" width="5.140625" customWidth="1"/>
    <col min="527" max="527" width="3.7109375" customWidth="1"/>
    <col min="528" max="528" width="10.85546875" customWidth="1"/>
    <col min="529" max="529" width="11" customWidth="1"/>
    <col min="530" max="530" width="10.5703125" customWidth="1"/>
    <col min="532" max="532" width="3.7109375" customWidth="1"/>
    <col min="533" max="533" width="11.42578125" customWidth="1"/>
    <col min="534" max="534" width="12" customWidth="1"/>
    <col min="535" max="535" width="11.28515625" customWidth="1"/>
    <col min="536" max="536" width="3.5703125" customWidth="1"/>
    <col min="537" max="537" width="11.28515625" customWidth="1"/>
    <col min="538" max="538" width="12" customWidth="1"/>
    <col min="539" max="539" width="3.42578125" customWidth="1"/>
    <col min="540" max="541" width="12" customWidth="1"/>
    <col min="542" max="542" width="3" customWidth="1"/>
    <col min="543" max="543" width="11.28515625" customWidth="1"/>
    <col min="773" max="773" width="5.42578125" customWidth="1"/>
    <col min="774" max="774" width="24.7109375" customWidth="1"/>
    <col min="775" max="775" width="10.7109375" bestFit="1" customWidth="1"/>
    <col min="776" max="776" width="11.140625" customWidth="1"/>
    <col min="777" max="778" width="11" customWidth="1"/>
    <col min="779" max="779" width="5.140625" customWidth="1"/>
    <col min="783" max="783" width="3.7109375" customWidth="1"/>
    <col min="784" max="784" width="10.85546875" customWidth="1"/>
    <col min="785" max="785" width="11" customWidth="1"/>
    <col min="786" max="786" width="10.5703125" customWidth="1"/>
    <col min="788" max="788" width="3.7109375" customWidth="1"/>
    <col min="789" max="789" width="11.42578125" customWidth="1"/>
    <col min="790" max="790" width="12" customWidth="1"/>
    <col min="791" max="791" width="11.28515625" customWidth="1"/>
    <col min="792" max="792" width="3.5703125" customWidth="1"/>
    <col min="793" max="793" width="11.28515625" customWidth="1"/>
    <col min="794" max="794" width="12" customWidth="1"/>
    <col min="795" max="795" width="3.42578125" customWidth="1"/>
    <col min="796" max="797" width="12" customWidth="1"/>
    <col min="798" max="798" width="3" customWidth="1"/>
    <col min="799" max="799" width="11.28515625" customWidth="1"/>
    <col min="1029" max="1029" width="5.42578125" customWidth="1"/>
    <col min="1030" max="1030" width="24.7109375" customWidth="1"/>
    <col min="1031" max="1031" width="10.7109375" bestFit="1" customWidth="1"/>
    <col min="1032" max="1032" width="11.140625" customWidth="1"/>
    <col min="1033" max="1034" width="11" customWidth="1"/>
    <col min="1035" max="1035" width="5.140625" customWidth="1"/>
    <col min="1039" max="1039" width="3.7109375" customWidth="1"/>
    <col min="1040" max="1040" width="10.85546875" customWidth="1"/>
    <col min="1041" max="1041" width="11" customWidth="1"/>
    <col min="1042" max="1042" width="10.5703125" customWidth="1"/>
    <col min="1044" max="1044" width="3.7109375" customWidth="1"/>
    <col min="1045" max="1045" width="11.42578125" customWidth="1"/>
    <col min="1046" max="1046" width="12" customWidth="1"/>
    <col min="1047" max="1047" width="11.28515625" customWidth="1"/>
    <col min="1048" max="1048" width="3.5703125" customWidth="1"/>
    <col min="1049" max="1049" width="11.28515625" customWidth="1"/>
    <col min="1050" max="1050" width="12" customWidth="1"/>
    <col min="1051" max="1051" width="3.42578125" customWidth="1"/>
    <col min="1052" max="1053" width="12" customWidth="1"/>
    <col min="1054" max="1054" width="3" customWidth="1"/>
    <col min="1055" max="1055" width="11.28515625" customWidth="1"/>
    <col min="1285" max="1285" width="5.42578125" customWidth="1"/>
    <col min="1286" max="1286" width="24.7109375" customWidth="1"/>
    <col min="1287" max="1287" width="10.7109375" bestFit="1" customWidth="1"/>
    <col min="1288" max="1288" width="11.140625" customWidth="1"/>
    <col min="1289" max="1290" width="11" customWidth="1"/>
    <col min="1291" max="1291" width="5.140625" customWidth="1"/>
    <col min="1295" max="1295" width="3.7109375" customWidth="1"/>
    <col min="1296" max="1296" width="10.85546875" customWidth="1"/>
    <col min="1297" max="1297" width="11" customWidth="1"/>
    <col min="1298" max="1298" width="10.5703125" customWidth="1"/>
    <col min="1300" max="1300" width="3.7109375" customWidth="1"/>
    <col min="1301" max="1301" width="11.42578125" customWidth="1"/>
    <col min="1302" max="1302" width="12" customWidth="1"/>
    <col min="1303" max="1303" width="11.28515625" customWidth="1"/>
    <col min="1304" max="1304" width="3.5703125" customWidth="1"/>
    <col min="1305" max="1305" width="11.28515625" customWidth="1"/>
    <col min="1306" max="1306" width="12" customWidth="1"/>
    <col min="1307" max="1307" width="3.42578125" customWidth="1"/>
    <col min="1308" max="1309" width="12" customWidth="1"/>
    <col min="1310" max="1310" width="3" customWidth="1"/>
    <col min="1311" max="1311" width="11.28515625" customWidth="1"/>
    <col min="1541" max="1541" width="5.42578125" customWidth="1"/>
    <col min="1542" max="1542" width="24.7109375" customWidth="1"/>
    <col min="1543" max="1543" width="10.7109375" bestFit="1" customWidth="1"/>
    <col min="1544" max="1544" width="11.140625" customWidth="1"/>
    <col min="1545" max="1546" width="11" customWidth="1"/>
    <col min="1547" max="1547" width="5.140625" customWidth="1"/>
    <col min="1551" max="1551" width="3.7109375" customWidth="1"/>
    <col min="1552" max="1552" width="10.85546875" customWidth="1"/>
    <col min="1553" max="1553" width="11" customWidth="1"/>
    <col min="1554" max="1554" width="10.5703125" customWidth="1"/>
    <col min="1556" max="1556" width="3.7109375" customWidth="1"/>
    <col min="1557" max="1557" width="11.42578125" customWidth="1"/>
    <col min="1558" max="1558" width="12" customWidth="1"/>
    <col min="1559" max="1559" width="11.28515625" customWidth="1"/>
    <col min="1560" max="1560" width="3.5703125" customWidth="1"/>
    <col min="1561" max="1561" width="11.28515625" customWidth="1"/>
    <col min="1562" max="1562" width="12" customWidth="1"/>
    <col min="1563" max="1563" width="3.42578125" customWidth="1"/>
    <col min="1564" max="1565" width="12" customWidth="1"/>
    <col min="1566" max="1566" width="3" customWidth="1"/>
    <col min="1567" max="1567" width="11.28515625" customWidth="1"/>
    <col min="1797" max="1797" width="5.42578125" customWidth="1"/>
    <col min="1798" max="1798" width="24.7109375" customWidth="1"/>
    <col min="1799" max="1799" width="10.7109375" bestFit="1" customWidth="1"/>
    <col min="1800" max="1800" width="11.140625" customWidth="1"/>
    <col min="1801" max="1802" width="11" customWidth="1"/>
    <col min="1803" max="1803" width="5.140625" customWidth="1"/>
    <col min="1807" max="1807" width="3.7109375" customWidth="1"/>
    <col min="1808" max="1808" width="10.85546875" customWidth="1"/>
    <col min="1809" max="1809" width="11" customWidth="1"/>
    <col min="1810" max="1810" width="10.5703125" customWidth="1"/>
    <col min="1812" max="1812" width="3.7109375" customWidth="1"/>
    <col min="1813" max="1813" width="11.42578125" customWidth="1"/>
    <col min="1814" max="1814" width="12" customWidth="1"/>
    <col min="1815" max="1815" width="11.28515625" customWidth="1"/>
    <col min="1816" max="1816" width="3.5703125" customWidth="1"/>
    <col min="1817" max="1817" width="11.28515625" customWidth="1"/>
    <col min="1818" max="1818" width="12" customWidth="1"/>
    <col min="1819" max="1819" width="3.42578125" customWidth="1"/>
    <col min="1820" max="1821" width="12" customWidth="1"/>
    <col min="1822" max="1822" width="3" customWidth="1"/>
    <col min="1823" max="1823" width="11.28515625" customWidth="1"/>
    <col min="2053" max="2053" width="5.42578125" customWidth="1"/>
    <col min="2054" max="2054" width="24.7109375" customWidth="1"/>
    <col min="2055" max="2055" width="10.7109375" bestFit="1" customWidth="1"/>
    <col min="2056" max="2056" width="11.140625" customWidth="1"/>
    <col min="2057" max="2058" width="11" customWidth="1"/>
    <col min="2059" max="2059" width="5.140625" customWidth="1"/>
    <col min="2063" max="2063" width="3.7109375" customWidth="1"/>
    <col min="2064" max="2064" width="10.85546875" customWidth="1"/>
    <col min="2065" max="2065" width="11" customWidth="1"/>
    <col min="2066" max="2066" width="10.5703125" customWidth="1"/>
    <col min="2068" max="2068" width="3.7109375" customWidth="1"/>
    <col min="2069" max="2069" width="11.42578125" customWidth="1"/>
    <col min="2070" max="2070" width="12" customWidth="1"/>
    <col min="2071" max="2071" width="11.28515625" customWidth="1"/>
    <col min="2072" max="2072" width="3.5703125" customWidth="1"/>
    <col min="2073" max="2073" width="11.28515625" customWidth="1"/>
    <col min="2074" max="2074" width="12" customWidth="1"/>
    <col min="2075" max="2075" width="3.42578125" customWidth="1"/>
    <col min="2076" max="2077" width="12" customWidth="1"/>
    <col min="2078" max="2078" width="3" customWidth="1"/>
    <col min="2079" max="2079" width="11.28515625" customWidth="1"/>
    <col min="2309" max="2309" width="5.42578125" customWidth="1"/>
    <col min="2310" max="2310" width="24.7109375" customWidth="1"/>
    <col min="2311" max="2311" width="10.7109375" bestFit="1" customWidth="1"/>
    <col min="2312" max="2312" width="11.140625" customWidth="1"/>
    <col min="2313" max="2314" width="11" customWidth="1"/>
    <col min="2315" max="2315" width="5.140625" customWidth="1"/>
    <col min="2319" max="2319" width="3.7109375" customWidth="1"/>
    <col min="2320" max="2320" width="10.85546875" customWidth="1"/>
    <col min="2321" max="2321" width="11" customWidth="1"/>
    <col min="2322" max="2322" width="10.5703125" customWidth="1"/>
    <col min="2324" max="2324" width="3.7109375" customWidth="1"/>
    <col min="2325" max="2325" width="11.42578125" customWidth="1"/>
    <col min="2326" max="2326" width="12" customWidth="1"/>
    <col min="2327" max="2327" width="11.28515625" customWidth="1"/>
    <col min="2328" max="2328" width="3.5703125" customWidth="1"/>
    <col min="2329" max="2329" width="11.28515625" customWidth="1"/>
    <col min="2330" max="2330" width="12" customWidth="1"/>
    <col min="2331" max="2331" width="3.42578125" customWidth="1"/>
    <col min="2332" max="2333" width="12" customWidth="1"/>
    <col min="2334" max="2334" width="3" customWidth="1"/>
    <col min="2335" max="2335" width="11.28515625" customWidth="1"/>
    <col min="2565" max="2565" width="5.42578125" customWidth="1"/>
    <col min="2566" max="2566" width="24.7109375" customWidth="1"/>
    <col min="2567" max="2567" width="10.7109375" bestFit="1" customWidth="1"/>
    <col min="2568" max="2568" width="11.140625" customWidth="1"/>
    <col min="2569" max="2570" width="11" customWidth="1"/>
    <col min="2571" max="2571" width="5.140625" customWidth="1"/>
    <col min="2575" max="2575" width="3.7109375" customWidth="1"/>
    <col min="2576" max="2576" width="10.85546875" customWidth="1"/>
    <col min="2577" max="2577" width="11" customWidth="1"/>
    <col min="2578" max="2578" width="10.5703125" customWidth="1"/>
    <col min="2580" max="2580" width="3.7109375" customWidth="1"/>
    <col min="2581" max="2581" width="11.42578125" customWidth="1"/>
    <col min="2582" max="2582" width="12" customWidth="1"/>
    <col min="2583" max="2583" width="11.28515625" customWidth="1"/>
    <col min="2584" max="2584" width="3.5703125" customWidth="1"/>
    <col min="2585" max="2585" width="11.28515625" customWidth="1"/>
    <col min="2586" max="2586" width="12" customWidth="1"/>
    <col min="2587" max="2587" width="3.42578125" customWidth="1"/>
    <col min="2588" max="2589" width="12" customWidth="1"/>
    <col min="2590" max="2590" width="3" customWidth="1"/>
    <col min="2591" max="2591" width="11.28515625" customWidth="1"/>
    <col min="2821" max="2821" width="5.42578125" customWidth="1"/>
    <col min="2822" max="2822" width="24.7109375" customWidth="1"/>
    <col min="2823" max="2823" width="10.7109375" bestFit="1" customWidth="1"/>
    <col min="2824" max="2824" width="11.140625" customWidth="1"/>
    <col min="2825" max="2826" width="11" customWidth="1"/>
    <col min="2827" max="2827" width="5.140625" customWidth="1"/>
    <col min="2831" max="2831" width="3.7109375" customWidth="1"/>
    <col min="2832" max="2832" width="10.85546875" customWidth="1"/>
    <col min="2833" max="2833" width="11" customWidth="1"/>
    <col min="2834" max="2834" width="10.5703125" customWidth="1"/>
    <col min="2836" max="2836" width="3.7109375" customWidth="1"/>
    <col min="2837" max="2837" width="11.42578125" customWidth="1"/>
    <col min="2838" max="2838" width="12" customWidth="1"/>
    <col min="2839" max="2839" width="11.28515625" customWidth="1"/>
    <col min="2840" max="2840" width="3.5703125" customWidth="1"/>
    <col min="2841" max="2841" width="11.28515625" customWidth="1"/>
    <col min="2842" max="2842" width="12" customWidth="1"/>
    <col min="2843" max="2843" width="3.42578125" customWidth="1"/>
    <col min="2844" max="2845" width="12" customWidth="1"/>
    <col min="2846" max="2846" width="3" customWidth="1"/>
    <col min="2847" max="2847" width="11.28515625" customWidth="1"/>
    <col min="3077" max="3077" width="5.42578125" customWidth="1"/>
    <col min="3078" max="3078" width="24.7109375" customWidth="1"/>
    <col min="3079" max="3079" width="10.7109375" bestFit="1" customWidth="1"/>
    <col min="3080" max="3080" width="11.140625" customWidth="1"/>
    <col min="3081" max="3082" width="11" customWidth="1"/>
    <col min="3083" max="3083" width="5.140625" customWidth="1"/>
    <col min="3087" max="3087" width="3.7109375" customWidth="1"/>
    <col min="3088" max="3088" width="10.85546875" customWidth="1"/>
    <col min="3089" max="3089" width="11" customWidth="1"/>
    <col min="3090" max="3090" width="10.5703125" customWidth="1"/>
    <col min="3092" max="3092" width="3.7109375" customWidth="1"/>
    <col min="3093" max="3093" width="11.42578125" customWidth="1"/>
    <col min="3094" max="3094" width="12" customWidth="1"/>
    <col min="3095" max="3095" width="11.28515625" customWidth="1"/>
    <col min="3096" max="3096" width="3.5703125" customWidth="1"/>
    <col min="3097" max="3097" width="11.28515625" customWidth="1"/>
    <col min="3098" max="3098" width="12" customWidth="1"/>
    <col min="3099" max="3099" width="3.42578125" customWidth="1"/>
    <col min="3100" max="3101" width="12" customWidth="1"/>
    <col min="3102" max="3102" width="3" customWidth="1"/>
    <col min="3103" max="3103" width="11.28515625" customWidth="1"/>
    <col min="3333" max="3333" width="5.42578125" customWidth="1"/>
    <col min="3334" max="3334" width="24.7109375" customWidth="1"/>
    <col min="3335" max="3335" width="10.7109375" bestFit="1" customWidth="1"/>
    <col min="3336" max="3336" width="11.140625" customWidth="1"/>
    <col min="3337" max="3338" width="11" customWidth="1"/>
    <col min="3339" max="3339" width="5.140625" customWidth="1"/>
    <col min="3343" max="3343" width="3.7109375" customWidth="1"/>
    <col min="3344" max="3344" width="10.85546875" customWidth="1"/>
    <col min="3345" max="3345" width="11" customWidth="1"/>
    <col min="3346" max="3346" width="10.5703125" customWidth="1"/>
    <col min="3348" max="3348" width="3.7109375" customWidth="1"/>
    <col min="3349" max="3349" width="11.42578125" customWidth="1"/>
    <col min="3350" max="3350" width="12" customWidth="1"/>
    <col min="3351" max="3351" width="11.28515625" customWidth="1"/>
    <col min="3352" max="3352" width="3.5703125" customWidth="1"/>
    <col min="3353" max="3353" width="11.28515625" customWidth="1"/>
    <col min="3354" max="3354" width="12" customWidth="1"/>
    <col min="3355" max="3355" width="3.42578125" customWidth="1"/>
    <col min="3356" max="3357" width="12" customWidth="1"/>
    <col min="3358" max="3358" width="3" customWidth="1"/>
    <col min="3359" max="3359" width="11.28515625" customWidth="1"/>
    <col min="3589" max="3589" width="5.42578125" customWidth="1"/>
    <col min="3590" max="3590" width="24.7109375" customWidth="1"/>
    <col min="3591" max="3591" width="10.7109375" bestFit="1" customWidth="1"/>
    <col min="3592" max="3592" width="11.140625" customWidth="1"/>
    <col min="3593" max="3594" width="11" customWidth="1"/>
    <col min="3595" max="3595" width="5.140625" customWidth="1"/>
    <col min="3599" max="3599" width="3.7109375" customWidth="1"/>
    <col min="3600" max="3600" width="10.85546875" customWidth="1"/>
    <col min="3601" max="3601" width="11" customWidth="1"/>
    <col min="3602" max="3602" width="10.5703125" customWidth="1"/>
    <col min="3604" max="3604" width="3.7109375" customWidth="1"/>
    <col min="3605" max="3605" width="11.42578125" customWidth="1"/>
    <col min="3606" max="3606" width="12" customWidth="1"/>
    <col min="3607" max="3607" width="11.28515625" customWidth="1"/>
    <col min="3608" max="3608" width="3.5703125" customWidth="1"/>
    <col min="3609" max="3609" width="11.28515625" customWidth="1"/>
    <col min="3610" max="3610" width="12" customWidth="1"/>
    <col min="3611" max="3611" width="3.42578125" customWidth="1"/>
    <col min="3612" max="3613" width="12" customWidth="1"/>
    <col min="3614" max="3614" width="3" customWidth="1"/>
    <col min="3615" max="3615" width="11.28515625" customWidth="1"/>
    <col min="3845" max="3845" width="5.42578125" customWidth="1"/>
    <col min="3846" max="3846" width="24.7109375" customWidth="1"/>
    <col min="3847" max="3847" width="10.7109375" bestFit="1" customWidth="1"/>
    <col min="3848" max="3848" width="11.140625" customWidth="1"/>
    <col min="3849" max="3850" width="11" customWidth="1"/>
    <col min="3851" max="3851" width="5.140625" customWidth="1"/>
    <col min="3855" max="3855" width="3.7109375" customWidth="1"/>
    <col min="3856" max="3856" width="10.85546875" customWidth="1"/>
    <col min="3857" max="3857" width="11" customWidth="1"/>
    <col min="3858" max="3858" width="10.5703125" customWidth="1"/>
    <col min="3860" max="3860" width="3.7109375" customWidth="1"/>
    <col min="3861" max="3861" width="11.42578125" customWidth="1"/>
    <col min="3862" max="3862" width="12" customWidth="1"/>
    <col min="3863" max="3863" width="11.28515625" customWidth="1"/>
    <col min="3864" max="3864" width="3.5703125" customWidth="1"/>
    <col min="3865" max="3865" width="11.28515625" customWidth="1"/>
    <col min="3866" max="3866" width="12" customWidth="1"/>
    <col min="3867" max="3867" width="3.42578125" customWidth="1"/>
    <col min="3868" max="3869" width="12" customWidth="1"/>
    <col min="3870" max="3870" width="3" customWidth="1"/>
    <col min="3871" max="3871" width="11.28515625" customWidth="1"/>
    <col min="4101" max="4101" width="5.42578125" customWidth="1"/>
    <col min="4102" max="4102" width="24.7109375" customWidth="1"/>
    <col min="4103" max="4103" width="10.7109375" bestFit="1" customWidth="1"/>
    <col min="4104" max="4104" width="11.140625" customWidth="1"/>
    <col min="4105" max="4106" width="11" customWidth="1"/>
    <col min="4107" max="4107" width="5.140625" customWidth="1"/>
    <col min="4111" max="4111" width="3.7109375" customWidth="1"/>
    <col min="4112" max="4112" width="10.85546875" customWidth="1"/>
    <col min="4113" max="4113" width="11" customWidth="1"/>
    <col min="4114" max="4114" width="10.5703125" customWidth="1"/>
    <col min="4116" max="4116" width="3.7109375" customWidth="1"/>
    <col min="4117" max="4117" width="11.42578125" customWidth="1"/>
    <col min="4118" max="4118" width="12" customWidth="1"/>
    <col min="4119" max="4119" width="11.28515625" customWidth="1"/>
    <col min="4120" max="4120" width="3.5703125" customWidth="1"/>
    <col min="4121" max="4121" width="11.28515625" customWidth="1"/>
    <col min="4122" max="4122" width="12" customWidth="1"/>
    <col min="4123" max="4123" width="3.42578125" customWidth="1"/>
    <col min="4124" max="4125" width="12" customWidth="1"/>
    <col min="4126" max="4126" width="3" customWidth="1"/>
    <col min="4127" max="4127" width="11.28515625" customWidth="1"/>
    <col min="4357" max="4357" width="5.42578125" customWidth="1"/>
    <col min="4358" max="4358" width="24.7109375" customWidth="1"/>
    <col min="4359" max="4359" width="10.7109375" bestFit="1" customWidth="1"/>
    <col min="4360" max="4360" width="11.140625" customWidth="1"/>
    <col min="4361" max="4362" width="11" customWidth="1"/>
    <col min="4363" max="4363" width="5.140625" customWidth="1"/>
    <col min="4367" max="4367" width="3.7109375" customWidth="1"/>
    <col min="4368" max="4368" width="10.85546875" customWidth="1"/>
    <col min="4369" max="4369" width="11" customWidth="1"/>
    <col min="4370" max="4370" width="10.5703125" customWidth="1"/>
    <col min="4372" max="4372" width="3.7109375" customWidth="1"/>
    <col min="4373" max="4373" width="11.42578125" customWidth="1"/>
    <col min="4374" max="4374" width="12" customWidth="1"/>
    <col min="4375" max="4375" width="11.28515625" customWidth="1"/>
    <col min="4376" max="4376" width="3.5703125" customWidth="1"/>
    <col min="4377" max="4377" width="11.28515625" customWidth="1"/>
    <col min="4378" max="4378" width="12" customWidth="1"/>
    <col min="4379" max="4379" width="3.42578125" customWidth="1"/>
    <col min="4380" max="4381" width="12" customWidth="1"/>
    <col min="4382" max="4382" width="3" customWidth="1"/>
    <col min="4383" max="4383" width="11.28515625" customWidth="1"/>
    <col min="4613" max="4613" width="5.42578125" customWidth="1"/>
    <col min="4614" max="4614" width="24.7109375" customWidth="1"/>
    <col min="4615" max="4615" width="10.7109375" bestFit="1" customWidth="1"/>
    <col min="4616" max="4616" width="11.140625" customWidth="1"/>
    <col min="4617" max="4618" width="11" customWidth="1"/>
    <col min="4619" max="4619" width="5.140625" customWidth="1"/>
    <col min="4623" max="4623" width="3.7109375" customWidth="1"/>
    <col min="4624" max="4624" width="10.85546875" customWidth="1"/>
    <col min="4625" max="4625" width="11" customWidth="1"/>
    <col min="4626" max="4626" width="10.5703125" customWidth="1"/>
    <col min="4628" max="4628" width="3.7109375" customWidth="1"/>
    <col min="4629" max="4629" width="11.42578125" customWidth="1"/>
    <col min="4630" max="4630" width="12" customWidth="1"/>
    <col min="4631" max="4631" width="11.28515625" customWidth="1"/>
    <col min="4632" max="4632" width="3.5703125" customWidth="1"/>
    <col min="4633" max="4633" width="11.28515625" customWidth="1"/>
    <col min="4634" max="4634" width="12" customWidth="1"/>
    <col min="4635" max="4635" width="3.42578125" customWidth="1"/>
    <col min="4636" max="4637" width="12" customWidth="1"/>
    <col min="4638" max="4638" width="3" customWidth="1"/>
    <col min="4639" max="4639" width="11.28515625" customWidth="1"/>
    <col min="4869" max="4869" width="5.42578125" customWidth="1"/>
    <col min="4870" max="4870" width="24.7109375" customWidth="1"/>
    <col min="4871" max="4871" width="10.7109375" bestFit="1" customWidth="1"/>
    <col min="4872" max="4872" width="11.140625" customWidth="1"/>
    <col min="4873" max="4874" width="11" customWidth="1"/>
    <col min="4875" max="4875" width="5.140625" customWidth="1"/>
    <col min="4879" max="4879" width="3.7109375" customWidth="1"/>
    <col min="4880" max="4880" width="10.85546875" customWidth="1"/>
    <col min="4881" max="4881" width="11" customWidth="1"/>
    <col min="4882" max="4882" width="10.5703125" customWidth="1"/>
    <col min="4884" max="4884" width="3.7109375" customWidth="1"/>
    <col min="4885" max="4885" width="11.42578125" customWidth="1"/>
    <col min="4886" max="4886" width="12" customWidth="1"/>
    <col min="4887" max="4887" width="11.28515625" customWidth="1"/>
    <col min="4888" max="4888" width="3.5703125" customWidth="1"/>
    <col min="4889" max="4889" width="11.28515625" customWidth="1"/>
    <col min="4890" max="4890" width="12" customWidth="1"/>
    <col min="4891" max="4891" width="3.42578125" customWidth="1"/>
    <col min="4892" max="4893" width="12" customWidth="1"/>
    <col min="4894" max="4894" width="3" customWidth="1"/>
    <col min="4895" max="4895" width="11.28515625" customWidth="1"/>
    <col min="5125" max="5125" width="5.42578125" customWidth="1"/>
    <col min="5126" max="5126" width="24.7109375" customWidth="1"/>
    <col min="5127" max="5127" width="10.7109375" bestFit="1" customWidth="1"/>
    <col min="5128" max="5128" width="11.140625" customWidth="1"/>
    <col min="5129" max="5130" width="11" customWidth="1"/>
    <col min="5131" max="5131" width="5.140625" customWidth="1"/>
    <col min="5135" max="5135" width="3.7109375" customWidth="1"/>
    <col min="5136" max="5136" width="10.85546875" customWidth="1"/>
    <col min="5137" max="5137" width="11" customWidth="1"/>
    <col min="5138" max="5138" width="10.5703125" customWidth="1"/>
    <col min="5140" max="5140" width="3.7109375" customWidth="1"/>
    <col min="5141" max="5141" width="11.42578125" customWidth="1"/>
    <col min="5142" max="5142" width="12" customWidth="1"/>
    <col min="5143" max="5143" width="11.28515625" customWidth="1"/>
    <col min="5144" max="5144" width="3.5703125" customWidth="1"/>
    <col min="5145" max="5145" width="11.28515625" customWidth="1"/>
    <col min="5146" max="5146" width="12" customWidth="1"/>
    <col min="5147" max="5147" width="3.42578125" customWidth="1"/>
    <col min="5148" max="5149" width="12" customWidth="1"/>
    <col min="5150" max="5150" width="3" customWidth="1"/>
    <col min="5151" max="5151" width="11.28515625" customWidth="1"/>
    <col min="5381" max="5381" width="5.42578125" customWidth="1"/>
    <col min="5382" max="5382" width="24.7109375" customWidth="1"/>
    <col min="5383" max="5383" width="10.7109375" bestFit="1" customWidth="1"/>
    <col min="5384" max="5384" width="11.140625" customWidth="1"/>
    <col min="5385" max="5386" width="11" customWidth="1"/>
    <col min="5387" max="5387" width="5.140625" customWidth="1"/>
    <col min="5391" max="5391" width="3.7109375" customWidth="1"/>
    <col min="5392" max="5392" width="10.85546875" customWidth="1"/>
    <col min="5393" max="5393" width="11" customWidth="1"/>
    <col min="5394" max="5394" width="10.5703125" customWidth="1"/>
    <col min="5396" max="5396" width="3.7109375" customWidth="1"/>
    <col min="5397" max="5397" width="11.42578125" customWidth="1"/>
    <col min="5398" max="5398" width="12" customWidth="1"/>
    <col min="5399" max="5399" width="11.28515625" customWidth="1"/>
    <col min="5400" max="5400" width="3.5703125" customWidth="1"/>
    <col min="5401" max="5401" width="11.28515625" customWidth="1"/>
    <col min="5402" max="5402" width="12" customWidth="1"/>
    <col min="5403" max="5403" width="3.42578125" customWidth="1"/>
    <col min="5404" max="5405" width="12" customWidth="1"/>
    <col min="5406" max="5406" width="3" customWidth="1"/>
    <col min="5407" max="5407" width="11.28515625" customWidth="1"/>
    <col min="5637" max="5637" width="5.42578125" customWidth="1"/>
    <col min="5638" max="5638" width="24.7109375" customWidth="1"/>
    <col min="5639" max="5639" width="10.7109375" bestFit="1" customWidth="1"/>
    <col min="5640" max="5640" width="11.140625" customWidth="1"/>
    <col min="5641" max="5642" width="11" customWidth="1"/>
    <col min="5643" max="5643" width="5.140625" customWidth="1"/>
    <col min="5647" max="5647" width="3.7109375" customWidth="1"/>
    <col min="5648" max="5648" width="10.85546875" customWidth="1"/>
    <col min="5649" max="5649" width="11" customWidth="1"/>
    <col min="5650" max="5650" width="10.5703125" customWidth="1"/>
    <col min="5652" max="5652" width="3.7109375" customWidth="1"/>
    <col min="5653" max="5653" width="11.42578125" customWidth="1"/>
    <col min="5654" max="5654" width="12" customWidth="1"/>
    <col min="5655" max="5655" width="11.28515625" customWidth="1"/>
    <col min="5656" max="5656" width="3.5703125" customWidth="1"/>
    <col min="5657" max="5657" width="11.28515625" customWidth="1"/>
    <col min="5658" max="5658" width="12" customWidth="1"/>
    <col min="5659" max="5659" width="3.42578125" customWidth="1"/>
    <col min="5660" max="5661" width="12" customWidth="1"/>
    <col min="5662" max="5662" width="3" customWidth="1"/>
    <col min="5663" max="5663" width="11.28515625" customWidth="1"/>
    <col min="5893" max="5893" width="5.42578125" customWidth="1"/>
    <col min="5894" max="5894" width="24.7109375" customWidth="1"/>
    <col min="5895" max="5895" width="10.7109375" bestFit="1" customWidth="1"/>
    <col min="5896" max="5896" width="11.140625" customWidth="1"/>
    <col min="5897" max="5898" width="11" customWidth="1"/>
    <col min="5899" max="5899" width="5.140625" customWidth="1"/>
    <col min="5903" max="5903" width="3.7109375" customWidth="1"/>
    <col min="5904" max="5904" width="10.85546875" customWidth="1"/>
    <col min="5905" max="5905" width="11" customWidth="1"/>
    <col min="5906" max="5906" width="10.5703125" customWidth="1"/>
    <col min="5908" max="5908" width="3.7109375" customWidth="1"/>
    <col min="5909" max="5909" width="11.42578125" customWidth="1"/>
    <col min="5910" max="5910" width="12" customWidth="1"/>
    <col min="5911" max="5911" width="11.28515625" customWidth="1"/>
    <col min="5912" max="5912" width="3.5703125" customWidth="1"/>
    <col min="5913" max="5913" width="11.28515625" customWidth="1"/>
    <col min="5914" max="5914" width="12" customWidth="1"/>
    <col min="5915" max="5915" width="3.42578125" customWidth="1"/>
    <col min="5916" max="5917" width="12" customWidth="1"/>
    <col min="5918" max="5918" width="3" customWidth="1"/>
    <col min="5919" max="5919" width="11.28515625" customWidth="1"/>
    <col min="6149" max="6149" width="5.42578125" customWidth="1"/>
    <col min="6150" max="6150" width="24.7109375" customWidth="1"/>
    <col min="6151" max="6151" width="10.7109375" bestFit="1" customWidth="1"/>
    <col min="6152" max="6152" width="11.140625" customWidth="1"/>
    <col min="6153" max="6154" width="11" customWidth="1"/>
    <col min="6155" max="6155" width="5.140625" customWidth="1"/>
    <col min="6159" max="6159" width="3.7109375" customWidth="1"/>
    <col min="6160" max="6160" width="10.85546875" customWidth="1"/>
    <col min="6161" max="6161" width="11" customWidth="1"/>
    <col min="6162" max="6162" width="10.5703125" customWidth="1"/>
    <col min="6164" max="6164" width="3.7109375" customWidth="1"/>
    <col min="6165" max="6165" width="11.42578125" customWidth="1"/>
    <col min="6166" max="6166" width="12" customWidth="1"/>
    <col min="6167" max="6167" width="11.28515625" customWidth="1"/>
    <col min="6168" max="6168" width="3.5703125" customWidth="1"/>
    <col min="6169" max="6169" width="11.28515625" customWidth="1"/>
    <col min="6170" max="6170" width="12" customWidth="1"/>
    <col min="6171" max="6171" width="3.42578125" customWidth="1"/>
    <col min="6172" max="6173" width="12" customWidth="1"/>
    <col min="6174" max="6174" width="3" customWidth="1"/>
    <col min="6175" max="6175" width="11.28515625" customWidth="1"/>
    <col min="6405" max="6405" width="5.42578125" customWidth="1"/>
    <col min="6406" max="6406" width="24.7109375" customWidth="1"/>
    <col min="6407" max="6407" width="10.7109375" bestFit="1" customWidth="1"/>
    <col min="6408" max="6408" width="11.140625" customWidth="1"/>
    <col min="6409" max="6410" width="11" customWidth="1"/>
    <col min="6411" max="6411" width="5.140625" customWidth="1"/>
    <col min="6415" max="6415" width="3.7109375" customWidth="1"/>
    <col min="6416" max="6416" width="10.85546875" customWidth="1"/>
    <col min="6417" max="6417" width="11" customWidth="1"/>
    <col min="6418" max="6418" width="10.5703125" customWidth="1"/>
    <col min="6420" max="6420" width="3.7109375" customWidth="1"/>
    <col min="6421" max="6421" width="11.42578125" customWidth="1"/>
    <col min="6422" max="6422" width="12" customWidth="1"/>
    <col min="6423" max="6423" width="11.28515625" customWidth="1"/>
    <col min="6424" max="6424" width="3.5703125" customWidth="1"/>
    <col min="6425" max="6425" width="11.28515625" customWidth="1"/>
    <col min="6426" max="6426" width="12" customWidth="1"/>
    <col min="6427" max="6427" width="3.42578125" customWidth="1"/>
    <col min="6428" max="6429" width="12" customWidth="1"/>
    <col min="6430" max="6430" width="3" customWidth="1"/>
    <col min="6431" max="6431" width="11.28515625" customWidth="1"/>
    <col min="6661" max="6661" width="5.42578125" customWidth="1"/>
    <col min="6662" max="6662" width="24.7109375" customWidth="1"/>
    <col min="6663" max="6663" width="10.7109375" bestFit="1" customWidth="1"/>
    <col min="6664" max="6664" width="11.140625" customWidth="1"/>
    <col min="6665" max="6666" width="11" customWidth="1"/>
    <col min="6667" max="6667" width="5.140625" customWidth="1"/>
    <col min="6671" max="6671" width="3.7109375" customWidth="1"/>
    <col min="6672" max="6672" width="10.85546875" customWidth="1"/>
    <col min="6673" max="6673" width="11" customWidth="1"/>
    <col min="6674" max="6674" width="10.5703125" customWidth="1"/>
    <col min="6676" max="6676" width="3.7109375" customWidth="1"/>
    <col min="6677" max="6677" width="11.42578125" customWidth="1"/>
    <col min="6678" max="6678" width="12" customWidth="1"/>
    <col min="6679" max="6679" width="11.28515625" customWidth="1"/>
    <col min="6680" max="6680" width="3.5703125" customWidth="1"/>
    <col min="6681" max="6681" width="11.28515625" customWidth="1"/>
    <col min="6682" max="6682" width="12" customWidth="1"/>
    <col min="6683" max="6683" width="3.42578125" customWidth="1"/>
    <col min="6684" max="6685" width="12" customWidth="1"/>
    <col min="6686" max="6686" width="3" customWidth="1"/>
    <col min="6687" max="6687" width="11.28515625" customWidth="1"/>
    <col min="6917" max="6917" width="5.42578125" customWidth="1"/>
    <col min="6918" max="6918" width="24.7109375" customWidth="1"/>
    <col min="6919" max="6919" width="10.7109375" bestFit="1" customWidth="1"/>
    <col min="6920" max="6920" width="11.140625" customWidth="1"/>
    <col min="6921" max="6922" width="11" customWidth="1"/>
    <col min="6923" max="6923" width="5.140625" customWidth="1"/>
    <col min="6927" max="6927" width="3.7109375" customWidth="1"/>
    <col min="6928" max="6928" width="10.85546875" customWidth="1"/>
    <col min="6929" max="6929" width="11" customWidth="1"/>
    <col min="6930" max="6930" width="10.5703125" customWidth="1"/>
    <col min="6932" max="6932" width="3.7109375" customWidth="1"/>
    <col min="6933" max="6933" width="11.42578125" customWidth="1"/>
    <col min="6934" max="6934" width="12" customWidth="1"/>
    <col min="6935" max="6935" width="11.28515625" customWidth="1"/>
    <col min="6936" max="6936" width="3.5703125" customWidth="1"/>
    <col min="6937" max="6937" width="11.28515625" customWidth="1"/>
    <col min="6938" max="6938" width="12" customWidth="1"/>
    <col min="6939" max="6939" width="3.42578125" customWidth="1"/>
    <col min="6940" max="6941" width="12" customWidth="1"/>
    <col min="6942" max="6942" width="3" customWidth="1"/>
    <col min="6943" max="6943" width="11.28515625" customWidth="1"/>
    <col min="7173" max="7173" width="5.42578125" customWidth="1"/>
    <col min="7174" max="7174" width="24.7109375" customWidth="1"/>
    <col min="7175" max="7175" width="10.7109375" bestFit="1" customWidth="1"/>
    <col min="7176" max="7176" width="11.140625" customWidth="1"/>
    <col min="7177" max="7178" width="11" customWidth="1"/>
    <col min="7179" max="7179" width="5.140625" customWidth="1"/>
    <col min="7183" max="7183" width="3.7109375" customWidth="1"/>
    <col min="7184" max="7184" width="10.85546875" customWidth="1"/>
    <col min="7185" max="7185" width="11" customWidth="1"/>
    <col min="7186" max="7186" width="10.5703125" customWidth="1"/>
    <col min="7188" max="7188" width="3.7109375" customWidth="1"/>
    <col min="7189" max="7189" width="11.42578125" customWidth="1"/>
    <col min="7190" max="7190" width="12" customWidth="1"/>
    <col min="7191" max="7191" width="11.28515625" customWidth="1"/>
    <col min="7192" max="7192" width="3.5703125" customWidth="1"/>
    <col min="7193" max="7193" width="11.28515625" customWidth="1"/>
    <col min="7194" max="7194" width="12" customWidth="1"/>
    <col min="7195" max="7195" width="3.42578125" customWidth="1"/>
    <col min="7196" max="7197" width="12" customWidth="1"/>
    <col min="7198" max="7198" width="3" customWidth="1"/>
    <col min="7199" max="7199" width="11.28515625" customWidth="1"/>
    <col min="7429" max="7429" width="5.42578125" customWidth="1"/>
    <col min="7430" max="7430" width="24.7109375" customWidth="1"/>
    <col min="7431" max="7431" width="10.7109375" bestFit="1" customWidth="1"/>
    <col min="7432" max="7432" width="11.140625" customWidth="1"/>
    <col min="7433" max="7434" width="11" customWidth="1"/>
    <col min="7435" max="7435" width="5.140625" customWidth="1"/>
    <col min="7439" max="7439" width="3.7109375" customWidth="1"/>
    <col min="7440" max="7440" width="10.85546875" customWidth="1"/>
    <col min="7441" max="7441" width="11" customWidth="1"/>
    <col min="7442" max="7442" width="10.5703125" customWidth="1"/>
    <col min="7444" max="7444" width="3.7109375" customWidth="1"/>
    <col min="7445" max="7445" width="11.42578125" customWidth="1"/>
    <col min="7446" max="7446" width="12" customWidth="1"/>
    <col min="7447" max="7447" width="11.28515625" customWidth="1"/>
    <col min="7448" max="7448" width="3.5703125" customWidth="1"/>
    <col min="7449" max="7449" width="11.28515625" customWidth="1"/>
    <col min="7450" max="7450" width="12" customWidth="1"/>
    <col min="7451" max="7451" width="3.42578125" customWidth="1"/>
    <col min="7452" max="7453" width="12" customWidth="1"/>
    <col min="7454" max="7454" width="3" customWidth="1"/>
    <col min="7455" max="7455" width="11.28515625" customWidth="1"/>
    <col min="7685" max="7685" width="5.42578125" customWidth="1"/>
    <col min="7686" max="7686" width="24.7109375" customWidth="1"/>
    <col min="7687" max="7687" width="10.7109375" bestFit="1" customWidth="1"/>
    <col min="7688" max="7688" width="11.140625" customWidth="1"/>
    <col min="7689" max="7690" width="11" customWidth="1"/>
    <col min="7691" max="7691" width="5.140625" customWidth="1"/>
    <col min="7695" max="7695" width="3.7109375" customWidth="1"/>
    <col min="7696" max="7696" width="10.85546875" customWidth="1"/>
    <col min="7697" max="7697" width="11" customWidth="1"/>
    <col min="7698" max="7698" width="10.5703125" customWidth="1"/>
    <col min="7700" max="7700" width="3.7109375" customWidth="1"/>
    <col min="7701" max="7701" width="11.42578125" customWidth="1"/>
    <col min="7702" max="7702" width="12" customWidth="1"/>
    <col min="7703" max="7703" width="11.28515625" customWidth="1"/>
    <col min="7704" max="7704" width="3.5703125" customWidth="1"/>
    <col min="7705" max="7705" width="11.28515625" customWidth="1"/>
    <col min="7706" max="7706" width="12" customWidth="1"/>
    <col min="7707" max="7707" width="3.42578125" customWidth="1"/>
    <col min="7708" max="7709" width="12" customWidth="1"/>
    <col min="7710" max="7710" width="3" customWidth="1"/>
    <col min="7711" max="7711" width="11.28515625" customWidth="1"/>
    <col min="7941" max="7941" width="5.42578125" customWidth="1"/>
    <col min="7942" max="7942" width="24.7109375" customWidth="1"/>
    <col min="7943" max="7943" width="10.7109375" bestFit="1" customWidth="1"/>
    <col min="7944" max="7944" width="11.140625" customWidth="1"/>
    <col min="7945" max="7946" width="11" customWidth="1"/>
    <col min="7947" max="7947" width="5.140625" customWidth="1"/>
    <col min="7951" max="7951" width="3.7109375" customWidth="1"/>
    <col min="7952" max="7952" width="10.85546875" customWidth="1"/>
    <col min="7953" max="7953" width="11" customWidth="1"/>
    <col min="7954" max="7954" width="10.5703125" customWidth="1"/>
    <col min="7956" max="7956" width="3.7109375" customWidth="1"/>
    <col min="7957" max="7957" width="11.42578125" customWidth="1"/>
    <col min="7958" max="7958" width="12" customWidth="1"/>
    <col min="7959" max="7959" width="11.28515625" customWidth="1"/>
    <col min="7960" max="7960" width="3.5703125" customWidth="1"/>
    <col min="7961" max="7961" width="11.28515625" customWidth="1"/>
    <col min="7962" max="7962" width="12" customWidth="1"/>
    <col min="7963" max="7963" width="3.42578125" customWidth="1"/>
    <col min="7964" max="7965" width="12" customWidth="1"/>
    <col min="7966" max="7966" width="3" customWidth="1"/>
    <col min="7967" max="7967" width="11.28515625" customWidth="1"/>
    <col min="8197" max="8197" width="5.42578125" customWidth="1"/>
    <col min="8198" max="8198" width="24.7109375" customWidth="1"/>
    <col min="8199" max="8199" width="10.7109375" bestFit="1" customWidth="1"/>
    <col min="8200" max="8200" width="11.140625" customWidth="1"/>
    <col min="8201" max="8202" width="11" customWidth="1"/>
    <col min="8203" max="8203" width="5.140625" customWidth="1"/>
    <col min="8207" max="8207" width="3.7109375" customWidth="1"/>
    <col min="8208" max="8208" width="10.85546875" customWidth="1"/>
    <col min="8209" max="8209" width="11" customWidth="1"/>
    <col min="8210" max="8210" width="10.5703125" customWidth="1"/>
    <col min="8212" max="8212" width="3.7109375" customWidth="1"/>
    <col min="8213" max="8213" width="11.42578125" customWidth="1"/>
    <col min="8214" max="8214" width="12" customWidth="1"/>
    <col min="8215" max="8215" width="11.28515625" customWidth="1"/>
    <col min="8216" max="8216" width="3.5703125" customWidth="1"/>
    <col min="8217" max="8217" width="11.28515625" customWidth="1"/>
    <col min="8218" max="8218" width="12" customWidth="1"/>
    <col min="8219" max="8219" width="3.42578125" customWidth="1"/>
    <col min="8220" max="8221" width="12" customWidth="1"/>
    <col min="8222" max="8222" width="3" customWidth="1"/>
    <col min="8223" max="8223" width="11.28515625" customWidth="1"/>
    <col min="8453" max="8453" width="5.42578125" customWidth="1"/>
    <col min="8454" max="8454" width="24.7109375" customWidth="1"/>
    <col min="8455" max="8455" width="10.7109375" bestFit="1" customWidth="1"/>
    <col min="8456" max="8456" width="11.140625" customWidth="1"/>
    <col min="8457" max="8458" width="11" customWidth="1"/>
    <col min="8459" max="8459" width="5.140625" customWidth="1"/>
    <col min="8463" max="8463" width="3.7109375" customWidth="1"/>
    <col min="8464" max="8464" width="10.85546875" customWidth="1"/>
    <col min="8465" max="8465" width="11" customWidth="1"/>
    <col min="8466" max="8466" width="10.5703125" customWidth="1"/>
    <col min="8468" max="8468" width="3.7109375" customWidth="1"/>
    <col min="8469" max="8469" width="11.42578125" customWidth="1"/>
    <col min="8470" max="8470" width="12" customWidth="1"/>
    <col min="8471" max="8471" width="11.28515625" customWidth="1"/>
    <col min="8472" max="8472" width="3.5703125" customWidth="1"/>
    <col min="8473" max="8473" width="11.28515625" customWidth="1"/>
    <col min="8474" max="8474" width="12" customWidth="1"/>
    <col min="8475" max="8475" width="3.42578125" customWidth="1"/>
    <col min="8476" max="8477" width="12" customWidth="1"/>
    <col min="8478" max="8478" width="3" customWidth="1"/>
    <col min="8479" max="8479" width="11.28515625" customWidth="1"/>
    <col min="8709" max="8709" width="5.42578125" customWidth="1"/>
    <col min="8710" max="8710" width="24.7109375" customWidth="1"/>
    <col min="8711" max="8711" width="10.7109375" bestFit="1" customWidth="1"/>
    <col min="8712" max="8712" width="11.140625" customWidth="1"/>
    <col min="8713" max="8714" width="11" customWidth="1"/>
    <col min="8715" max="8715" width="5.140625" customWidth="1"/>
    <col min="8719" max="8719" width="3.7109375" customWidth="1"/>
    <col min="8720" max="8720" width="10.85546875" customWidth="1"/>
    <col min="8721" max="8721" width="11" customWidth="1"/>
    <col min="8722" max="8722" width="10.5703125" customWidth="1"/>
    <col min="8724" max="8724" width="3.7109375" customWidth="1"/>
    <col min="8725" max="8725" width="11.42578125" customWidth="1"/>
    <col min="8726" max="8726" width="12" customWidth="1"/>
    <col min="8727" max="8727" width="11.28515625" customWidth="1"/>
    <col min="8728" max="8728" width="3.5703125" customWidth="1"/>
    <col min="8729" max="8729" width="11.28515625" customWidth="1"/>
    <col min="8730" max="8730" width="12" customWidth="1"/>
    <col min="8731" max="8731" width="3.42578125" customWidth="1"/>
    <col min="8732" max="8733" width="12" customWidth="1"/>
    <col min="8734" max="8734" width="3" customWidth="1"/>
    <col min="8735" max="8735" width="11.28515625" customWidth="1"/>
    <col min="8965" max="8965" width="5.42578125" customWidth="1"/>
    <col min="8966" max="8966" width="24.7109375" customWidth="1"/>
    <col min="8967" max="8967" width="10.7109375" bestFit="1" customWidth="1"/>
    <col min="8968" max="8968" width="11.140625" customWidth="1"/>
    <col min="8969" max="8970" width="11" customWidth="1"/>
    <col min="8971" max="8971" width="5.140625" customWidth="1"/>
    <col min="8975" max="8975" width="3.7109375" customWidth="1"/>
    <col min="8976" max="8976" width="10.85546875" customWidth="1"/>
    <col min="8977" max="8977" width="11" customWidth="1"/>
    <col min="8978" max="8978" width="10.5703125" customWidth="1"/>
    <col min="8980" max="8980" width="3.7109375" customWidth="1"/>
    <col min="8981" max="8981" width="11.42578125" customWidth="1"/>
    <col min="8982" max="8982" width="12" customWidth="1"/>
    <col min="8983" max="8983" width="11.28515625" customWidth="1"/>
    <col min="8984" max="8984" width="3.5703125" customWidth="1"/>
    <col min="8985" max="8985" width="11.28515625" customWidth="1"/>
    <col min="8986" max="8986" width="12" customWidth="1"/>
    <col min="8987" max="8987" width="3.42578125" customWidth="1"/>
    <col min="8988" max="8989" width="12" customWidth="1"/>
    <col min="8990" max="8990" width="3" customWidth="1"/>
    <col min="8991" max="8991" width="11.28515625" customWidth="1"/>
    <col min="9221" max="9221" width="5.42578125" customWidth="1"/>
    <col min="9222" max="9222" width="24.7109375" customWidth="1"/>
    <col min="9223" max="9223" width="10.7109375" bestFit="1" customWidth="1"/>
    <col min="9224" max="9224" width="11.140625" customWidth="1"/>
    <col min="9225" max="9226" width="11" customWidth="1"/>
    <col min="9227" max="9227" width="5.140625" customWidth="1"/>
    <col min="9231" max="9231" width="3.7109375" customWidth="1"/>
    <col min="9232" max="9232" width="10.85546875" customWidth="1"/>
    <col min="9233" max="9233" width="11" customWidth="1"/>
    <col min="9234" max="9234" width="10.5703125" customWidth="1"/>
    <col min="9236" max="9236" width="3.7109375" customWidth="1"/>
    <col min="9237" max="9237" width="11.42578125" customWidth="1"/>
    <col min="9238" max="9238" width="12" customWidth="1"/>
    <col min="9239" max="9239" width="11.28515625" customWidth="1"/>
    <col min="9240" max="9240" width="3.5703125" customWidth="1"/>
    <col min="9241" max="9241" width="11.28515625" customWidth="1"/>
    <col min="9242" max="9242" width="12" customWidth="1"/>
    <col min="9243" max="9243" width="3.42578125" customWidth="1"/>
    <col min="9244" max="9245" width="12" customWidth="1"/>
    <col min="9246" max="9246" width="3" customWidth="1"/>
    <col min="9247" max="9247" width="11.28515625" customWidth="1"/>
    <col min="9477" max="9477" width="5.42578125" customWidth="1"/>
    <col min="9478" max="9478" width="24.7109375" customWidth="1"/>
    <col min="9479" max="9479" width="10.7109375" bestFit="1" customWidth="1"/>
    <col min="9480" max="9480" width="11.140625" customWidth="1"/>
    <col min="9481" max="9482" width="11" customWidth="1"/>
    <col min="9483" max="9483" width="5.140625" customWidth="1"/>
    <col min="9487" max="9487" width="3.7109375" customWidth="1"/>
    <col min="9488" max="9488" width="10.85546875" customWidth="1"/>
    <col min="9489" max="9489" width="11" customWidth="1"/>
    <col min="9490" max="9490" width="10.5703125" customWidth="1"/>
    <col min="9492" max="9492" width="3.7109375" customWidth="1"/>
    <col min="9493" max="9493" width="11.42578125" customWidth="1"/>
    <col min="9494" max="9494" width="12" customWidth="1"/>
    <col min="9495" max="9495" width="11.28515625" customWidth="1"/>
    <col min="9496" max="9496" width="3.5703125" customWidth="1"/>
    <col min="9497" max="9497" width="11.28515625" customWidth="1"/>
    <col min="9498" max="9498" width="12" customWidth="1"/>
    <col min="9499" max="9499" width="3.42578125" customWidth="1"/>
    <col min="9500" max="9501" width="12" customWidth="1"/>
    <col min="9502" max="9502" width="3" customWidth="1"/>
    <col min="9503" max="9503" width="11.28515625" customWidth="1"/>
    <col min="9733" max="9733" width="5.42578125" customWidth="1"/>
    <col min="9734" max="9734" width="24.7109375" customWidth="1"/>
    <col min="9735" max="9735" width="10.7109375" bestFit="1" customWidth="1"/>
    <col min="9736" max="9736" width="11.140625" customWidth="1"/>
    <col min="9737" max="9738" width="11" customWidth="1"/>
    <col min="9739" max="9739" width="5.140625" customWidth="1"/>
    <col min="9743" max="9743" width="3.7109375" customWidth="1"/>
    <col min="9744" max="9744" width="10.85546875" customWidth="1"/>
    <col min="9745" max="9745" width="11" customWidth="1"/>
    <col min="9746" max="9746" width="10.5703125" customWidth="1"/>
    <col min="9748" max="9748" width="3.7109375" customWidth="1"/>
    <col min="9749" max="9749" width="11.42578125" customWidth="1"/>
    <col min="9750" max="9750" width="12" customWidth="1"/>
    <col min="9751" max="9751" width="11.28515625" customWidth="1"/>
    <col min="9752" max="9752" width="3.5703125" customWidth="1"/>
    <col min="9753" max="9753" width="11.28515625" customWidth="1"/>
    <col min="9754" max="9754" width="12" customWidth="1"/>
    <col min="9755" max="9755" width="3.42578125" customWidth="1"/>
    <col min="9756" max="9757" width="12" customWidth="1"/>
    <col min="9758" max="9758" width="3" customWidth="1"/>
    <col min="9759" max="9759" width="11.28515625" customWidth="1"/>
    <col min="9989" max="9989" width="5.42578125" customWidth="1"/>
    <col min="9990" max="9990" width="24.7109375" customWidth="1"/>
    <col min="9991" max="9991" width="10.7109375" bestFit="1" customWidth="1"/>
    <col min="9992" max="9992" width="11.140625" customWidth="1"/>
    <col min="9993" max="9994" width="11" customWidth="1"/>
    <col min="9995" max="9995" width="5.140625" customWidth="1"/>
    <col min="9999" max="9999" width="3.7109375" customWidth="1"/>
    <col min="10000" max="10000" width="10.85546875" customWidth="1"/>
    <col min="10001" max="10001" width="11" customWidth="1"/>
    <col min="10002" max="10002" width="10.5703125" customWidth="1"/>
    <col min="10004" max="10004" width="3.7109375" customWidth="1"/>
    <col min="10005" max="10005" width="11.42578125" customWidth="1"/>
    <col min="10006" max="10006" width="12" customWidth="1"/>
    <col min="10007" max="10007" width="11.28515625" customWidth="1"/>
    <col min="10008" max="10008" width="3.5703125" customWidth="1"/>
    <col min="10009" max="10009" width="11.28515625" customWidth="1"/>
    <col min="10010" max="10010" width="12" customWidth="1"/>
    <col min="10011" max="10011" width="3.42578125" customWidth="1"/>
    <col min="10012" max="10013" width="12" customWidth="1"/>
    <col min="10014" max="10014" width="3" customWidth="1"/>
    <col min="10015" max="10015" width="11.28515625" customWidth="1"/>
    <col min="10245" max="10245" width="5.42578125" customWidth="1"/>
    <col min="10246" max="10246" width="24.7109375" customWidth="1"/>
    <col min="10247" max="10247" width="10.7109375" bestFit="1" customWidth="1"/>
    <col min="10248" max="10248" width="11.140625" customWidth="1"/>
    <col min="10249" max="10250" width="11" customWidth="1"/>
    <col min="10251" max="10251" width="5.140625" customWidth="1"/>
    <col min="10255" max="10255" width="3.7109375" customWidth="1"/>
    <col min="10256" max="10256" width="10.85546875" customWidth="1"/>
    <col min="10257" max="10257" width="11" customWidth="1"/>
    <col min="10258" max="10258" width="10.5703125" customWidth="1"/>
    <col min="10260" max="10260" width="3.7109375" customWidth="1"/>
    <col min="10261" max="10261" width="11.42578125" customWidth="1"/>
    <col min="10262" max="10262" width="12" customWidth="1"/>
    <col min="10263" max="10263" width="11.28515625" customWidth="1"/>
    <col min="10264" max="10264" width="3.5703125" customWidth="1"/>
    <col min="10265" max="10265" width="11.28515625" customWidth="1"/>
    <col min="10266" max="10266" width="12" customWidth="1"/>
    <col min="10267" max="10267" width="3.42578125" customWidth="1"/>
    <col min="10268" max="10269" width="12" customWidth="1"/>
    <col min="10270" max="10270" width="3" customWidth="1"/>
    <col min="10271" max="10271" width="11.28515625" customWidth="1"/>
    <col min="10501" max="10501" width="5.42578125" customWidth="1"/>
    <col min="10502" max="10502" width="24.7109375" customWidth="1"/>
    <col min="10503" max="10503" width="10.7109375" bestFit="1" customWidth="1"/>
    <col min="10504" max="10504" width="11.140625" customWidth="1"/>
    <col min="10505" max="10506" width="11" customWidth="1"/>
    <col min="10507" max="10507" width="5.140625" customWidth="1"/>
    <col min="10511" max="10511" width="3.7109375" customWidth="1"/>
    <col min="10512" max="10512" width="10.85546875" customWidth="1"/>
    <col min="10513" max="10513" width="11" customWidth="1"/>
    <col min="10514" max="10514" width="10.5703125" customWidth="1"/>
    <col min="10516" max="10516" width="3.7109375" customWidth="1"/>
    <col min="10517" max="10517" width="11.42578125" customWidth="1"/>
    <col min="10518" max="10518" width="12" customWidth="1"/>
    <col min="10519" max="10519" width="11.28515625" customWidth="1"/>
    <col min="10520" max="10520" width="3.5703125" customWidth="1"/>
    <col min="10521" max="10521" width="11.28515625" customWidth="1"/>
    <col min="10522" max="10522" width="12" customWidth="1"/>
    <col min="10523" max="10523" width="3.42578125" customWidth="1"/>
    <col min="10524" max="10525" width="12" customWidth="1"/>
    <col min="10526" max="10526" width="3" customWidth="1"/>
    <col min="10527" max="10527" width="11.28515625" customWidth="1"/>
    <col min="10757" max="10757" width="5.42578125" customWidth="1"/>
    <col min="10758" max="10758" width="24.7109375" customWidth="1"/>
    <col min="10759" max="10759" width="10.7109375" bestFit="1" customWidth="1"/>
    <col min="10760" max="10760" width="11.140625" customWidth="1"/>
    <col min="10761" max="10762" width="11" customWidth="1"/>
    <col min="10763" max="10763" width="5.140625" customWidth="1"/>
    <col min="10767" max="10767" width="3.7109375" customWidth="1"/>
    <col min="10768" max="10768" width="10.85546875" customWidth="1"/>
    <col min="10769" max="10769" width="11" customWidth="1"/>
    <col min="10770" max="10770" width="10.5703125" customWidth="1"/>
    <col min="10772" max="10772" width="3.7109375" customWidth="1"/>
    <col min="10773" max="10773" width="11.42578125" customWidth="1"/>
    <col min="10774" max="10774" width="12" customWidth="1"/>
    <col min="10775" max="10775" width="11.28515625" customWidth="1"/>
    <col min="10776" max="10776" width="3.5703125" customWidth="1"/>
    <col min="10777" max="10777" width="11.28515625" customWidth="1"/>
    <col min="10778" max="10778" width="12" customWidth="1"/>
    <col min="10779" max="10779" width="3.42578125" customWidth="1"/>
    <col min="10780" max="10781" width="12" customWidth="1"/>
    <col min="10782" max="10782" width="3" customWidth="1"/>
    <col min="10783" max="10783" width="11.28515625" customWidth="1"/>
    <col min="11013" max="11013" width="5.42578125" customWidth="1"/>
    <col min="11014" max="11014" width="24.7109375" customWidth="1"/>
    <col min="11015" max="11015" width="10.7109375" bestFit="1" customWidth="1"/>
    <col min="11016" max="11016" width="11.140625" customWidth="1"/>
    <col min="11017" max="11018" width="11" customWidth="1"/>
    <col min="11019" max="11019" width="5.140625" customWidth="1"/>
    <col min="11023" max="11023" width="3.7109375" customWidth="1"/>
    <col min="11024" max="11024" width="10.85546875" customWidth="1"/>
    <col min="11025" max="11025" width="11" customWidth="1"/>
    <col min="11026" max="11026" width="10.5703125" customWidth="1"/>
    <col min="11028" max="11028" width="3.7109375" customWidth="1"/>
    <col min="11029" max="11029" width="11.42578125" customWidth="1"/>
    <col min="11030" max="11030" width="12" customWidth="1"/>
    <col min="11031" max="11031" width="11.28515625" customWidth="1"/>
    <col min="11032" max="11032" width="3.5703125" customWidth="1"/>
    <col min="11033" max="11033" width="11.28515625" customWidth="1"/>
    <col min="11034" max="11034" width="12" customWidth="1"/>
    <col min="11035" max="11035" width="3.42578125" customWidth="1"/>
    <col min="11036" max="11037" width="12" customWidth="1"/>
    <col min="11038" max="11038" width="3" customWidth="1"/>
    <col min="11039" max="11039" width="11.28515625" customWidth="1"/>
    <col min="11269" max="11269" width="5.42578125" customWidth="1"/>
    <col min="11270" max="11270" width="24.7109375" customWidth="1"/>
    <col min="11271" max="11271" width="10.7109375" bestFit="1" customWidth="1"/>
    <col min="11272" max="11272" width="11.140625" customWidth="1"/>
    <col min="11273" max="11274" width="11" customWidth="1"/>
    <col min="11275" max="11275" width="5.140625" customWidth="1"/>
    <col min="11279" max="11279" width="3.7109375" customWidth="1"/>
    <col min="11280" max="11280" width="10.85546875" customWidth="1"/>
    <col min="11281" max="11281" width="11" customWidth="1"/>
    <col min="11282" max="11282" width="10.5703125" customWidth="1"/>
    <col min="11284" max="11284" width="3.7109375" customWidth="1"/>
    <col min="11285" max="11285" width="11.42578125" customWidth="1"/>
    <col min="11286" max="11286" width="12" customWidth="1"/>
    <col min="11287" max="11287" width="11.28515625" customWidth="1"/>
    <col min="11288" max="11288" width="3.5703125" customWidth="1"/>
    <col min="11289" max="11289" width="11.28515625" customWidth="1"/>
    <col min="11290" max="11290" width="12" customWidth="1"/>
    <col min="11291" max="11291" width="3.42578125" customWidth="1"/>
    <col min="11292" max="11293" width="12" customWidth="1"/>
    <col min="11294" max="11294" width="3" customWidth="1"/>
    <col min="11295" max="11295" width="11.28515625" customWidth="1"/>
    <col min="11525" max="11525" width="5.42578125" customWidth="1"/>
    <col min="11526" max="11526" width="24.7109375" customWidth="1"/>
    <col min="11527" max="11527" width="10.7109375" bestFit="1" customWidth="1"/>
    <col min="11528" max="11528" width="11.140625" customWidth="1"/>
    <col min="11529" max="11530" width="11" customWidth="1"/>
    <col min="11531" max="11531" width="5.140625" customWidth="1"/>
    <col min="11535" max="11535" width="3.7109375" customWidth="1"/>
    <col min="11536" max="11536" width="10.85546875" customWidth="1"/>
    <col min="11537" max="11537" width="11" customWidth="1"/>
    <col min="11538" max="11538" width="10.5703125" customWidth="1"/>
    <col min="11540" max="11540" width="3.7109375" customWidth="1"/>
    <col min="11541" max="11541" width="11.42578125" customWidth="1"/>
    <col min="11542" max="11542" width="12" customWidth="1"/>
    <col min="11543" max="11543" width="11.28515625" customWidth="1"/>
    <col min="11544" max="11544" width="3.5703125" customWidth="1"/>
    <col min="11545" max="11545" width="11.28515625" customWidth="1"/>
    <col min="11546" max="11546" width="12" customWidth="1"/>
    <col min="11547" max="11547" width="3.42578125" customWidth="1"/>
    <col min="11548" max="11549" width="12" customWidth="1"/>
    <col min="11550" max="11550" width="3" customWidth="1"/>
    <col min="11551" max="11551" width="11.28515625" customWidth="1"/>
    <col min="11781" max="11781" width="5.42578125" customWidth="1"/>
    <col min="11782" max="11782" width="24.7109375" customWidth="1"/>
    <col min="11783" max="11783" width="10.7109375" bestFit="1" customWidth="1"/>
    <col min="11784" max="11784" width="11.140625" customWidth="1"/>
    <col min="11785" max="11786" width="11" customWidth="1"/>
    <col min="11787" max="11787" width="5.140625" customWidth="1"/>
    <col min="11791" max="11791" width="3.7109375" customWidth="1"/>
    <col min="11792" max="11792" width="10.85546875" customWidth="1"/>
    <col min="11793" max="11793" width="11" customWidth="1"/>
    <col min="11794" max="11794" width="10.5703125" customWidth="1"/>
    <col min="11796" max="11796" width="3.7109375" customWidth="1"/>
    <col min="11797" max="11797" width="11.42578125" customWidth="1"/>
    <col min="11798" max="11798" width="12" customWidth="1"/>
    <col min="11799" max="11799" width="11.28515625" customWidth="1"/>
    <col min="11800" max="11800" width="3.5703125" customWidth="1"/>
    <col min="11801" max="11801" width="11.28515625" customWidth="1"/>
    <col min="11802" max="11802" width="12" customWidth="1"/>
    <col min="11803" max="11803" width="3.42578125" customWidth="1"/>
    <col min="11804" max="11805" width="12" customWidth="1"/>
    <col min="11806" max="11806" width="3" customWidth="1"/>
    <col min="11807" max="11807" width="11.28515625" customWidth="1"/>
    <col min="12037" max="12037" width="5.42578125" customWidth="1"/>
    <col min="12038" max="12038" width="24.7109375" customWidth="1"/>
    <col min="12039" max="12039" width="10.7109375" bestFit="1" customWidth="1"/>
    <col min="12040" max="12040" width="11.140625" customWidth="1"/>
    <col min="12041" max="12042" width="11" customWidth="1"/>
    <col min="12043" max="12043" width="5.140625" customWidth="1"/>
    <col min="12047" max="12047" width="3.7109375" customWidth="1"/>
    <col min="12048" max="12048" width="10.85546875" customWidth="1"/>
    <col min="12049" max="12049" width="11" customWidth="1"/>
    <col min="12050" max="12050" width="10.5703125" customWidth="1"/>
    <col min="12052" max="12052" width="3.7109375" customWidth="1"/>
    <col min="12053" max="12053" width="11.42578125" customWidth="1"/>
    <col min="12054" max="12054" width="12" customWidth="1"/>
    <col min="12055" max="12055" width="11.28515625" customWidth="1"/>
    <col min="12056" max="12056" width="3.5703125" customWidth="1"/>
    <col min="12057" max="12057" width="11.28515625" customWidth="1"/>
    <col min="12058" max="12058" width="12" customWidth="1"/>
    <col min="12059" max="12059" width="3.42578125" customWidth="1"/>
    <col min="12060" max="12061" width="12" customWidth="1"/>
    <col min="12062" max="12062" width="3" customWidth="1"/>
    <col min="12063" max="12063" width="11.28515625" customWidth="1"/>
    <col min="12293" max="12293" width="5.42578125" customWidth="1"/>
    <col min="12294" max="12294" width="24.7109375" customWidth="1"/>
    <col min="12295" max="12295" width="10.7109375" bestFit="1" customWidth="1"/>
    <col min="12296" max="12296" width="11.140625" customWidth="1"/>
    <col min="12297" max="12298" width="11" customWidth="1"/>
    <col min="12299" max="12299" width="5.140625" customWidth="1"/>
    <col min="12303" max="12303" width="3.7109375" customWidth="1"/>
    <col min="12304" max="12304" width="10.85546875" customWidth="1"/>
    <col min="12305" max="12305" width="11" customWidth="1"/>
    <col min="12306" max="12306" width="10.5703125" customWidth="1"/>
    <col min="12308" max="12308" width="3.7109375" customWidth="1"/>
    <col min="12309" max="12309" width="11.42578125" customWidth="1"/>
    <col min="12310" max="12310" width="12" customWidth="1"/>
    <col min="12311" max="12311" width="11.28515625" customWidth="1"/>
    <col min="12312" max="12312" width="3.5703125" customWidth="1"/>
    <col min="12313" max="12313" width="11.28515625" customWidth="1"/>
    <col min="12314" max="12314" width="12" customWidth="1"/>
    <col min="12315" max="12315" width="3.42578125" customWidth="1"/>
    <col min="12316" max="12317" width="12" customWidth="1"/>
    <col min="12318" max="12318" width="3" customWidth="1"/>
    <col min="12319" max="12319" width="11.28515625" customWidth="1"/>
    <col min="12549" max="12549" width="5.42578125" customWidth="1"/>
    <col min="12550" max="12550" width="24.7109375" customWidth="1"/>
    <col min="12551" max="12551" width="10.7109375" bestFit="1" customWidth="1"/>
    <col min="12552" max="12552" width="11.140625" customWidth="1"/>
    <col min="12553" max="12554" width="11" customWidth="1"/>
    <col min="12555" max="12555" width="5.140625" customWidth="1"/>
    <col min="12559" max="12559" width="3.7109375" customWidth="1"/>
    <col min="12560" max="12560" width="10.85546875" customWidth="1"/>
    <col min="12561" max="12561" width="11" customWidth="1"/>
    <col min="12562" max="12562" width="10.5703125" customWidth="1"/>
    <col min="12564" max="12564" width="3.7109375" customWidth="1"/>
    <col min="12565" max="12565" width="11.42578125" customWidth="1"/>
    <col min="12566" max="12566" width="12" customWidth="1"/>
    <col min="12567" max="12567" width="11.28515625" customWidth="1"/>
    <col min="12568" max="12568" width="3.5703125" customWidth="1"/>
    <col min="12569" max="12569" width="11.28515625" customWidth="1"/>
    <col min="12570" max="12570" width="12" customWidth="1"/>
    <col min="12571" max="12571" width="3.42578125" customWidth="1"/>
    <col min="12572" max="12573" width="12" customWidth="1"/>
    <col min="12574" max="12574" width="3" customWidth="1"/>
    <col min="12575" max="12575" width="11.28515625" customWidth="1"/>
    <col min="12805" max="12805" width="5.42578125" customWidth="1"/>
    <col min="12806" max="12806" width="24.7109375" customWidth="1"/>
    <col min="12807" max="12807" width="10.7109375" bestFit="1" customWidth="1"/>
    <col min="12808" max="12808" width="11.140625" customWidth="1"/>
    <col min="12809" max="12810" width="11" customWidth="1"/>
    <col min="12811" max="12811" width="5.140625" customWidth="1"/>
    <col min="12815" max="12815" width="3.7109375" customWidth="1"/>
    <col min="12816" max="12816" width="10.85546875" customWidth="1"/>
    <col min="12817" max="12817" width="11" customWidth="1"/>
    <col min="12818" max="12818" width="10.5703125" customWidth="1"/>
    <col min="12820" max="12820" width="3.7109375" customWidth="1"/>
    <col min="12821" max="12821" width="11.42578125" customWidth="1"/>
    <col min="12822" max="12822" width="12" customWidth="1"/>
    <col min="12823" max="12823" width="11.28515625" customWidth="1"/>
    <col min="12824" max="12824" width="3.5703125" customWidth="1"/>
    <col min="12825" max="12825" width="11.28515625" customWidth="1"/>
    <col min="12826" max="12826" width="12" customWidth="1"/>
    <col min="12827" max="12827" width="3.42578125" customWidth="1"/>
    <col min="12828" max="12829" width="12" customWidth="1"/>
    <col min="12830" max="12830" width="3" customWidth="1"/>
    <col min="12831" max="12831" width="11.28515625" customWidth="1"/>
    <col min="13061" max="13061" width="5.42578125" customWidth="1"/>
    <col min="13062" max="13062" width="24.7109375" customWidth="1"/>
    <col min="13063" max="13063" width="10.7109375" bestFit="1" customWidth="1"/>
    <col min="13064" max="13064" width="11.140625" customWidth="1"/>
    <col min="13065" max="13066" width="11" customWidth="1"/>
    <col min="13067" max="13067" width="5.140625" customWidth="1"/>
    <col min="13071" max="13071" width="3.7109375" customWidth="1"/>
    <col min="13072" max="13072" width="10.85546875" customWidth="1"/>
    <col min="13073" max="13073" width="11" customWidth="1"/>
    <col min="13074" max="13074" width="10.5703125" customWidth="1"/>
    <col min="13076" max="13076" width="3.7109375" customWidth="1"/>
    <col min="13077" max="13077" width="11.42578125" customWidth="1"/>
    <col min="13078" max="13078" width="12" customWidth="1"/>
    <col min="13079" max="13079" width="11.28515625" customWidth="1"/>
    <col min="13080" max="13080" width="3.5703125" customWidth="1"/>
    <col min="13081" max="13081" width="11.28515625" customWidth="1"/>
    <col min="13082" max="13082" width="12" customWidth="1"/>
    <col min="13083" max="13083" width="3.42578125" customWidth="1"/>
    <col min="13084" max="13085" width="12" customWidth="1"/>
    <col min="13086" max="13086" width="3" customWidth="1"/>
    <col min="13087" max="13087" width="11.28515625" customWidth="1"/>
    <col min="13317" max="13317" width="5.42578125" customWidth="1"/>
    <col min="13318" max="13318" width="24.7109375" customWidth="1"/>
    <col min="13319" max="13319" width="10.7109375" bestFit="1" customWidth="1"/>
    <col min="13320" max="13320" width="11.140625" customWidth="1"/>
    <col min="13321" max="13322" width="11" customWidth="1"/>
    <col min="13323" max="13323" width="5.140625" customWidth="1"/>
    <col min="13327" max="13327" width="3.7109375" customWidth="1"/>
    <col min="13328" max="13328" width="10.85546875" customWidth="1"/>
    <col min="13329" max="13329" width="11" customWidth="1"/>
    <col min="13330" max="13330" width="10.5703125" customWidth="1"/>
    <col min="13332" max="13332" width="3.7109375" customWidth="1"/>
    <col min="13333" max="13333" width="11.42578125" customWidth="1"/>
    <col min="13334" max="13334" width="12" customWidth="1"/>
    <col min="13335" max="13335" width="11.28515625" customWidth="1"/>
    <col min="13336" max="13336" width="3.5703125" customWidth="1"/>
    <col min="13337" max="13337" width="11.28515625" customWidth="1"/>
    <col min="13338" max="13338" width="12" customWidth="1"/>
    <col min="13339" max="13339" width="3.42578125" customWidth="1"/>
    <col min="13340" max="13341" width="12" customWidth="1"/>
    <col min="13342" max="13342" width="3" customWidth="1"/>
    <col min="13343" max="13343" width="11.28515625" customWidth="1"/>
    <col min="13573" max="13573" width="5.42578125" customWidth="1"/>
    <col min="13574" max="13574" width="24.7109375" customWidth="1"/>
    <col min="13575" max="13575" width="10.7109375" bestFit="1" customWidth="1"/>
    <col min="13576" max="13576" width="11.140625" customWidth="1"/>
    <col min="13577" max="13578" width="11" customWidth="1"/>
    <col min="13579" max="13579" width="5.140625" customWidth="1"/>
    <col min="13583" max="13583" width="3.7109375" customWidth="1"/>
    <col min="13584" max="13584" width="10.85546875" customWidth="1"/>
    <col min="13585" max="13585" width="11" customWidth="1"/>
    <col min="13586" max="13586" width="10.5703125" customWidth="1"/>
    <col min="13588" max="13588" width="3.7109375" customWidth="1"/>
    <col min="13589" max="13589" width="11.42578125" customWidth="1"/>
    <col min="13590" max="13590" width="12" customWidth="1"/>
    <col min="13591" max="13591" width="11.28515625" customWidth="1"/>
    <col min="13592" max="13592" width="3.5703125" customWidth="1"/>
    <col min="13593" max="13593" width="11.28515625" customWidth="1"/>
    <col min="13594" max="13594" width="12" customWidth="1"/>
    <col min="13595" max="13595" width="3.42578125" customWidth="1"/>
    <col min="13596" max="13597" width="12" customWidth="1"/>
    <col min="13598" max="13598" width="3" customWidth="1"/>
    <col min="13599" max="13599" width="11.28515625" customWidth="1"/>
    <col min="13829" max="13829" width="5.42578125" customWidth="1"/>
    <col min="13830" max="13830" width="24.7109375" customWidth="1"/>
    <col min="13831" max="13831" width="10.7109375" bestFit="1" customWidth="1"/>
    <col min="13832" max="13832" width="11.140625" customWidth="1"/>
    <col min="13833" max="13834" width="11" customWidth="1"/>
    <col min="13835" max="13835" width="5.140625" customWidth="1"/>
    <col min="13839" max="13839" width="3.7109375" customWidth="1"/>
    <col min="13840" max="13840" width="10.85546875" customWidth="1"/>
    <col min="13841" max="13841" width="11" customWidth="1"/>
    <col min="13842" max="13842" width="10.5703125" customWidth="1"/>
    <col min="13844" max="13844" width="3.7109375" customWidth="1"/>
    <col min="13845" max="13845" width="11.42578125" customWidth="1"/>
    <col min="13846" max="13846" width="12" customWidth="1"/>
    <col min="13847" max="13847" width="11.28515625" customWidth="1"/>
    <col min="13848" max="13848" width="3.5703125" customWidth="1"/>
    <col min="13849" max="13849" width="11.28515625" customWidth="1"/>
    <col min="13850" max="13850" width="12" customWidth="1"/>
    <col min="13851" max="13851" width="3.42578125" customWidth="1"/>
    <col min="13852" max="13853" width="12" customWidth="1"/>
    <col min="13854" max="13854" width="3" customWidth="1"/>
    <col min="13855" max="13855" width="11.28515625" customWidth="1"/>
    <col min="14085" max="14085" width="5.42578125" customWidth="1"/>
    <col min="14086" max="14086" width="24.7109375" customWidth="1"/>
    <col min="14087" max="14087" width="10.7109375" bestFit="1" customWidth="1"/>
    <col min="14088" max="14088" width="11.140625" customWidth="1"/>
    <col min="14089" max="14090" width="11" customWidth="1"/>
    <col min="14091" max="14091" width="5.140625" customWidth="1"/>
    <col min="14095" max="14095" width="3.7109375" customWidth="1"/>
    <col min="14096" max="14096" width="10.85546875" customWidth="1"/>
    <col min="14097" max="14097" width="11" customWidth="1"/>
    <col min="14098" max="14098" width="10.5703125" customWidth="1"/>
    <col min="14100" max="14100" width="3.7109375" customWidth="1"/>
    <col min="14101" max="14101" width="11.42578125" customWidth="1"/>
    <col min="14102" max="14102" width="12" customWidth="1"/>
    <col min="14103" max="14103" width="11.28515625" customWidth="1"/>
    <col min="14104" max="14104" width="3.5703125" customWidth="1"/>
    <col min="14105" max="14105" width="11.28515625" customWidth="1"/>
    <col min="14106" max="14106" width="12" customWidth="1"/>
    <col min="14107" max="14107" width="3.42578125" customWidth="1"/>
    <col min="14108" max="14109" width="12" customWidth="1"/>
    <col min="14110" max="14110" width="3" customWidth="1"/>
    <col min="14111" max="14111" width="11.28515625" customWidth="1"/>
    <col min="14341" max="14341" width="5.42578125" customWidth="1"/>
    <col min="14342" max="14342" width="24.7109375" customWidth="1"/>
    <col min="14343" max="14343" width="10.7109375" bestFit="1" customWidth="1"/>
    <col min="14344" max="14344" width="11.140625" customWidth="1"/>
    <col min="14345" max="14346" width="11" customWidth="1"/>
    <col min="14347" max="14347" width="5.140625" customWidth="1"/>
    <col min="14351" max="14351" width="3.7109375" customWidth="1"/>
    <col min="14352" max="14352" width="10.85546875" customWidth="1"/>
    <col min="14353" max="14353" width="11" customWidth="1"/>
    <col min="14354" max="14354" width="10.5703125" customWidth="1"/>
    <col min="14356" max="14356" width="3.7109375" customWidth="1"/>
    <col min="14357" max="14357" width="11.42578125" customWidth="1"/>
    <col min="14358" max="14358" width="12" customWidth="1"/>
    <col min="14359" max="14359" width="11.28515625" customWidth="1"/>
    <col min="14360" max="14360" width="3.5703125" customWidth="1"/>
    <col min="14361" max="14361" width="11.28515625" customWidth="1"/>
    <col min="14362" max="14362" width="12" customWidth="1"/>
    <col min="14363" max="14363" width="3.42578125" customWidth="1"/>
    <col min="14364" max="14365" width="12" customWidth="1"/>
    <col min="14366" max="14366" width="3" customWidth="1"/>
    <col min="14367" max="14367" width="11.28515625" customWidth="1"/>
    <col min="14597" max="14597" width="5.42578125" customWidth="1"/>
    <col min="14598" max="14598" width="24.7109375" customWidth="1"/>
    <col min="14599" max="14599" width="10.7109375" bestFit="1" customWidth="1"/>
    <col min="14600" max="14600" width="11.140625" customWidth="1"/>
    <col min="14601" max="14602" width="11" customWidth="1"/>
    <col min="14603" max="14603" width="5.140625" customWidth="1"/>
    <col min="14607" max="14607" width="3.7109375" customWidth="1"/>
    <col min="14608" max="14608" width="10.85546875" customWidth="1"/>
    <col min="14609" max="14609" width="11" customWidth="1"/>
    <col min="14610" max="14610" width="10.5703125" customWidth="1"/>
    <col min="14612" max="14612" width="3.7109375" customWidth="1"/>
    <col min="14613" max="14613" width="11.42578125" customWidth="1"/>
    <col min="14614" max="14614" width="12" customWidth="1"/>
    <col min="14615" max="14615" width="11.28515625" customWidth="1"/>
    <col min="14616" max="14616" width="3.5703125" customWidth="1"/>
    <col min="14617" max="14617" width="11.28515625" customWidth="1"/>
    <col min="14618" max="14618" width="12" customWidth="1"/>
    <col min="14619" max="14619" width="3.42578125" customWidth="1"/>
    <col min="14620" max="14621" width="12" customWidth="1"/>
    <col min="14622" max="14622" width="3" customWidth="1"/>
    <col min="14623" max="14623" width="11.28515625" customWidth="1"/>
    <col min="14853" max="14853" width="5.42578125" customWidth="1"/>
    <col min="14854" max="14854" width="24.7109375" customWidth="1"/>
    <col min="14855" max="14855" width="10.7109375" bestFit="1" customWidth="1"/>
    <col min="14856" max="14856" width="11.140625" customWidth="1"/>
    <col min="14857" max="14858" width="11" customWidth="1"/>
    <col min="14859" max="14859" width="5.140625" customWidth="1"/>
    <col min="14863" max="14863" width="3.7109375" customWidth="1"/>
    <col min="14864" max="14864" width="10.85546875" customWidth="1"/>
    <col min="14865" max="14865" width="11" customWidth="1"/>
    <col min="14866" max="14866" width="10.5703125" customWidth="1"/>
    <col min="14868" max="14868" width="3.7109375" customWidth="1"/>
    <col min="14869" max="14869" width="11.42578125" customWidth="1"/>
    <col min="14870" max="14870" width="12" customWidth="1"/>
    <col min="14871" max="14871" width="11.28515625" customWidth="1"/>
    <col min="14872" max="14872" width="3.5703125" customWidth="1"/>
    <col min="14873" max="14873" width="11.28515625" customWidth="1"/>
    <col min="14874" max="14874" width="12" customWidth="1"/>
    <col min="14875" max="14875" width="3.42578125" customWidth="1"/>
    <col min="14876" max="14877" width="12" customWidth="1"/>
    <col min="14878" max="14878" width="3" customWidth="1"/>
    <col min="14879" max="14879" width="11.28515625" customWidth="1"/>
    <col min="15109" max="15109" width="5.42578125" customWidth="1"/>
    <col min="15110" max="15110" width="24.7109375" customWidth="1"/>
    <col min="15111" max="15111" width="10.7109375" bestFit="1" customWidth="1"/>
    <col min="15112" max="15112" width="11.140625" customWidth="1"/>
    <col min="15113" max="15114" width="11" customWidth="1"/>
    <col min="15115" max="15115" width="5.140625" customWidth="1"/>
    <col min="15119" max="15119" width="3.7109375" customWidth="1"/>
    <col min="15120" max="15120" width="10.85546875" customWidth="1"/>
    <col min="15121" max="15121" width="11" customWidth="1"/>
    <col min="15122" max="15122" width="10.5703125" customWidth="1"/>
    <col min="15124" max="15124" width="3.7109375" customWidth="1"/>
    <col min="15125" max="15125" width="11.42578125" customWidth="1"/>
    <col min="15126" max="15126" width="12" customWidth="1"/>
    <col min="15127" max="15127" width="11.28515625" customWidth="1"/>
    <col min="15128" max="15128" width="3.5703125" customWidth="1"/>
    <col min="15129" max="15129" width="11.28515625" customWidth="1"/>
    <col min="15130" max="15130" width="12" customWidth="1"/>
    <col min="15131" max="15131" width="3.42578125" customWidth="1"/>
    <col min="15132" max="15133" width="12" customWidth="1"/>
    <col min="15134" max="15134" width="3" customWidth="1"/>
    <col min="15135" max="15135" width="11.28515625" customWidth="1"/>
    <col min="15365" max="15365" width="5.42578125" customWidth="1"/>
    <col min="15366" max="15366" width="24.7109375" customWidth="1"/>
    <col min="15367" max="15367" width="10.7109375" bestFit="1" customWidth="1"/>
    <col min="15368" max="15368" width="11.140625" customWidth="1"/>
    <col min="15369" max="15370" width="11" customWidth="1"/>
    <col min="15371" max="15371" width="5.140625" customWidth="1"/>
    <col min="15375" max="15375" width="3.7109375" customWidth="1"/>
    <col min="15376" max="15376" width="10.85546875" customWidth="1"/>
    <col min="15377" max="15377" width="11" customWidth="1"/>
    <col min="15378" max="15378" width="10.5703125" customWidth="1"/>
    <col min="15380" max="15380" width="3.7109375" customWidth="1"/>
    <col min="15381" max="15381" width="11.42578125" customWidth="1"/>
    <col min="15382" max="15382" width="12" customWidth="1"/>
    <col min="15383" max="15383" width="11.28515625" customWidth="1"/>
    <col min="15384" max="15384" width="3.5703125" customWidth="1"/>
    <col min="15385" max="15385" width="11.28515625" customWidth="1"/>
    <col min="15386" max="15386" width="12" customWidth="1"/>
    <col min="15387" max="15387" width="3.42578125" customWidth="1"/>
    <col min="15388" max="15389" width="12" customWidth="1"/>
    <col min="15390" max="15390" width="3" customWidth="1"/>
    <col min="15391" max="15391" width="11.28515625" customWidth="1"/>
    <col min="15621" max="15621" width="5.42578125" customWidth="1"/>
    <col min="15622" max="15622" width="24.7109375" customWidth="1"/>
    <col min="15623" max="15623" width="10.7109375" bestFit="1" customWidth="1"/>
    <col min="15624" max="15624" width="11.140625" customWidth="1"/>
    <col min="15625" max="15626" width="11" customWidth="1"/>
    <col min="15627" max="15627" width="5.140625" customWidth="1"/>
    <col min="15631" max="15631" width="3.7109375" customWidth="1"/>
    <col min="15632" max="15632" width="10.85546875" customWidth="1"/>
    <col min="15633" max="15633" width="11" customWidth="1"/>
    <col min="15634" max="15634" width="10.5703125" customWidth="1"/>
    <col min="15636" max="15636" width="3.7109375" customWidth="1"/>
    <col min="15637" max="15637" width="11.42578125" customWidth="1"/>
    <col min="15638" max="15638" width="12" customWidth="1"/>
    <col min="15639" max="15639" width="11.28515625" customWidth="1"/>
    <col min="15640" max="15640" width="3.5703125" customWidth="1"/>
    <col min="15641" max="15641" width="11.28515625" customWidth="1"/>
    <col min="15642" max="15642" width="12" customWidth="1"/>
    <col min="15643" max="15643" width="3.42578125" customWidth="1"/>
    <col min="15644" max="15645" width="12" customWidth="1"/>
    <col min="15646" max="15646" width="3" customWidth="1"/>
    <col min="15647" max="15647" width="11.28515625" customWidth="1"/>
    <col min="15877" max="15877" width="5.42578125" customWidth="1"/>
    <col min="15878" max="15878" width="24.7109375" customWidth="1"/>
    <col min="15879" max="15879" width="10.7109375" bestFit="1" customWidth="1"/>
    <col min="15880" max="15880" width="11.140625" customWidth="1"/>
    <col min="15881" max="15882" width="11" customWidth="1"/>
    <col min="15883" max="15883" width="5.140625" customWidth="1"/>
    <col min="15887" max="15887" width="3.7109375" customWidth="1"/>
    <col min="15888" max="15888" width="10.85546875" customWidth="1"/>
    <col min="15889" max="15889" width="11" customWidth="1"/>
    <col min="15890" max="15890" width="10.5703125" customWidth="1"/>
    <col min="15892" max="15892" width="3.7109375" customWidth="1"/>
    <col min="15893" max="15893" width="11.42578125" customWidth="1"/>
    <col min="15894" max="15894" width="12" customWidth="1"/>
    <col min="15895" max="15895" width="11.28515625" customWidth="1"/>
    <col min="15896" max="15896" width="3.5703125" customWidth="1"/>
    <col min="15897" max="15897" width="11.28515625" customWidth="1"/>
    <col min="15898" max="15898" width="12" customWidth="1"/>
    <col min="15899" max="15899" width="3.42578125" customWidth="1"/>
    <col min="15900" max="15901" width="12" customWidth="1"/>
    <col min="15902" max="15902" width="3" customWidth="1"/>
    <col min="15903" max="15903" width="11.28515625" customWidth="1"/>
    <col min="16133" max="16133" width="5.42578125" customWidth="1"/>
    <col min="16134" max="16134" width="24.7109375" customWidth="1"/>
    <col min="16135" max="16135" width="10.7109375" bestFit="1" customWidth="1"/>
    <col min="16136" max="16136" width="11.140625" customWidth="1"/>
    <col min="16137" max="16138" width="11" customWidth="1"/>
    <col min="16139" max="16139" width="5.140625" customWidth="1"/>
    <col min="16143" max="16143" width="3.7109375" customWidth="1"/>
    <col min="16144" max="16144" width="10.85546875" customWidth="1"/>
    <col min="16145" max="16145" width="11" customWidth="1"/>
    <col min="16146" max="16146" width="10.5703125" customWidth="1"/>
    <col min="16148" max="16148" width="3.7109375" customWidth="1"/>
    <col min="16149" max="16149" width="11.42578125" customWidth="1"/>
    <col min="16150" max="16150" width="12" customWidth="1"/>
    <col min="16151" max="16151" width="11.28515625" customWidth="1"/>
    <col min="16152" max="16152" width="3.5703125" customWidth="1"/>
    <col min="16153" max="16153" width="11.28515625" customWidth="1"/>
    <col min="16154" max="16154" width="12" customWidth="1"/>
    <col min="16155" max="16155" width="3.42578125" customWidth="1"/>
    <col min="16156" max="16157" width="12" customWidth="1"/>
    <col min="16158" max="16158" width="3" customWidth="1"/>
    <col min="16159" max="16159" width="11.28515625" customWidth="1"/>
  </cols>
  <sheetData>
    <row r="1" spans="2:38" x14ac:dyDescent="0.25">
      <c r="B1"/>
      <c r="C1" s="1"/>
      <c r="D1" s="2"/>
      <c r="G1"/>
      <c r="L1" s="5" t="s">
        <v>0</v>
      </c>
    </row>
    <row r="2" spans="2:38" ht="30" x14ac:dyDescent="0.25">
      <c r="B2"/>
      <c r="C2" s="11" t="s">
        <v>1</v>
      </c>
      <c r="D2" s="12"/>
      <c r="F2" t="s">
        <v>2</v>
      </c>
      <c r="G2" t="s">
        <v>3</v>
      </c>
      <c r="I2" s="1" t="s">
        <v>4</v>
      </c>
      <c r="J2" s="4" t="s">
        <v>5</v>
      </c>
      <c r="L2" s="5" t="s">
        <v>6</v>
      </c>
      <c r="M2" s="1" t="s">
        <v>7</v>
      </c>
      <c r="N2" s="1" t="s">
        <v>8</v>
      </c>
      <c r="P2" s="3" t="s">
        <v>9</v>
      </c>
      <c r="Q2" s="6" t="s">
        <v>10</v>
      </c>
      <c r="R2" s="1" t="s">
        <v>11</v>
      </c>
      <c r="S2" s="7" t="s">
        <v>12</v>
      </c>
      <c r="U2" s="8" t="s">
        <v>13</v>
      </c>
      <c r="V2" s="9" t="s">
        <v>14</v>
      </c>
      <c r="W2" s="1" t="s">
        <v>15</v>
      </c>
      <c r="Y2" s="1" t="s">
        <v>16</v>
      </c>
      <c r="Z2" s="8" t="s">
        <v>17</v>
      </c>
      <c r="AB2" s="13" t="s">
        <v>18</v>
      </c>
      <c r="AC2" s="13" t="s">
        <v>19</v>
      </c>
      <c r="AE2" s="1" t="s">
        <v>20</v>
      </c>
      <c r="AF2" s="10" t="s">
        <v>21</v>
      </c>
      <c r="AH2" s="14"/>
      <c r="AI2" s="14"/>
      <c r="AJ2" s="14"/>
      <c r="AK2" s="14"/>
      <c r="AL2" s="14"/>
    </row>
    <row r="4" spans="2:38" s="15" customFormat="1" x14ac:dyDescent="0.25">
      <c r="B4" s="16"/>
      <c r="C4" s="17"/>
      <c r="G4" s="18"/>
      <c r="H4" s="18"/>
      <c r="I4" s="16"/>
      <c r="J4" s="19"/>
      <c r="L4" s="20"/>
      <c r="M4" s="16"/>
      <c r="N4" s="16"/>
      <c r="P4" s="18"/>
      <c r="Q4" s="21"/>
      <c r="R4" s="16"/>
      <c r="S4" s="22"/>
      <c r="U4" s="23"/>
      <c r="V4" s="24"/>
      <c r="W4" s="16"/>
      <c r="Y4" s="16"/>
      <c r="Z4" s="23"/>
      <c r="AA4" s="23"/>
      <c r="AB4" s="16"/>
      <c r="AC4" s="16"/>
      <c r="AE4" s="16"/>
      <c r="AF4" s="25"/>
    </row>
    <row r="5" spans="2:38" x14ac:dyDescent="0.25">
      <c r="B5" s="1" t="e">
        <f t="shared" ref="B5:B17" si="0">+I5-(-R5/S5+R5)</f>
        <v>#DIV/0!</v>
      </c>
      <c r="C5" s="2" t="e">
        <f t="shared" ref="C5:C17" si="1">B5/M5</f>
        <v>#DIV/0!</v>
      </c>
      <c r="D5" s="2" t="e">
        <f t="shared" ref="D5:D17" si="2">B5/N5</f>
        <v>#DIV/0!</v>
      </c>
      <c r="E5">
        <v>1</v>
      </c>
      <c r="F5" t="s">
        <v>22</v>
      </c>
      <c r="G5" t="s">
        <v>23</v>
      </c>
      <c r="H5" s="3">
        <v>40177</v>
      </c>
      <c r="I5" s="1">
        <v>21.72</v>
      </c>
      <c r="AF5" s="26"/>
      <c r="AJ5" s="8"/>
      <c r="AK5" s="8"/>
      <c r="AL5" s="7"/>
    </row>
    <row r="6" spans="2:38" x14ac:dyDescent="0.25">
      <c r="B6" s="1" t="e">
        <f t="shared" si="0"/>
        <v>#DIV/0!</v>
      </c>
      <c r="C6" s="2" t="e">
        <f t="shared" si="1"/>
        <v>#DIV/0!</v>
      </c>
      <c r="D6" s="2" t="e">
        <f t="shared" si="2"/>
        <v>#DIV/0!</v>
      </c>
      <c r="E6">
        <v>2</v>
      </c>
      <c r="F6" t="s">
        <v>22</v>
      </c>
      <c r="G6" t="s">
        <v>23</v>
      </c>
      <c r="H6" s="3">
        <v>40543</v>
      </c>
      <c r="I6" s="1">
        <v>29.42</v>
      </c>
      <c r="AJ6" s="8"/>
      <c r="AK6" s="8"/>
      <c r="AL6" s="7"/>
    </row>
    <row r="7" spans="2:38" x14ac:dyDescent="0.25">
      <c r="B7" s="1" t="e">
        <f t="shared" si="0"/>
        <v>#DIV/0!</v>
      </c>
      <c r="C7" s="2" t="e">
        <f t="shared" si="1"/>
        <v>#DIV/0!</v>
      </c>
      <c r="D7" s="2" t="e">
        <f t="shared" si="2"/>
        <v>#DIV/0!</v>
      </c>
      <c r="E7">
        <v>3</v>
      </c>
      <c r="F7" t="s">
        <v>22</v>
      </c>
      <c r="G7" t="s">
        <v>23</v>
      </c>
      <c r="H7" s="3">
        <v>40907</v>
      </c>
      <c r="I7" s="1">
        <v>33.35</v>
      </c>
      <c r="AJ7" s="8"/>
      <c r="AK7" s="8"/>
      <c r="AL7" s="7"/>
    </row>
    <row r="8" spans="2:38" x14ac:dyDescent="0.25">
      <c r="B8" s="1" t="e">
        <f t="shared" si="0"/>
        <v>#DIV/0!</v>
      </c>
      <c r="C8" s="2" t="e">
        <f t="shared" si="1"/>
        <v>#DIV/0!</v>
      </c>
      <c r="D8" s="2" t="e">
        <f t="shared" si="2"/>
        <v>#DIV/0!</v>
      </c>
      <c r="E8">
        <v>4</v>
      </c>
      <c r="F8" t="s">
        <v>22</v>
      </c>
      <c r="G8" t="s">
        <v>23</v>
      </c>
      <c r="H8" s="3">
        <v>41274</v>
      </c>
      <c r="I8" s="1">
        <v>36.74</v>
      </c>
      <c r="AJ8" s="8"/>
      <c r="AK8" s="8"/>
      <c r="AL8" s="7"/>
    </row>
    <row r="9" spans="2:38" x14ac:dyDescent="0.25">
      <c r="B9" s="1" t="e">
        <f t="shared" si="0"/>
        <v>#DIV/0!</v>
      </c>
      <c r="C9" s="2" t="e">
        <f t="shared" si="1"/>
        <v>#DIV/0!</v>
      </c>
      <c r="D9" s="2" t="e">
        <f t="shared" si="2"/>
        <v>#DIV/0!</v>
      </c>
      <c r="E9">
        <v>5</v>
      </c>
      <c r="F9" t="s">
        <v>22</v>
      </c>
      <c r="G9" t="s">
        <v>23</v>
      </c>
      <c r="H9" s="3">
        <v>41639</v>
      </c>
      <c r="I9" s="1">
        <v>58.26</v>
      </c>
      <c r="AJ9" s="8"/>
      <c r="AK9" s="8"/>
      <c r="AL9" s="7"/>
    </row>
    <row r="10" spans="2:38" x14ac:dyDescent="0.25">
      <c r="B10" s="1">
        <f t="shared" si="0"/>
        <v>38.388591549295775</v>
      </c>
      <c r="C10" s="2" t="e">
        <f t="shared" si="1"/>
        <v>#DIV/0!</v>
      </c>
      <c r="D10" s="2" t="e">
        <f t="shared" si="2"/>
        <v>#DIV/0!</v>
      </c>
      <c r="E10">
        <v>6</v>
      </c>
      <c r="F10" t="s">
        <v>22</v>
      </c>
      <c r="G10" t="s">
        <v>23</v>
      </c>
      <c r="H10" s="3">
        <v>42004</v>
      </c>
      <c r="I10" s="1">
        <v>38.36</v>
      </c>
      <c r="L10" s="5">
        <f t="shared" ref="L10:L17" si="3">+U10*W10</f>
        <v>2.6496</v>
      </c>
      <c r="P10" s="3">
        <v>42004</v>
      </c>
      <c r="R10" s="1">
        <v>7.0000000000000007E-2</v>
      </c>
      <c r="S10" s="7">
        <v>0.71</v>
      </c>
      <c r="U10" s="8">
        <v>0.23039999999999999</v>
      </c>
      <c r="V10" s="9">
        <v>4.24</v>
      </c>
      <c r="W10" s="1">
        <v>11.5</v>
      </c>
      <c r="Y10" s="1">
        <f>6000/369.33</f>
        <v>16.245633985866299</v>
      </c>
      <c r="Z10" s="8">
        <f t="shared" ref="Z10:Z17" si="4">+Y10/(Y10+I10)</f>
        <v>0.29750838512508054</v>
      </c>
      <c r="AJ10" s="8"/>
      <c r="AK10" s="8"/>
      <c r="AL10" s="7"/>
    </row>
    <row r="11" spans="2:38" x14ac:dyDescent="0.25">
      <c r="B11" s="1">
        <f t="shared" si="0"/>
        <v>22.98370786516854</v>
      </c>
      <c r="C11" s="2">
        <f t="shared" si="1"/>
        <v>-104.47139938712972</v>
      </c>
      <c r="D11" s="2">
        <f t="shared" si="2"/>
        <v>-287.29634831460675</v>
      </c>
      <c r="E11">
        <v>7</v>
      </c>
      <c r="F11" t="s">
        <v>22</v>
      </c>
      <c r="G11" t="s">
        <v>23</v>
      </c>
      <c r="H11" s="3">
        <v>42369</v>
      </c>
      <c r="I11" s="1">
        <v>22.98</v>
      </c>
      <c r="J11" s="4">
        <v>41</v>
      </c>
      <c r="L11" s="5">
        <f t="shared" si="3"/>
        <v>-0.95756599999999992</v>
      </c>
      <c r="M11" s="1">
        <v>-0.22</v>
      </c>
      <c r="N11" s="1">
        <v>-0.08</v>
      </c>
      <c r="P11" s="3">
        <v>42369</v>
      </c>
      <c r="Q11" s="6">
        <v>12.63</v>
      </c>
      <c r="R11" s="1">
        <v>0.03</v>
      </c>
      <c r="S11" s="7">
        <v>0.89</v>
      </c>
      <c r="U11" s="8">
        <v>-0.1366</v>
      </c>
      <c r="V11" s="9">
        <v>2.59</v>
      </c>
      <c r="W11" s="1">
        <v>7.01</v>
      </c>
      <c r="Y11" s="1">
        <f>7120/373.01</f>
        <v>19.087960108308089</v>
      </c>
      <c r="Z11" s="8">
        <f t="shared" si="4"/>
        <v>0.45374104328244735</v>
      </c>
      <c r="AJ11" s="8"/>
      <c r="AK11" s="8"/>
      <c r="AL11" s="7"/>
    </row>
    <row r="12" spans="2:38" x14ac:dyDescent="0.25">
      <c r="B12" s="1">
        <f t="shared" si="0"/>
        <v>45.271020408163267</v>
      </c>
      <c r="C12" s="2">
        <f t="shared" si="1"/>
        <v>-47.653705692803442</v>
      </c>
      <c r="D12" s="2" t="e">
        <f t="shared" si="2"/>
        <v>#DIV/0!</v>
      </c>
      <c r="E12">
        <v>8</v>
      </c>
      <c r="F12" t="s">
        <v>22</v>
      </c>
      <c r="G12" t="s">
        <v>23</v>
      </c>
      <c r="H12" s="3">
        <v>42551</v>
      </c>
      <c r="I12" s="1">
        <v>45.27</v>
      </c>
      <c r="J12" s="4">
        <v>46.15</v>
      </c>
      <c r="L12" s="5">
        <f t="shared" si="3"/>
        <v>-1.4582940000000002</v>
      </c>
      <c r="M12" s="1">
        <v>-0.95</v>
      </c>
      <c r="N12" s="1">
        <v>0</v>
      </c>
      <c r="P12" s="3">
        <v>42551</v>
      </c>
      <c r="Q12" s="6">
        <v>11.79</v>
      </c>
      <c r="R12" s="1">
        <v>0.05</v>
      </c>
      <c r="S12" s="7">
        <v>0.98</v>
      </c>
      <c r="U12" s="8">
        <v>-0.25230000000000002</v>
      </c>
      <c r="V12" s="9">
        <v>2.14</v>
      </c>
      <c r="W12" s="1">
        <v>5.78</v>
      </c>
      <c r="Y12" s="1">
        <f>7150/370.4</f>
        <v>19.303455723542118</v>
      </c>
      <c r="Z12" s="8">
        <f t="shared" si="4"/>
        <v>0.29893793830991278</v>
      </c>
      <c r="AJ12" s="8"/>
      <c r="AK12" s="8"/>
      <c r="AL12" s="7"/>
    </row>
    <row r="13" spans="2:38" x14ac:dyDescent="0.25">
      <c r="B13" s="1">
        <f t="shared" si="0"/>
        <v>51.541020408163263</v>
      </c>
      <c r="C13" s="2">
        <f t="shared" si="1"/>
        <v>-57.9112588855767</v>
      </c>
      <c r="D13" s="2">
        <f t="shared" si="2"/>
        <v>161.06568877551018</v>
      </c>
      <c r="E13">
        <v>9</v>
      </c>
      <c r="F13" t="s">
        <v>22</v>
      </c>
      <c r="G13" t="s">
        <v>23</v>
      </c>
      <c r="H13" s="3">
        <v>42734</v>
      </c>
      <c r="I13" s="1">
        <v>51.54</v>
      </c>
      <c r="J13" s="4">
        <v>59.61</v>
      </c>
      <c r="L13" s="5">
        <f t="shared" si="3"/>
        <v>-1.0791919999999999</v>
      </c>
      <c r="M13" s="1">
        <v>-0.89</v>
      </c>
      <c r="N13" s="1">
        <v>0.32</v>
      </c>
      <c r="P13" s="3">
        <v>42735</v>
      </c>
      <c r="Q13" s="6">
        <v>11.61</v>
      </c>
      <c r="R13" s="1">
        <v>0.05</v>
      </c>
      <c r="S13" s="7">
        <v>0.98</v>
      </c>
      <c r="U13" s="8">
        <v>-0.1948</v>
      </c>
      <c r="V13" s="9">
        <v>2.0499999999999998</v>
      </c>
      <c r="W13" s="1">
        <v>5.54</v>
      </c>
      <c r="Y13" s="1">
        <f>6580/370.58</f>
        <v>17.755950132225163</v>
      </c>
      <c r="Z13" s="8">
        <f t="shared" si="4"/>
        <v>0.25623359082810232</v>
      </c>
      <c r="AJ13" s="8"/>
      <c r="AK13" s="8"/>
      <c r="AL13" s="7"/>
    </row>
    <row r="14" spans="2:38" x14ac:dyDescent="0.25">
      <c r="B14" s="1">
        <f t="shared" si="0"/>
        <v>45.423763440860213</v>
      </c>
      <c r="C14" s="2">
        <f t="shared" si="1"/>
        <v>81.113863287250368</v>
      </c>
      <c r="D14" s="2">
        <f t="shared" si="2"/>
        <v>37.232592984311651</v>
      </c>
      <c r="E14">
        <v>10</v>
      </c>
      <c r="F14" t="s">
        <v>22</v>
      </c>
      <c r="G14" t="s">
        <v>23</v>
      </c>
      <c r="H14" s="3">
        <v>42825</v>
      </c>
      <c r="I14" s="1">
        <v>45.42</v>
      </c>
      <c r="J14" s="4">
        <v>60.42</v>
      </c>
      <c r="L14" s="5">
        <f t="shared" si="3"/>
        <v>-0.54161999999999999</v>
      </c>
      <c r="M14" s="1">
        <v>0.56000000000000005</v>
      </c>
      <c r="N14" s="1">
        <v>1.22</v>
      </c>
      <c r="P14" s="3">
        <v>42825</v>
      </c>
      <c r="Q14" s="6">
        <v>11.61</v>
      </c>
      <c r="R14" s="1">
        <v>0.05</v>
      </c>
      <c r="S14" s="7">
        <v>0.93</v>
      </c>
      <c r="U14" s="8">
        <v>-8.8499999999999995E-2</v>
      </c>
      <c r="V14" s="9">
        <v>2.27</v>
      </c>
      <c r="W14" s="1">
        <v>6.12</v>
      </c>
      <c r="Y14" s="1">
        <f>6510/371.08</f>
        <v>17.543386870755633</v>
      </c>
      <c r="Z14" s="8">
        <f t="shared" si="4"/>
        <v>0.27862838615665292</v>
      </c>
      <c r="AJ14" s="8"/>
      <c r="AK14" s="8"/>
      <c r="AL14" s="7"/>
    </row>
    <row r="15" spans="2:38" x14ac:dyDescent="0.25">
      <c r="B15" s="1">
        <f t="shared" si="0"/>
        <v>32.338823529411762</v>
      </c>
      <c r="C15" s="2">
        <f t="shared" si="1"/>
        <v>85.102167182662527</v>
      </c>
      <c r="D15" s="2">
        <f t="shared" si="2"/>
        <v>32.338823529411762</v>
      </c>
      <c r="E15">
        <v>11</v>
      </c>
      <c r="F15" t="s">
        <v>22</v>
      </c>
      <c r="G15" t="s">
        <v>23</v>
      </c>
      <c r="H15" s="3">
        <v>42916</v>
      </c>
      <c r="I15" s="1">
        <v>32.33</v>
      </c>
      <c r="J15" s="4">
        <v>54.21</v>
      </c>
      <c r="L15" s="5">
        <f t="shared" si="3"/>
        <v>-0.391094</v>
      </c>
      <c r="M15" s="1">
        <v>0.38</v>
      </c>
      <c r="N15" s="1">
        <v>1</v>
      </c>
      <c r="P15" s="3">
        <v>42916</v>
      </c>
      <c r="Q15" s="6">
        <v>11.61</v>
      </c>
      <c r="R15" s="1">
        <v>0.05</v>
      </c>
      <c r="S15" s="7">
        <v>0.85</v>
      </c>
      <c r="U15" s="8">
        <v>-6.13E-2</v>
      </c>
      <c r="V15" s="9">
        <v>2.37</v>
      </c>
      <c r="W15" s="1">
        <v>6.38</v>
      </c>
      <c r="Y15" s="1">
        <f>6560/371.08</f>
        <v>17.678128705400454</v>
      </c>
      <c r="Z15" s="8">
        <f t="shared" si="4"/>
        <v>0.35350510333115837</v>
      </c>
      <c r="AJ15" s="8"/>
      <c r="AK15" s="8"/>
      <c r="AL15" s="7"/>
    </row>
    <row r="16" spans="2:38" x14ac:dyDescent="0.25">
      <c r="B16" s="1">
        <f t="shared" si="0"/>
        <v>38.611914893617019</v>
      </c>
      <c r="C16" s="2">
        <f t="shared" si="1"/>
        <v>275.79939209726439</v>
      </c>
      <c r="D16" s="2">
        <f t="shared" si="2"/>
        <v>68.949848024316097</v>
      </c>
      <c r="E16">
        <v>12</v>
      </c>
      <c r="F16" t="s">
        <v>22</v>
      </c>
      <c r="G16" s="3" t="s">
        <v>23</v>
      </c>
      <c r="H16" s="3">
        <v>43007</v>
      </c>
      <c r="I16" s="1">
        <v>38.61</v>
      </c>
      <c r="J16" s="4">
        <v>43.87</v>
      </c>
      <c r="L16" s="5">
        <f t="shared" si="3"/>
        <v>-6.6833000000000004E-2</v>
      </c>
      <c r="M16" s="1">
        <v>0.14000000000000001</v>
      </c>
      <c r="N16" s="1">
        <v>0.56000000000000005</v>
      </c>
      <c r="P16" s="3">
        <v>43008</v>
      </c>
      <c r="Q16" s="6">
        <v>11.52</v>
      </c>
      <c r="R16" s="1">
        <v>0.03</v>
      </c>
      <c r="S16" s="7">
        <v>0.94</v>
      </c>
      <c r="U16" s="8">
        <v>-9.7000000000000003E-3</v>
      </c>
      <c r="V16" s="9">
        <v>2.56</v>
      </c>
      <c r="W16" s="1">
        <v>6.89</v>
      </c>
      <c r="Y16" s="1">
        <f>6610/371.15</f>
        <v>17.809510979388389</v>
      </c>
      <c r="Z16" s="8">
        <f t="shared" si="4"/>
        <v>0.31566227126453994</v>
      </c>
      <c r="AJ16" s="8"/>
      <c r="AK16" s="8"/>
      <c r="AL16" s="7"/>
    </row>
    <row r="17" spans="2:38" x14ac:dyDescent="0.25">
      <c r="B17" s="1">
        <f t="shared" si="0"/>
        <v>52.977659574468085</v>
      </c>
      <c r="C17" s="2">
        <f t="shared" si="1"/>
        <v>151.36474164133739</v>
      </c>
      <c r="D17" s="2">
        <f t="shared" si="2"/>
        <v>49.51183137800755</v>
      </c>
      <c r="E17">
        <v>13</v>
      </c>
      <c r="F17" t="s">
        <v>22</v>
      </c>
      <c r="G17" s="3" t="s">
        <v>23</v>
      </c>
      <c r="H17" s="3">
        <v>43098</v>
      </c>
      <c r="I17" s="1">
        <v>52.97</v>
      </c>
      <c r="J17" s="4">
        <v>51.73</v>
      </c>
      <c r="L17" s="5">
        <f t="shared" si="3"/>
        <v>2.1272399999999996</v>
      </c>
      <c r="M17" s="1">
        <v>0.35</v>
      </c>
      <c r="N17" s="1">
        <v>1.07</v>
      </c>
      <c r="P17" s="3">
        <v>43100</v>
      </c>
      <c r="Q17" s="6">
        <v>13.82</v>
      </c>
      <c r="R17" s="1">
        <v>0.12</v>
      </c>
      <c r="S17" s="7">
        <v>0.94</v>
      </c>
      <c r="U17" s="8">
        <v>0.27989999999999998</v>
      </c>
      <c r="V17" s="9">
        <v>2.82</v>
      </c>
      <c r="W17" s="1">
        <v>7.6</v>
      </c>
      <c r="Y17" s="1">
        <f>6350/371.15</f>
        <v>17.108985585342854</v>
      </c>
      <c r="Z17" s="8">
        <f t="shared" si="4"/>
        <v>0.24413860221346056</v>
      </c>
      <c r="AJ17" s="8"/>
      <c r="AK17" s="8"/>
      <c r="AL17" s="7"/>
    </row>
    <row r="18" spans="2:38" x14ac:dyDescent="0.25">
      <c r="E18">
        <v>14</v>
      </c>
      <c r="F18" t="s">
        <v>22</v>
      </c>
      <c r="G18" s="3" t="s">
        <v>23</v>
      </c>
      <c r="H18" s="3">
        <v>43188</v>
      </c>
      <c r="I18" s="1">
        <v>58.95</v>
      </c>
      <c r="M18" s="1">
        <v>2.4</v>
      </c>
      <c r="N18" s="1">
        <v>2.69</v>
      </c>
      <c r="AJ18" s="8"/>
      <c r="AK18" s="8"/>
      <c r="AL18" s="7"/>
    </row>
    <row r="19" spans="2:38" x14ac:dyDescent="0.25">
      <c r="E19">
        <v>15</v>
      </c>
      <c r="F19" t="s">
        <v>22</v>
      </c>
      <c r="G19" s="3" t="s">
        <v>23</v>
      </c>
      <c r="H19" s="3">
        <v>43280</v>
      </c>
      <c r="I19" s="1">
        <v>64.760000000000005</v>
      </c>
      <c r="J19" s="4">
        <v>73.25</v>
      </c>
      <c r="L19" s="5">
        <f t="shared" ref="L19:L32" si="5">+U19*W19</f>
        <v>3.5769049999999996</v>
      </c>
      <c r="M19" s="1">
        <v>3.12</v>
      </c>
      <c r="N19" s="1">
        <v>3.47</v>
      </c>
      <c r="P19" s="3">
        <v>43280</v>
      </c>
      <c r="Q19" s="6">
        <v>14.42</v>
      </c>
      <c r="R19" s="1">
        <v>0.35</v>
      </c>
      <c r="S19" s="7">
        <v>0.97</v>
      </c>
      <c r="U19" s="8">
        <v>0.35449999999999998</v>
      </c>
      <c r="V19" s="9">
        <v>3.75</v>
      </c>
      <c r="W19" s="1">
        <v>10.09</v>
      </c>
      <c r="Y19" s="1">
        <f>6170/371.89</f>
        <v>16.590927424776144</v>
      </c>
      <c r="Z19" s="8">
        <f t="shared" ref="Z19:Z32" si="6">+Y19/(Y19+I19)</f>
        <v>0.20394269555337891</v>
      </c>
      <c r="AJ19" s="8"/>
      <c r="AK19" s="8"/>
      <c r="AL19" s="7"/>
    </row>
    <row r="20" spans="2:38" x14ac:dyDescent="0.25">
      <c r="E20">
        <v>16</v>
      </c>
      <c r="F20" t="s">
        <v>22</v>
      </c>
      <c r="G20" s="3" t="s">
        <v>23</v>
      </c>
      <c r="H20" s="3">
        <v>43371</v>
      </c>
      <c r="I20" s="1">
        <v>68.28</v>
      </c>
      <c r="J20" s="4">
        <v>75.72</v>
      </c>
      <c r="L20" s="5">
        <f t="shared" si="5"/>
        <v>4.3922480000000004</v>
      </c>
      <c r="M20" s="1">
        <v>3.15</v>
      </c>
      <c r="N20" s="1">
        <v>3.8</v>
      </c>
      <c r="P20" s="3">
        <v>43372</v>
      </c>
      <c r="Q20" s="6">
        <v>15.97</v>
      </c>
      <c r="R20" s="1">
        <v>0.04</v>
      </c>
      <c r="S20" s="7">
        <v>0.92</v>
      </c>
      <c r="U20" s="8">
        <v>0.3826</v>
      </c>
      <c r="V20" s="9">
        <v>4.2699999999999996</v>
      </c>
      <c r="W20" s="1">
        <v>11.48</v>
      </c>
      <c r="Y20" s="1">
        <f>5960/371.97</f>
        <v>16.022797537435814</v>
      </c>
      <c r="Z20" s="8">
        <f t="shared" si="6"/>
        <v>0.19006246536860974</v>
      </c>
      <c r="AJ20" s="8"/>
      <c r="AK20" s="8"/>
      <c r="AL20" s="7"/>
    </row>
    <row r="21" spans="2:38" x14ac:dyDescent="0.25">
      <c r="E21">
        <v>17</v>
      </c>
      <c r="F21" t="s">
        <v>22</v>
      </c>
      <c r="G21" s="3" t="s">
        <v>23</v>
      </c>
      <c r="H21" s="3">
        <v>43465</v>
      </c>
      <c r="I21" s="1">
        <v>40.19</v>
      </c>
      <c r="J21" s="4">
        <v>67.989999999999995</v>
      </c>
      <c r="L21" s="5">
        <f t="shared" si="5"/>
        <v>2.6575679999999999</v>
      </c>
      <c r="M21" s="1">
        <v>3.07</v>
      </c>
      <c r="N21" s="1">
        <v>3.18</v>
      </c>
      <c r="P21" s="3">
        <v>43464</v>
      </c>
      <c r="Q21" s="6">
        <v>16.52</v>
      </c>
      <c r="R21" s="1">
        <v>0.76</v>
      </c>
      <c r="S21" s="7">
        <v>1.02</v>
      </c>
      <c r="U21" s="8">
        <v>0.22559999999999999</v>
      </c>
      <c r="V21" s="9">
        <v>4.38</v>
      </c>
      <c r="W21" s="1">
        <v>11.78</v>
      </c>
      <c r="Y21" s="1">
        <f>5770/372</f>
        <v>15.510752688172044</v>
      </c>
      <c r="Z21" s="8">
        <f t="shared" si="6"/>
        <v>0.2784657646370679</v>
      </c>
      <c r="AJ21" s="8"/>
      <c r="AK21" s="8"/>
      <c r="AL21" s="7"/>
    </row>
    <row r="22" spans="2:38" x14ac:dyDescent="0.25">
      <c r="E22">
        <v>18</v>
      </c>
      <c r="F22" t="s">
        <v>22</v>
      </c>
      <c r="G22" s="3" t="s">
        <v>23</v>
      </c>
      <c r="H22" s="3">
        <v>43551</v>
      </c>
      <c r="I22" s="1">
        <v>43.74</v>
      </c>
      <c r="L22" s="5">
        <f t="shared" si="5"/>
        <v>2.5299700000000001</v>
      </c>
      <c r="M22" s="1">
        <v>2.0499999999999998</v>
      </c>
      <c r="N22" s="1">
        <v>3.06</v>
      </c>
      <c r="P22" s="3">
        <v>43554</v>
      </c>
      <c r="Q22" s="6">
        <v>16.95</v>
      </c>
      <c r="R22" s="1">
        <v>0.71</v>
      </c>
      <c r="S22" s="7">
        <v>1.03</v>
      </c>
      <c r="U22" s="8">
        <v>0.2155</v>
      </c>
      <c r="V22" s="9">
        <v>4.37</v>
      </c>
      <c r="W22" s="1">
        <v>11.74</v>
      </c>
      <c r="Y22" s="1">
        <f>5790/373.1</f>
        <v>15.518627713749664</v>
      </c>
      <c r="Z22" s="8">
        <f t="shared" si="6"/>
        <v>0.26187963360732541</v>
      </c>
      <c r="AJ22" s="8"/>
      <c r="AK22" s="8"/>
      <c r="AL22" s="7"/>
    </row>
    <row r="23" spans="2:38" x14ac:dyDescent="0.25">
      <c r="E23">
        <v>19</v>
      </c>
      <c r="F23" t="s">
        <v>22</v>
      </c>
      <c r="G23" s="3" t="s">
        <v>23</v>
      </c>
      <c r="H23" s="3">
        <v>43644</v>
      </c>
      <c r="I23" s="1">
        <v>42.09</v>
      </c>
      <c r="J23" s="4">
        <v>58.95</v>
      </c>
      <c r="L23" s="5">
        <f t="shared" si="5"/>
        <v>2.5127680000000003</v>
      </c>
      <c r="M23" s="1">
        <v>2.75</v>
      </c>
      <c r="N23" s="1">
        <v>3.24</v>
      </c>
      <c r="P23" s="3">
        <v>43645</v>
      </c>
      <c r="Q23" s="6">
        <v>17.46</v>
      </c>
      <c r="R23" s="1">
        <v>0.56000000000000005</v>
      </c>
      <c r="S23" s="7">
        <v>1.03</v>
      </c>
      <c r="U23" s="8">
        <v>0.21440000000000001</v>
      </c>
      <c r="V23" s="9">
        <v>4.3600000000000003</v>
      </c>
      <c r="W23" s="1">
        <v>11.72</v>
      </c>
      <c r="Y23" s="1">
        <f>5780/376.75</f>
        <v>15.341738553417386</v>
      </c>
      <c r="Z23" s="8">
        <f t="shared" si="6"/>
        <v>0.26712996924423593</v>
      </c>
      <c r="AE23" s="1">
        <v>0.2</v>
      </c>
      <c r="AF23" s="10">
        <f>AE23/I23</f>
        <v>4.7517224994060346E-3</v>
      </c>
      <c r="AJ23" s="8"/>
      <c r="AK23" s="8"/>
      <c r="AL23" s="7"/>
    </row>
    <row r="24" spans="2:38" x14ac:dyDescent="0.25">
      <c r="E24">
        <v>20</v>
      </c>
      <c r="F24" t="s">
        <v>22</v>
      </c>
      <c r="G24" s="3" t="s">
        <v>23</v>
      </c>
      <c r="H24" s="3">
        <v>43738</v>
      </c>
      <c r="I24" s="1">
        <v>30.79</v>
      </c>
      <c r="L24" s="5">
        <f t="shared" si="5"/>
        <v>2.0958239999999999</v>
      </c>
      <c r="M24" s="1">
        <v>2.27</v>
      </c>
      <c r="N24" s="1">
        <v>2.72</v>
      </c>
      <c r="P24" s="3">
        <v>43737</v>
      </c>
      <c r="Q24" s="6">
        <v>17.79</v>
      </c>
      <c r="R24" s="1">
        <v>0.1</v>
      </c>
      <c r="S24" s="7">
        <v>0.89</v>
      </c>
      <c r="U24" s="8">
        <v>0.18579999999999999</v>
      </c>
      <c r="V24" s="9">
        <v>4.1900000000000004</v>
      </c>
      <c r="W24" s="1">
        <v>11.28</v>
      </c>
      <c r="Y24" s="1">
        <f>5580/371.42</f>
        <v>15.023423617468096</v>
      </c>
      <c r="Z24" s="8">
        <f t="shared" si="6"/>
        <v>0.32792623714198577</v>
      </c>
      <c r="AE24" s="1">
        <v>0.2</v>
      </c>
      <c r="AF24" s="10">
        <f>AE24/I24</f>
        <v>6.4956154595647939E-3</v>
      </c>
      <c r="AJ24" s="8"/>
      <c r="AK24" s="8"/>
      <c r="AL24" s="7"/>
    </row>
    <row r="25" spans="2:38" x14ac:dyDescent="0.25">
      <c r="E25">
        <v>21</v>
      </c>
      <c r="F25" t="s">
        <v>22</v>
      </c>
      <c r="G25" s="3" t="s">
        <v>23</v>
      </c>
      <c r="H25" s="3">
        <v>43830</v>
      </c>
      <c r="I25" s="1">
        <v>34.299999999999997</v>
      </c>
      <c r="L25" s="5">
        <f t="shared" si="5"/>
        <v>2.0930400000000002</v>
      </c>
      <c r="M25" s="1">
        <v>2.19</v>
      </c>
      <c r="N25" s="1">
        <v>2.27</v>
      </c>
      <c r="P25" s="3">
        <v>43830</v>
      </c>
      <c r="Q25" s="6">
        <v>18.34</v>
      </c>
      <c r="R25" s="1">
        <v>0.11</v>
      </c>
      <c r="S25" s="7">
        <v>0.9</v>
      </c>
      <c r="U25" s="8">
        <v>0.18360000000000001</v>
      </c>
      <c r="V25" s="9">
        <v>4.22</v>
      </c>
      <c r="W25" s="1">
        <v>11.4</v>
      </c>
      <c r="Y25" s="1">
        <f>5340/371.54</f>
        <v>14.372611293535016</v>
      </c>
      <c r="Z25" s="8">
        <f t="shared" si="6"/>
        <v>0.29529155949444758</v>
      </c>
      <c r="AE25" s="1">
        <v>0.2</v>
      </c>
      <c r="AF25" s="10">
        <f>AE25/I25</f>
        <v>5.8309037900874643E-3</v>
      </c>
      <c r="AJ25" s="8"/>
      <c r="AK25" s="8"/>
      <c r="AL25" s="7"/>
    </row>
    <row r="26" spans="2:38" x14ac:dyDescent="0.25">
      <c r="E26">
        <v>22</v>
      </c>
      <c r="F26" t="s">
        <v>22</v>
      </c>
      <c r="G26" s="3" t="s">
        <v>23</v>
      </c>
      <c r="H26" s="3">
        <v>43921</v>
      </c>
      <c r="I26" s="1">
        <v>7.64</v>
      </c>
      <c r="J26" s="4">
        <v>22.87</v>
      </c>
      <c r="L26" s="5">
        <f t="shared" si="5"/>
        <v>1.0927470000000001</v>
      </c>
      <c r="M26" s="1">
        <v>0.09</v>
      </c>
      <c r="N26" s="1">
        <v>1.01</v>
      </c>
      <c r="P26" s="3">
        <v>43921</v>
      </c>
      <c r="Q26" s="6">
        <v>17.829999999999998</v>
      </c>
      <c r="R26" s="1">
        <v>1.44</v>
      </c>
      <c r="S26" s="7">
        <v>1.2</v>
      </c>
      <c r="U26" s="8">
        <v>0.1009</v>
      </c>
      <c r="V26" s="9">
        <v>4</v>
      </c>
      <c r="W26" s="1">
        <v>10.83</v>
      </c>
      <c r="Y26" s="1">
        <f>5980/365.15</f>
        <v>16.376831439134602</v>
      </c>
      <c r="Z26" s="8">
        <f t="shared" si="6"/>
        <v>0.68188976054722672</v>
      </c>
      <c r="AE26" s="1">
        <v>0</v>
      </c>
      <c r="AF26" s="10">
        <f>AE26/I26</f>
        <v>0</v>
      </c>
      <c r="AJ26" s="8"/>
      <c r="AK26" s="8"/>
      <c r="AL26" s="7"/>
    </row>
    <row r="27" spans="2:38" x14ac:dyDescent="0.25">
      <c r="E27">
        <v>23</v>
      </c>
      <c r="F27" t="s">
        <v>22</v>
      </c>
      <c r="G27" s="3" t="s">
        <v>23</v>
      </c>
      <c r="H27" s="3">
        <v>44012</v>
      </c>
      <c r="I27" s="1">
        <v>17.53</v>
      </c>
      <c r="J27" s="4">
        <v>16.88</v>
      </c>
      <c r="L27" s="5">
        <f t="shared" si="5"/>
        <v>-0.199515</v>
      </c>
      <c r="M27" s="1">
        <v>-1.55</v>
      </c>
      <c r="N27" s="1">
        <v>-0.18</v>
      </c>
      <c r="P27" s="3">
        <v>44012</v>
      </c>
      <c r="Q27" s="6">
        <v>17.2</v>
      </c>
      <c r="R27" s="1">
        <v>0.02</v>
      </c>
      <c r="S27" s="7">
        <v>0.7</v>
      </c>
      <c r="U27" s="8">
        <v>-2.35E-2</v>
      </c>
      <c r="V27" s="9">
        <v>3.11</v>
      </c>
      <c r="W27" s="1">
        <v>8.49</v>
      </c>
      <c r="Y27" s="1">
        <f>5750/365.13</f>
        <v>15.747815846410868</v>
      </c>
      <c r="Z27" s="8">
        <f t="shared" si="6"/>
        <v>0.47322263934306036</v>
      </c>
      <c r="AJ27" s="8"/>
      <c r="AK27" s="8"/>
      <c r="AL27" s="7"/>
    </row>
    <row r="28" spans="2:38" x14ac:dyDescent="0.25">
      <c r="E28">
        <v>24</v>
      </c>
      <c r="F28" t="s">
        <v>22</v>
      </c>
      <c r="G28" s="3" t="s">
        <v>23</v>
      </c>
      <c r="H28" s="3">
        <v>44104</v>
      </c>
      <c r="I28" s="1">
        <v>12.28</v>
      </c>
      <c r="L28" s="5">
        <f t="shared" si="5"/>
        <v>-0.85389599999999999</v>
      </c>
      <c r="M28" s="1">
        <v>-1.2</v>
      </c>
      <c r="N28" s="1">
        <v>0.21</v>
      </c>
      <c r="P28" s="3">
        <v>44104</v>
      </c>
      <c r="Q28" s="6">
        <v>17.02</v>
      </c>
      <c r="R28" s="1">
        <v>0.06</v>
      </c>
      <c r="S28" s="7">
        <v>0.94</v>
      </c>
      <c r="U28" s="8">
        <v>-0.1128</v>
      </c>
      <c r="V28" s="9">
        <v>2.75</v>
      </c>
      <c r="W28" s="1">
        <v>7.57</v>
      </c>
      <c r="Y28" s="1">
        <f>5640/365.23</f>
        <v>15.442324015004242</v>
      </c>
      <c r="Z28" s="8">
        <f t="shared" si="6"/>
        <v>0.55703569464978275</v>
      </c>
      <c r="AB28" s="1">
        <f>1740/365.23</f>
        <v>4.7641212386715219</v>
      </c>
      <c r="AC28" s="1">
        <f>-20.25/365.23</f>
        <v>-5.5444514415573742E-2</v>
      </c>
      <c r="AJ28" s="8"/>
      <c r="AK28" s="8"/>
      <c r="AL28" s="7"/>
    </row>
    <row r="29" spans="2:38" x14ac:dyDescent="0.25">
      <c r="E29">
        <v>25</v>
      </c>
      <c r="F29" t="s">
        <v>22</v>
      </c>
      <c r="G29" s="3" t="s">
        <v>23</v>
      </c>
      <c r="H29" s="3">
        <v>44196</v>
      </c>
      <c r="I29" s="1">
        <v>16.3</v>
      </c>
      <c r="J29" s="4">
        <v>17.27</v>
      </c>
      <c r="L29" s="5">
        <f t="shared" si="5"/>
        <v>-1.6503479999999999</v>
      </c>
      <c r="M29" s="1">
        <v>-1.08</v>
      </c>
      <c r="N29" s="1">
        <v>0.2</v>
      </c>
      <c r="P29" s="3">
        <v>44196</v>
      </c>
      <c r="Q29" s="6">
        <v>16.809999999999999</v>
      </c>
      <c r="R29" s="1">
        <v>0.13</v>
      </c>
      <c r="S29" s="7">
        <v>0.99</v>
      </c>
      <c r="U29" s="8">
        <v>-0.24779999999999999</v>
      </c>
      <c r="V29" s="9">
        <v>2.41</v>
      </c>
      <c r="W29" s="1">
        <v>6.66</v>
      </c>
      <c r="Y29" s="1">
        <f>5540/365.19</f>
        <v>15.17018538295134</v>
      </c>
      <c r="Z29" s="8">
        <f t="shared" si="6"/>
        <v>0.48204944452502768</v>
      </c>
      <c r="AB29" s="1">
        <f>1420/365.19</f>
        <v>3.8883868671102713</v>
      </c>
      <c r="AC29" s="1">
        <f>-0.00095575/365.19</f>
        <v>-2.6171308086201703E-6</v>
      </c>
      <c r="AJ29" s="8"/>
      <c r="AK29" s="8"/>
      <c r="AL29" s="7"/>
    </row>
    <row r="30" spans="2:38" x14ac:dyDescent="0.25">
      <c r="E30">
        <v>26</v>
      </c>
      <c r="F30" t="s">
        <v>22</v>
      </c>
      <c r="G30" s="3" t="s">
        <v>23</v>
      </c>
      <c r="H30" s="3">
        <v>44286</v>
      </c>
      <c r="I30" s="1">
        <v>25.87</v>
      </c>
      <c r="J30" s="4">
        <v>26.05</v>
      </c>
      <c r="L30" s="5">
        <f t="shared" si="5"/>
        <v>-0.42042000000000002</v>
      </c>
      <c r="M30" s="1">
        <v>1.1100000000000001</v>
      </c>
      <c r="N30" s="1">
        <v>1.23</v>
      </c>
      <c r="P30" s="3">
        <v>44286</v>
      </c>
      <c r="Q30" s="6">
        <v>17.510000000000002</v>
      </c>
      <c r="R30" s="1">
        <v>0.27</v>
      </c>
      <c r="S30" s="7">
        <v>0.86</v>
      </c>
      <c r="U30" s="8">
        <v>-5.4600000000000003E-2</v>
      </c>
      <c r="V30" s="9">
        <v>2.77</v>
      </c>
      <c r="W30" s="1">
        <v>7.7</v>
      </c>
      <c r="Y30" s="1">
        <f>5000/367.54</f>
        <v>13.603961473581107</v>
      </c>
      <c r="Z30" s="8">
        <f t="shared" si="6"/>
        <v>0.34463126997491456</v>
      </c>
      <c r="AB30" s="1">
        <f>1800/367.54</f>
        <v>4.8974261304891984</v>
      </c>
      <c r="AC30" s="1">
        <f>576.87/367.54</f>
        <v>1.5695434510529465</v>
      </c>
      <c r="AE30" s="1">
        <v>0.44</v>
      </c>
      <c r="AF30" s="10">
        <f>AE30/I30</f>
        <v>1.7008117510630073E-2</v>
      </c>
      <c r="AJ30" s="8"/>
      <c r="AK30" s="8"/>
      <c r="AL30" s="7"/>
    </row>
    <row r="31" spans="2:38" x14ac:dyDescent="0.25">
      <c r="E31">
        <v>27</v>
      </c>
      <c r="F31" t="s">
        <v>22</v>
      </c>
      <c r="G31" s="3" t="s">
        <v>23</v>
      </c>
      <c r="H31" s="3">
        <v>44377</v>
      </c>
      <c r="I31" s="1">
        <v>38.03</v>
      </c>
      <c r="J31" s="4">
        <v>34.68</v>
      </c>
      <c r="L31" s="5">
        <f t="shared" si="5"/>
        <v>1.0455049999999999</v>
      </c>
      <c r="M31" s="1">
        <v>2.33</v>
      </c>
      <c r="N31" s="1">
        <v>1.89</v>
      </c>
      <c r="P31" s="3">
        <v>44377</v>
      </c>
      <c r="Q31" s="6">
        <v>18.22</v>
      </c>
      <c r="R31" s="1">
        <v>0.41</v>
      </c>
      <c r="S31" s="7">
        <v>1.1100000000000001</v>
      </c>
      <c r="U31" s="8">
        <v>9.9099999999999994E-2</v>
      </c>
      <c r="V31" s="9">
        <v>3.8</v>
      </c>
      <c r="W31" s="1">
        <v>10.55</v>
      </c>
      <c r="Y31" s="1">
        <f>4760/367.55</f>
        <v>12.950618963406338</v>
      </c>
      <c r="Z31" s="8">
        <f t="shared" si="6"/>
        <v>0.25403024181997935</v>
      </c>
      <c r="AB31" s="1">
        <f>2490/367.55</f>
        <v>6.7745884913617189</v>
      </c>
      <c r="AC31" s="1">
        <f>1050/367.55</f>
        <v>2.8567541831043393</v>
      </c>
      <c r="AE31" s="1">
        <v>0.6</v>
      </c>
      <c r="AF31" s="10">
        <f>AE31/I31</f>
        <v>1.5777018143570864E-2</v>
      </c>
      <c r="AJ31" s="8"/>
      <c r="AK31" s="8"/>
      <c r="AL31" s="7"/>
    </row>
    <row r="32" spans="2:38" x14ac:dyDescent="0.25">
      <c r="E32">
        <v>28</v>
      </c>
      <c r="F32" t="s">
        <v>22</v>
      </c>
      <c r="G32" s="3" t="s">
        <v>23</v>
      </c>
      <c r="H32" s="3">
        <v>44469</v>
      </c>
      <c r="I32" s="1">
        <v>46.15</v>
      </c>
      <c r="J32" s="4">
        <v>41.09</v>
      </c>
      <c r="L32" s="5">
        <f t="shared" si="5"/>
        <v>2.2887500000000003</v>
      </c>
      <c r="M32" s="1">
        <v>3.87</v>
      </c>
      <c r="N32" s="1">
        <v>3.54</v>
      </c>
      <c r="P32" s="3">
        <v>44469</v>
      </c>
      <c r="Q32" s="6">
        <v>19.05</v>
      </c>
      <c r="R32" s="1">
        <v>1.93</v>
      </c>
      <c r="S32" s="7">
        <v>1.41</v>
      </c>
      <c r="U32" s="8">
        <v>0.18310000000000001</v>
      </c>
      <c r="V32" s="9">
        <v>4.51</v>
      </c>
      <c r="W32" s="1">
        <v>12.5</v>
      </c>
      <c r="Y32" s="1">
        <f>4760/365.58</f>
        <v>13.020405930302534</v>
      </c>
      <c r="Z32" s="8">
        <f t="shared" si="6"/>
        <v>0.22004929196597725</v>
      </c>
      <c r="AB32" s="1">
        <f>3220/365.58</f>
        <v>8.8079216587340667</v>
      </c>
      <c r="AC32" s="1">
        <f>1430/365.58</f>
        <v>3.9115925378850047</v>
      </c>
      <c r="AE32" s="1">
        <v>0.8</v>
      </c>
      <c r="AF32" s="10">
        <f>AE32/I32</f>
        <v>1.7334777898158182E-2</v>
      </c>
      <c r="AJ32" s="8"/>
      <c r="AK32" s="8"/>
      <c r="AL32" s="7"/>
    </row>
    <row r="33" spans="2:38" x14ac:dyDescent="0.25">
      <c r="E33">
        <v>29</v>
      </c>
      <c r="F33" t="s">
        <v>22</v>
      </c>
      <c r="G33" s="3" t="s">
        <v>23</v>
      </c>
      <c r="H33" s="3">
        <f>VLOOKUP(G33,oil,3,FALSE)</f>
        <v>44519</v>
      </c>
      <c r="I33" s="1">
        <f>VLOOKUP(G33,oil,2,FALSE)</f>
        <v>45.1</v>
      </c>
      <c r="AJ33" s="8"/>
      <c r="AK33" s="8"/>
      <c r="AL33" s="7"/>
    </row>
    <row r="34" spans="2:38" x14ac:dyDescent="0.25">
      <c r="E34">
        <v>30</v>
      </c>
      <c r="F34" t="s">
        <v>22</v>
      </c>
      <c r="G34" s="3" t="s">
        <v>23</v>
      </c>
      <c r="H34" s="3">
        <v>44651</v>
      </c>
      <c r="AJ34" s="8"/>
      <c r="AK34" s="8"/>
      <c r="AL34" s="7"/>
    </row>
    <row r="35" spans="2:38" x14ac:dyDescent="0.25">
      <c r="E35">
        <v>31</v>
      </c>
      <c r="F35" t="s">
        <v>22</v>
      </c>
      <c r="G35" s="3" t="s">
        <v>23</v>
      </c>
      <c r="H35" s="3">
        <v>44742</v>
      </c>
      <c r="AJ35" s="8"/>
      <c r="AK35" s="8"/>
      <c r="AL35" s="7"/>
    </row>
    <row r="36" spans="2:38" x14ac:dyDescent="0.25">
      <c r="E36">
        <v>32</v>
      </c>
      <c r="F36" t="s">
        <v>22</v>
      </c>
      <c r="G36" s="3" t="s">
        <v>23</v>
      </c>
      <c r="H36" s="3">
        <v>44834</v>
      </c>
      <c r="AJ36" s="8"/>
      <c r="AK36" s="8"/>
      <c r="AL36" s="7"/>
    </row>
    <row r="37" spans="2:38" s="15" customFormat="1" x14ac:dyDescent="0.25">
      <c r="B37" s="16"/>
      <c r="C37" s="17"/>
      <c r="E37" s="15">
        <v>33</v>
      </c>
      <c r="F37" s="15" t="s">
        <v>22</v>
      </c>
      <c r="G37" s="18" t="s">
        <v>23</v>
      </c>
      <c r="H37" s="18">
        <v>44926</v>
      </c>
      <c r="I37" s="16"/>
      <c r="J37" s="19"/>
      <c r="L37" s="20"/>
      <c r="M37" s="16"/>
      <c r="N37" s="16"/>
      <c r="P37" s="18"/>
      <c r="Q37" s="21"/>
      <c r="R37" s="16"/>
      <c r="S37" s="22"/>
      <c r="U37" s="23"/>
      <c r="V37" s="24"/>
      <c r="W37" s="16"/>
      <c r="Y37" s="16"/>
      <c r="Z37" s="23"/>
      <c r="AA37" s="23"/>
      <c r="AB37" s="16"/>
      <c r="AC37" s="16"/>
      <c r="AE37" s="16"/>
      <c r="AF37" s="25"/>
      <c r="AJ37" s="23"/>
      <c r="AK37" s="23"/>
      <c r="AL37" s="22"/>
    </row>
    <row r="38" spans="2:38" x14ac:dyDescent="0.25">
      <c r="B38" s="1" t="e">
        <f t="shared" ref="B38:B51" si="7">+I38-(-R38/S38+R38)</f>
        <v>#VALUE!</v>
      </c>
      <c r="C38" s="2" t="e">
        <f t="shared" ref="C38:C51" si="8">B38/M38</f>
        <v>#VALUE!</v>
      </c>
      <c r="D38" s="2" t="e">
        <f t="shared" ref="D38:D51" si="9">B38/N38</f>
        <v>#VALUE!</v>
      </c>
      <c r="E38">
        <v>67</v>
      </c>
      <c r="F38" t="s">
        <v>24</v>
      </c>
      <c r="G38" t="s">
        <v>25</v>
      </c>
      <c r="H38" s="3">
        <v>40177</v>
      </c>
      <c r="I38" s="1" t="s">
        <v>26</v>
      </c>
    </row>
    <row r="39" spans="2:38" x14ac:dyDescent="0.25">
      <c r="B39" s="1" t="e">
        <f t="shared" si="7"/>
        <v>#VALUE!</v>
      </c>
      <c r="C39" s="2" t="e">
        <f t="shared" si="8"/>
        <v>#VALUE!</v>
      </c>
      <c r="D39" s="2" t="e">
        <f t="shared" si="9"/>
        <v>#VALUE!</v>
      </c>
      <c r="E39">
        <v>68</v>
      </c>
      <c r="F39" t="s">
        <v>24</v>
      </c>
      <c r="G39" t="s">
        <v>25</v>
      </c>
      <c r="H39" s="3">
        <v>40543</v>
      </c>
      <c r="I39" s="1" t="s">
        <v>27</v>
      </c>
    </row>
    <row r="40" spans="2:38" x14ac:dyDescent="0.25">
      <c r="B40" s="1" t="e">
        <f t="shared" si="7"/>
        <v>#DIV/0!</v>
      </c>
      <c r="C40" s="2" t="e">
        <f t="shared" si="8"/>
        <v>#DIV/0!</v>
      </c>
      <c r="D40" s="2" t="e">
        <f t="shared" si="9"/>
        <v>#DIV/0!</v>
      </c>
      <c r="E40">
        <v>69</v>
      </c>
      <c r="F40" t="s">
        <v>24</v>
      </c>
      <c r="G40" t="s">
        <v>25</v>
      </c>
      <c r="H40" s="3">
        <v>40907</v>
      </c>
      <c r="I40" s="1">
        <v>32.17</v>
      </c>
    </row>
    <row r="41" spans="2:38" x14ac:dyDescent="0.25">
      <c r="B41" s="1" t="e">
        <f t="shared" si="7"/>
        <v>#DIV/0!</v>
      </c>
      <c r="C41" s="2" t="e">
        <f t="shared" si="8"/>
        <v>#DIV/0!</v>
      </c>
      <c r="D41" s="2" t="e">
        <f t="shared" si="9"/>
        <v>#DIV/0!</v>
      </c>
      <c r="E41">
        <v>70</v>
      </c>
      <c r="F41" t="s">
        <v>24</v>
      </c>
      <c r="G41" t="s">
        <v>25</v>
      </c>
      <c r="H41" s="3">
        <v>41274</v>
      </c>
      <c r="I41" s="1">
        <v>35.33</v>
      </c>
    </row>
    <row r="42" spans="2:38" x14ac:dyDescent="0.25">
      <c r="B42" s="1" t="e">
        <f t="shared" si="7"/>
        <v>#DIV/0!</v>
      </c>
      <c r="C42" s="2" t="e">
        <f t="shared" si="8"/>
        <v>#DIV/0!</v>
      </c>
      <c r="D42" s="2" t="e">
        <f t="shared" si="9"/>
        <v>#DIV/0!</v>
      </c>
      <c r="E42">
        <v>71</v>
      </c>
      <c r="F42" t="s">
        <v>24</v>
      </c>
      <c r="G42" t="s">
        <v>25</v>
      </c>
      <c r="H42" s="3">
        <v>41639</v>
      </c>
      <c r="I42" s="1">
        <v>36</v>
      </c>
    </row>
    <row r="43" spans="2:38" x14ac:dyDescent="0.25">
      <c r="B43" s="1">
        <f t="shared" si="7"/>
        <v>42.462881355932204</v>
      </c>
      <c r="C43" s="2" t="e">
        <f t="shared" si="8"/>
        <v>#DIV/0!</v>
      </c>
      <c r="D43" s="2" t="e">
        <f t="shared" si="9"/>
        <v>#DIV/0!</v>
      </c>
      <c r="E43">
        <v>72</v>
      </c>
      <c r="F43" t="s">
        <v>24</v>
      </c>
      <c r="G43" t="s">
        <v>25</v>
      </c>
      <c r="H43" s="3">
        <v>42004</v>
      </c>
      <c r="I43" s="1">
        <v>42.31</v>
      </c>
      <c r="L43" s="5">
        <f t="shared" ref="L43:L65" si="10">+U43*W43</f>
        <v>0.90186400000000011</v>
      </c>
      <c r="P43" s="3">
        <v>42004</v>
      </c>
      <c r="R43" s="1">
        <v>0.22</v>
      </c>
      <c r="S43" s="7">
        <v>0.59</v>
      </c>
      <c r="U43" s="8">
        <v>6.3200000000000006E-2</v>
      </c>
      <c r="V43" s="9">
        <v>16.23</v>
      </c>
      <c r="W43" s="1">
        <v>14.27</v>
      </c>
      <c r="Y43" s="1">
        <f>43020/2130</f>
        <v>20.197183098591548</v>
      </c>
      <c r="Z43" s="8">
        <f t="shared" ref="Z43:Z65" si="11">+Y43/(Y43+I43)</f>
        <v>0.32311779378595357</v>
      </c>
      <c r="AE43" s="1">
        <v>1.8</v>
      </c>
      <c r="AF43" s="10">
        <f>+AE43/I43</f>
        <v>4.2543134010872133E-2</v>
      </c>
    </row>
    <row r="44" spans="2:38" x14ac:dyDescent="0.25">
      <c r="B44" s="1">
        <f t="shared" si="7"/>
        <v>14.984285714285715</v>
      </c>
      <c r="C44" s="2">
        <f t="shared" si="8"/>
        <v>22.035714285714285</v>
      </c>
      <c r="D44" s="2">
        <f t="shared" si="9"/>
        <v>19.97904761904762</v>
      </c>
      <c r="E44">
        <v>73</v>
      </c>
      <c r="F44" t="s">
        <v>24</v>
      </c>
      <c r="G44" t="s">
        <v>25</v>
      </c>
      <c r="H44" s="3">
        <v>42369</v>
      </c>
      <c r="I44" s="1">
        <v>14.92</v>
      </c>
      <c r="J44" s="4">
        <v>21.6</v>
      </c>
      <c r="L44" s="5">
        <f t="shared" si="10"/>
        <v>0.115984</v>
      </c>
      <c r="M44" s="1">
        <v>0.68</v>
      </c>
      <c r="N44" s="1">
        <v>0.75</v>
      </c>
      <c r="P44" s="3">
        <v>42369</v>
      </c>
      <c r="Q44" s="6">
        <v>15.75</v>
      </c>
      <c r="R44" s="1">
        <v>0.15</v>
      </c>
      <c r="S44" s="7">
        <v>0.7</v>
      </c>
      <c r="U44" s="8">
        <v>1.7600000000000001E-2</v>
      </c>
      <c r="V44" s="9">
        <v>14.4</v>
      </c>
      <c r="W44" s="1">
        <v>6.59</v>
      </c>
      <c r="Y44" s="1">
        <f>43300/2230</f>
        <v>19.417040358744394</v>
      </c>
      <c r="Z44" s="8">
        <f t="shared" si="11"/>
        <v>0.56548380861833891</v>
      </c>
      <c r="AE44" s="1">
        <v>0.5</v>
      </c>
      <c r="AF44" s="10">
        <f>+AE44/I44</f>
        <v>3.351206434316354E-2</v>
      </c>
    </row>
    <row r="45" spans="2:38" x14ac:dyDescent="0.25">
      <c r="B45" s="1">
        <f t="shared" si="7"/>
        <v>18.948421052631577</v>
      </c>
      <c r="C45" s="2">
        <f t="shared" si="8"/>
        <v>27.069172932330826</v>
      </c>
      <c r="D45" s="2">
        <f t="shared" si="9"/>
        <v>23.985343104596932</v>
      </c>
      <c r="E45">
        <v>74</v>
      </c>
      <c r="F45" t="s">
        <v>24</v>
      </c>
      <c r="G45" t="s">
        <v>25</v>
      </c>
      <c r="H45" s="3">
        <v>42551</v>
      </c>
      <c r="I45" s="1">
        <v>18.72</v>
      </c>
      <c r="J45" s="4">
        <v>20.79</v>
      </c>
      <c r="L45" s="5">
        <f t="shared" si="10"/>
        <v>8.0079999999999998E-2</v>
      </c>
      <c r="M45" s="1">
        <v>0.7</v>
      </c>
      <c r="N45" s="1">
        <v>0.79</v>
      </c>
      <c r="P45" s="3">
        <v>42551</v>
      </c>
      <c r="Q45" s="6">
        <v>15.75</v>
      </c>
      <c r="R45" s="1">
        <v>0.14000000000000001</v>
      </c>
      <c r="S45" s="7">
        <v>0.38</v>
      </c>
      <c r="U45" s="8">
        <v>1.2999999999999999E-2</v>
      </c>
      <c r="V45" s="9">
        <v>13.68</v>
      </c>
      <c r="W45" s="1">
        <v>6.16</v>
      </c>
      <c r="Y45" s="1">
        <f>43650/2230</f>
        <v>19.573991031390136</v>
      </c>
      <c r="Z45" s="8">
        <f t="shared" si="11"/>
        <v>0.51115045740061549</v>
      </c>
      <c r="AE45" s="1">
        <v>0.5</v>
      </c>
      <c r="AF45" s="10">
        <f>+AE45/I45</f>
        <v>2.6709401709401712E-2</v>
      </c>
    </row>
    <row r="46" spans="2:38" x14ac:dyDescent="0.25">
      <c r="B46" s="1">
        <f t="shared" si="7"/>
        <v>20.996363636363636</v>
      </c>
      <c r="C46" s="2">
        <f t="shared" si="8"/>
        <v>34.420268256333827</v>
      </c>
      <c r="D46" s="2">
        <f t="shared" si="9"/>
        <v>29.572343149807939</v>
      </c>
      <c r="E46">
        <v>75</v>
      </c>
      <c r="F46" t="s">
        <v>24</v>
      </c>
      <c r="G46" t="s">
        <v>25</v>
      </c>
      <c r="H46" s="3">
        <v>42734</v>
      </c>
      <c r="I46" s="1">
        <v>20.71</v>
      </c>
      <c r="J46" s="4">
        <v>25.22</v>
      </c>
      <c r="L46" s="5">
        <f t="shared" si="10"/>
        <v>0.31761200000000001</v>
      </c>
      <c r="M46" s="1">
        <v>0.61</v>
      </c>
      <c r="N46" s="1">
        <v>0.71</v>
      </c>
      <c r="P46" s="3">
        <v>42735</v>
      </c>
      <c r="Q46" s="6">
        <v>15.44</v>
      </c>
      <c r="R46" s="1">
        <v>0.35</v>
      </c>
      <c r="S46" s="7">
        <v>0.55000000000000004</v>
      </c>
      <c r="U46" s="8">
        <v>5.4199999999999998E-2</v>
      </c>
      <c r="V46" s="9">
        <v>13.06</v>
      </c>
      <c r="W46" s="1">
        <v>5.86</v>
      </c>
      <c r="Y46" s="1">
        <f>40140/2230</f>
        <v>18</v>
      </c>
      <c r="Z46" s="8">
        <f t="shared" si="11"/>
        <v>0.46499612503229137</v>
      </c>
      <c r="AE46" s="1">
        <v>0.5</v>
      </c>
      <c r="AF46" s="10">
        <f t="shared" ref="AF46:AF65" si="12">AE46/I46</f>
        <v>2.4142926122646062E-2</v>
      </c>
    </row>
    <row r="47" spans="2:38" x14ac:dyDescent="0.25">
      <c r="B47" s="1">
        <f t="shared" si="7"/>
        <v>22.069999999999997</v>
      </c>
      <c r="C47" s="2">
        <f t="shared" si="8"/>
        <v>32.455882352941167</v>
      </c>
      <c r="D47" s="2">
        <f t="shared" si="9"/>
        <v>28.294871794871788</v>
      </c>
      <c r="E47">
        <v>76</v>
      </c>
      <c r="F47" t="s">
        <v>24</v>
      </c>
      <c r="G47" t="s">
        <v>25</v>
      </c>
      <c r="H47" s="3">
        <v>42825</v>
      </c>
      <c r="I47" s="1">
        <v>21.74</v>
      </c>
      <c r="J47" s="4">
        <v>25.63</v>
      </c>
      <c r="L47" s="5">
        <f t="shared" si="10"/>
        <v>0.37369200000000002</v>
      </c>
      <c r="M47" s="1">
        <v>0.68</v>
      </c>
      <c r="N47" s="1">
        <v>0.78</v>
      </c>
      <c r="P47" s="3">
        <v>42825</v>
      </c>
      <c r="Q47" s="6">
        <v>15.53</v>
      </c>
      <c r="R47" s="1">
        <v>0.22</v>
      </c>
      <c r="S47" s="7">
        <v>0.4</v>
      </c>
      <c r="U47" s="8">
        <v>6.2700000000000006E-2</v>
      </c>
      <c r="V47" s="9">
        <v>13.29</v>
      </c>
      <c r="W47" s="1">
        <v>5.96</v>
      </c>
      <c r="Y47" s="1">
        <f>39480/2230</f>
        <v>17.704035874439462</v>
      </c>
      <c r="Z47" s="8">
        <f t="shared" si="11"/>
        <v>0.44883936143846875</v>
      </c>
      <c r="AE47" s="1">
        <v>0.5</v>
      </c>
      <c r="AF47" s="10">
        <f t="shared" si="12"/>
        <v>2.2999080036798531E-2</v>
      </c>
    </row>
    <row r="48" spans="2:38" x14ac:dyDescent="0.25">
      <c r="B48" s="1">
        <f t="shared" si="7"/>
        <v>19.474883720930233</v>
      </c>
      <c r="C48" s="2">
        <f t="shared" si="8"/>
        <v>29.507399577167018</v>
      </c>
      <c r="D48" s="2">
        <f t="shared" si="9"/>
        <v>26.317410433689503</v>
      </c>
      <c r="E48">
        <v>77</v>
      </c>
      <c r="F48" t="s">
        <v>24</v>
      </c>
      <c r="G48" t="s">
        <v>25</v>
      </c>
      <c r="H48" s="3">
        <v>42916</v>
      </c>
      <c r="I48" s="1">
        <v>19.170000000000002</v>
      </c>
      <c r="J48" s="4">
        <v>25.14</v>
      </c>
      <c r="L48" s="5">
        <f t="shared" si="10"/>
        <v>0.37572</v>
      </c>
      <c r="M48" s="1">
        <v>0.66</v>
      </c>
      <c r="N48" s="1">
        <v>0.74</v>
      </c>
      <c r="P48" s="3">
        <v>42916</v>
      </c>
      <c r="Q48" s="6">
        <v>15.53</v>
      </c>
      <c r="R48" s="1">
        <v>0.23</v>
      </c>
      <c r="S48" s="7">
        <v>0.43</v>
      </c>
      <c r="U48" s="8">
        <v>6.2E-2</v>
      </c>
      <c r="V48" s="9">
        <v>13.51</v>
      </c>
      <c r="W48" s="1">
        <v>6.06</v>
      </c>
      <c r="Y48" s="1">
        <f>38370/2230</f>
        <v>17.206278026905828</v>
      </c>
      <c r="Z48" s="8">
        <f t="shared" si="11"/>
        <v>0.4730082064519946</v>
      </c>
      <c r="AE48" s="1">
        <v>0.5</v>
      </c>
      <c r="AF48" s="10">
        <f t="shared" si="12"/>
        <v>2.6082420448617628E-2</v>
      </c>
    </row>
    <row r="49" spans="2:32" x14ac:dyDescent="0.25">
      <c r="B49" s="1">
        <f t="shared" si="7"/>
        <v>19.552857142857142</v>
      </c>
      <c r="C49" s="2">
        <f t="shared" si="8"/>
        <v>30.551339285714285</v>
      </c>
      <c r="D49" s="2">
        <f t="shared" si="9"/>
        <v>27.539235412474849</v>
      </c>
      <c r="E49">
        <v>78</v>
      </c>
      <c r="F49" t="s">
        <v>24</v>
      </c>
      <c r="G49" s="3" t="s">
        <v>25</v>
      </c>
      <c r="H49" s="3">
        <v>43007</v>
      </c>
      <c r="I49" s="1">
        <v>19.18</v>
      </c>
      <c r="J49" s="4">
        <v>24.83</v>
      </c>
      <c r="L49" s="5">
        <f t="shared" si="10"/>
        <v>0.62591400000000008</v>
      </c>
      <c r="M49" s="1">
        <v>0.64</v>
      </c>
      <c r="N49" s="1">
        <v>0.71</v>
      </c>
      <c r="P49" s="3">
        <v>43008</v>
      </c>
      <c r="Q49" s="6">
        <v>15.79</v>
      </c>
      <c r="R49" s="1">
        <v>0.27</v>
      </c>
      <c r="S49" s="7">
        <v>0.42</v>
      </c>
      <c r="U49" s="8">
        <v>0.1038</v>
      </c>
      <c r="V49" s="9">
        <v>13.46</v>
      </c>
      <c r="W49" s="1">
        <v>6.03</v>
      </c>
      <c r="Y49" s="1">
        <f>38320/2230</f>
        <v>17.183856502242154</v>
      </c>
      <c r="Z49" s="8">
        <f t="shared" si="11"/>
        <v>0.47255319306362942</v>
      </c>
      <c r="AE49" s="1">
        <v>0.5</v>
      </c>
      <c r="AF49" s="10">
        <f t="shared" si="12"/>
        <v>2.6068821689259645E-2</v>
      </c>
    </row>
    <row r="50" spans="2:32" x14ac:dyDescent="0.25">
      <c r="B50" s="1">
        <f t="shared" si="7"/>
        <v>18.24818181818182</v>
      </c>
      <c r="C50" s="2">
        <f t="shared" si="8"/>
        <v>28.512784090909093</v>
      </c>
      <c r="D50" s="2">
        <f t="shared" si="9"/>
        <v>26.068831168831174</v>
      </c>
      <c r="E50">
        <v>79</v>
      </c>
      <c r="F50" t="s">
        <v>24</v>
      </c>
      <c r="G50" s="3" t="s">
        <v>25</v>
      </c>
      <c r="H50" s="3">
        <v>43098</v>
      </c>
      <c r="I50" s="1">
        <v>18.07</v>
      </c>
      <c r="J50" s="4">
        <v>22.67</v>
      </c>
      <c r="L50" s="5">
        <f t="shared" si="10"/>
        <v>8.2410000000000011E-2</v>
      </c>
      <c r="M50" s="1">
        <v>0.64</v>
      </c>
      <c r="N50" s="1">
        <v>0.7</v>
      </c>
      <c r="P50" s="3">
        <v>43100</v>
      </c>
      <c r="Q50" s="6">
        <v>15.17</v>
      </c>
      <c r="R50" s="1">
        <v>0.14000000000000001</v>
      </c>
      <c r="S50" s="7">
        <v>0.44</v>
      </c>
      <c r="U50" s="8">
        <v>1.34E-2</v>
      </c>
      <c r="V50" s="9">
        <v>13.7</v>
      </c>
      <c r="W50" s="1">
        <v>6.15</v>
      </c>
      <c r="Y50" s="1">
        <f>37910/2210</f>
        <v>17.153846153846153</v>
      </c>
      <c r="Z50" s="8">
        <f t="shared" si="11"/>
        <v>0.48699526107750429</v>
      </c>
      <c r="AE50" s="1">
        <v>0.5</v>
      </c>
      <c r="AF50" s="10">
        <f t="shared" si="12"/>
        <v>2.7670171555063641E-2</v>
      </c>
    </row>
    <row r="51" spans="2:32" x14ac:dyDescent="0.25">
      <c r="B51" s="1">
        <f t="shared" si="7"/>
        <v>15.2225</v>
      </c>
      <c r="C51" s="2">
        <f t="shared" si="8"/>
        <v>18.564024390243905</v>
      </c>
      <c r="D51" s="2">
        <f t="shared" si="9"/>
        <v>16.546195652173914</v>
      </c>
      <c r="E51">
        <v>80</v>
      </c>
      <c r="F51" t="s">
        <v>24</v>
      </c>
      <c r="G51" s="3" t="s">
        <v>25</v>
      </c>
      <c r="H51" s="3">
        <v>43188</v>
      </c>
      <c r="I51" s="1">
        <v>15.06</v>
      </c>
      <c r="L51" s="5">
        <f t="shared" si="10"/>
        <v>0.12012</v>
      </c>
      <c r="M51" s="1">
        <v>0.82</v>
      </c>
      <c r="N51" s="1">
        <v>0.92</v>
      </c>
      <c r="P51" s="3">
        <v>43190</v>
      </c>
      <c r="Q51" s="6">
        <v>15.17</v>
      </c>
      <c r="R51" s="1">
        <v>0.15</v>
      </c>
      <c r="S51" s="7">
        <v>0.48</v>
      </c>
      <c r="U51" s="8">
        <v>1.95E-2</v>
      </c>
      <c r="V51" s="9">
        <v>13.7</v>
      </c>
      <c r="W51" s="1">
        <v>6.16</v>
      </c>
      <c r="Y51" s="1">
        <f>38230/2210</f>
        <v>17.298642533936651</v>
      </c>
      <c r="Z51" s="8">
        <f t="shared" si="11"/>
        <v>0.53459110702169965</v>
      </c>
      <c r="AE51" s="1">
        <v>0.8</v>
      </c>
      <c r="AF51" s="10">
        <f t="shared" si="12"/>
        <v>5.3120849933598939E-2</v>
      </c>
    </row>
    <row r="52" spans="2:32" x14ac:dyDescent="0.25">
      <c r="E52">
        <v>81</v>
      </c>
      <c r="F52" t="s">
        <v>24</v>
      </c>
      <c r="G52" s="3" t="s">
        <v>25</v>
      </c>
      <c r="H52" s="3">
        <v>43280</v>
      </c>
      <c r="I52" s="1">
        <v>17.670000000000002</v>
      </c>
      <c r="J52" s="4">
        <v>20.6</v>
      </c>
      <c r="L52" s="5">
        <f t="shared" si="10"/>
        <v>-0.11284000000000001</v>
      </c>
      <c r="M52" s="1">
        <v>0.86</v>
      </c>
      <c r="N52" s="1">
        <v>0.95</v>
      </c>
      <c r="P52" s="3">
        <v>43280</v>
      </c>
      <c r="Q52" s="6">
        <v>14.99</v>
      </c>
      <c r="R52" s="1">
        <v>0.13</v>
      </c>
      <c r="S52" s="7">
        <v>0.49</v>
      </c>
      <c r="U52" s="8">
        <v>-1.8200000000000001E-2</v>
      </c>
      <c r="V52" s="9">
        <v>13.76</v>
      </c>
      <c r="W52" s="1">
        <v>6.2</v>
      </c>
      <c r="Y52" s="1">
        <f>37740/2210</f>
        <v>17.076923076923077</v>
      </c>
      <c r="Z52" s="8">
        <f t="shared" si="11"/>
        <v>0.49146576343229054</v>
      </c>
      <c r="AE52" s="1">
        <v>0.8</v>
      </c>
      <c r="AF52" s="10">
        <f t="shared" si="12"/>
        <v>4.5274476513865305E-2</v>
      </c>
    </row>
    <row r="53" spans="2:32" x14ac:dyDescent="0.25">
      <c r="E53">
        <v>82</v>
      </c>
      <c r="F53" t="s">
        <v>24</v>
      </c>
      <c r="G53" s="3" t="s">
        <v>25</v>
      </c>
      <c r="H53" s="3">
        <v>43371</v>
      </c>
      <c r="I53" s="1">
        <v>17.73</v>
      </c>
      <c r="J53" s="4">
        <v>21.53</v>
      </c>
      <c r="L53" s="5">
        <f t="shared" si="10"/>
        <v>4.9374000000000001E-2</v>
      </c>
      <c r="M53" s="1">
        <v>0.9</v>
      </c>
      <c r="N53" s="1">
        <v>1.01</v>
      </c>
      <c r="P53" s="3">
        <v>43372</v>
      </c>
      <c r="Q53" s="6">
        <v>15.18</v>
      </c>
      <c r="R53" s="1">
        <v>1.58</v>
      </c>
      <c r="S53" s="7">
        <v>1.05</v>
      </c>
      <c r="U53" s="8">
        <v>7.7999999999999996E-3</v>
      </c>
      <c r="V53" s="9">
        <v>13.99</v>
      </c>
      <c r="W53" s="1">
        <v>6.33</v>
      </c>
      <c r="Y53" s="1">
        <f>37880/2210</f>
        <v>17.140271493212669</v>
      </c>
      <c r="Z53" s="8">
        <f t="shared" si="11"/>
        <v>0.49154396450709997</v>
      </c>
      <c r="AE53" s="1">
        <v>0.8</v>
      </c>
      <c r="AF53" s="10">
        <f t="shared" si="12"/>
        <v>4.5121263395375075E-2</v>
      </c>
    </row>
    <row r="54" spans="2:32" x14ac:dyDescent="0.25">
      <c r="E54">
        <v>83</v>
      </c>
      <c r="F54" t="s">
        <v>24</v>
      </c>
      <c r="G54" s="3" t="s">
        <v>25</v>
      </c>
      <c r="H54" s="3">
        <v>43465</v>
      </c>
      <c r="I54" s="1">
        <v>15.38</v>
      </c>
      <c r="J54" s="4">
        <v>21.65</v>
      </c>
      <c r="L54" s="5">
        <f t="shared" si="10"/>
        <v>0.72604400000000002</v>
      </c>
      <c r="M54" s="1">
        <v>0.91</v>
      </c>
      <c r="N54" s="1">
        <v>1.04</v>
      </c>
      <c r="P54" s="3">
        <v>43464</v>
      </c>
      <c r="Q54" s="6">
        <v>14.89</v>
      </c>
      <c r="R54" s="1">
        <v>1.45</v>
      </c>
      <c r="S54" s="7">
        <v>0.76</v>
      </c>
      <c r="U54" s="8">
        <v>0.1138</v>
      </c>
      <c r="V54" s="9">
        <v>14.14</v>
      </c>
      <c r="W54" s="1">
        <v>6.38</v>
      </c>
      <c r="Y54" s="1">
        <f>37440/2260</f>
        <v>16.56637168141593</v>
      </c>
      <c r="Z54" s="8">
        <f t="shared" si="11"/>
        <v>0.51856817564834867</v>
      </c>
      <c r="AE54" s="1">
        <v>0.8</v>
      </c>
      <c r="AF54" s="10">
        <f t="shared" si="12"/>
        <v>5.2015604681404419E-2</v>
      </c>
    </row>
    <row r="55" spans="2:32" x14ac:dyDescent="0.25">
      <c r="E55">
        <v>84</v>
      </c>
      <c r="F55" t="s">
        <v>24</v>
      </c>
      <c r="G55" s="3" t="s">
        <v>25</v>
      </c>
      <c r="H55" s="3">
        <v>43551</v>
      </c>
      <c r="I55" s="1">
        <v>19.98</v>
      </c>
      <c r="L55" s="5">
        <f t="shared" si="10"/>
        <v>0.73596499999999998</v>
      </c>
      <c r="M55" s="1">
        <v>1.04</v>
      </c>
      <c r="N55" s="1">
        <v>1.0900000000000001</v>
      </c>
      <c r="P55" s="3">
        <v>43554</v>
      </c>
      <c r="Q55" s="6">
        <v>14.86</v>
      </c>
      <c r="R55" s="1">
        <v>0.11</v>
      </c>
      <c r="S55" s="7">
        <v>0.45</v>
      </c>
      <c r="U55" s="8">
        <v>0.1159</v>
      </c>
      <c r="V55" s="9">
        <v>14.15</v>
      </c>
      <c r="W55" s="1">
        <v>6.35</v>
      </c>
      <c r="Y55" s="1">
        <f>36580/2260</f>
        <v>16.185840707964601</v>
      </c>
      <c r="Z55" s="8">
        <f t="shared" si="11"/>
        <v>0.44754498695781963</v>
      </c>
      <c r="AE55" s="1">
        <v>1</v>
      </c>
      <c r="AF55" s="10">
        <f t="shared" si="12"/>
        <v>5.0050050050050046E-2</v>
      </c>
    </row>
    <row r="56" spans="2:32" x14ac:dyDescent="0.25">
      <c r="E56">
        <v>85</v>
      </c>
      <c r="F56" t="s">
        <v>24</v>
      </c>
      <c r="G56" s="3" t="s">
        <v>25</v>
      </c>
      <c r="H56" s="3">
        <v>43644</v>
      </c>
      <c r="I56" s="1">
        <v>20.88</v>
      </c>
      <c r="J56" s="4">
        <v>21.63</v>
      </c>
      <c r="L56" s="5">
        <f t="shared" si="10"/>
        <v>1.0246500000000001</v>
      </c>
      <c r="M56" s="1">
        <v>1.02</v>
      </c>
      <c r="N56" s="1">
        <v>1.1000000000000001</v>
      </c>
      <c r="P56" s="3">
        <v>43645</v>
      </c>
      <c r="Q56" s="6">
        <v>14.87</v>
      </c>
      <c r="R56" s="1">
        <v>0.11</v>
      </c>
      <c r="S56" s="7">
        <v>0.41</v>
      </c>
      <c r="U56" s="8">
        <v>0.16500000000000001</v>
      </c>
      <c r="V56" s="9">
        <v>13.94</v>
      </c>
      <c r="W56" s="1">
        <v>6.21</v>
      </c>
      <c r="Y56" s="1">
        <f>36780/2260</f>
        <v>16.274336283185839</v>
      </c>
      <c r="Z56" s="8">
        <f t="shared" si="11"/>
        <v>0.43801983593906302</v>
      </c>
      <c r="AE56" s="1">
        <v>1</v>
      </c>
      <c r="AF56" s="10">
        <f t="shared" si="12"/>
        <v>4.7892720306513412E-2</v>
      </c>
    </row>
    <row r="57" spans="2:32" x14ac:dyDescent="0.25">
      <c r="E57">
        <v>86</v>
      </c>
      <c r="F57" t="s">
        <v>24</v>
      </c>
      <c r="G57" s="3" t="s">
        <v>25</v>
      </c>
      <c r="H57" s="3">
        <v>43738</v>
      </c>
      <c r="I57" s="1">
        <v>20.61</v>
      </c>
      <c r="L57" s="5">
        <f t="shared" si="10"/>
        <v>0.91868400000000006</v>
      </c>
      <c r="M57" s="1">
        <v>1</v>
      </c>
      <c r="N57" s="1">
        <v>1.0900000000000001</v>
      </c>
      <c r="P57" s="3">
        <v>43737</v>
      </c>
      <c r="Q57" s="6">
        <v>14.85</v>
      </c>
      <c r="R57" s="1">
        <v>0.13</v>
      </c>
      <c r="S57" s="7">
        <v>0.35</v>
      </c>
      <c r="U57" s="8">
        <v>0.15210000000000001</v>
      </c>
      <c r="V57" s="9">
        <v>13.64</v>
      </c>
      <c r="W57" s="1">
        <v>6.04</v>
      </c>
      <c r="Y57" s="1">
        <f>37230/2260</f>
        <v>16.473451327433629</v>
      </c>
      <c r="Z57" s="8">
        <f t="shared" si="11"/>
        <v>0.44422648749650995</v>
      </c>
      <c r="AE57" s="1">
        <v>1</v>
      </c>
      <c r="AF57" s="10">
        <f t="shared" si="12"/>
        <v>4.8520135856380396E-2</v>
      </c>
    </row>
    <row r="58" spans="2:32" x14ac:dyDescent="0.25">
      <c r="E58">
        <v>87</v>
      </c>
      <c r="F58" t="s">
        <v>24</v>
      </c>
      <c r="G58" s="3" t="s">
        <v>25</v>
      </c>
      <c r="H58" s="3">
        <v>43830</v>
      </c>
      <c r="I58" s="1">
        <v>21.17</v>
      </c>
      <c r="L58" s="5">
        <f t="shared" si="10"/>
        <v>0.96661400000000008</v>
      </c>
      <c r="M58" s="1">
        <v>0.96</v>
      </c>
      <c r="N58" s="1">
        <v>1.04</v>
      </c>
      <c r="P58" s="3">
        <v>43830</v>
      </c>
      <c r="Q58" s="6">
        <v>14.9</v>
      </c>
      <c r="R58" s="1">
        <v>0.08</v>
      </c>
      <c r="S58" s="7">
        <v>0.65</v>
      </c>
      <c r="U58" s="8">
        <v>0.1658</v>
      </c>
      <c r="V58" s="9">
        <v>13.21</v>
      </c>
      <c r="W58" s="1">
        <v>5.83</v>
      </c>
      <c r="Y58" s="1">
        <f>34390/2260</f>
        <v>15.216814159292035</v>
      </c>
      <c r="Z58" s="8">
        <f t="shared" si="11"/>
        <v>0.41819583579581243</v>
      </c>
      <c r="AE58" s="1">
        <v>1</v>
      </c>
      <c r="AF58" s="10">
        <f t="shared" si="12"/>
        <v>4.7236655644780343E-2</v>
      </c>
    </row>
    <row r="59" spans="2:32" x14ac:dyDescent="0.25">
      <c r="E59">
        <v>88</v>
      </c>
      <c r="F59" t="s">
        <v>24</v>
      </c>
      <c r="G59" s="3" t="s">
        <v>25</v>
      </c>
      <c r="H59" s="3">
        <v>43921</v>
      </c>
      <c r="I59" s="1">
        <v>13.92</v>
      </c>
      <c r="J59" s="4">
        <v>19.329999999999998</v>
      </c>
      <c r="L59" s="5">
        <f t="shared" si="10"/>
        <v>0.58663900000000002</v>
      </c>
      <c r="M59" s="1">
        <v>1.02</v>
      </c>
      <c r="N59" s="1">
        <v>1.98</v>
      </c>
      <c r="P59" s="3">
        <v>43921</v>
      </c>
      <c r="Q59" s="6">
        <v>14.64</v>
      </c>
      <c r="R59" s="1">
        <v>0.22</v>
      </c>
      <c r="S59" s="7">
        <v>0.55000000000000004</v>
      </c>
      <c r="U59" s="8">
        <v>0.1031</v>
      </c>
      <c r="V59" s="9">
        <v>12.89</v>
      </c>
      <c r="W59" s="1">
        <v>5.69</v>
      </c>
      <c r="Y59" s="1">
        <f>34960/2260</f>
        <v>15.469026548672566</v>
      </c>
      <c r="Z59" s="8">
        <f t="shared" si="11"/>
        <v>0.52635382539988429</v>
      </c>
      <c r="AE59" s="1">
        <v>1.05</v>
      </c>
      <c r="AF59" s="10">
        <f t="shared" si="12"/>
        <v>7.5431034482758619E-2</v>
      </c>
    </row>
    <row r="60" spans="2:32" x14ac:dyDescent="0.25">
      <c r="E60">
        <v>89</v>
      </c>
      <c r="F60" t="s">
        <v>24</v>
      </c>
      <c r="G60" s="3" t="s">
        <v>25</v>
      </c>
      <c r="H60" s="3">
        <v>44012</v>
      </c>
      <c r="I60" s="1">
        <v>15.17</v>
      </c>
      <c r="J60" s="4">
        <v>17.75</v>
      </c>
      <c r="L60" s="5">
        <f t="shared" si="10"/>
        <v>7.6139999999999999E-2</v>
      </c>
      <c r="M60" s="1">
        <v>0.77</v>
      </c>
      <c r="N60" s="1">
        <v>0.92</v>
      </c>
      <c r="P60" s="3">
        <v>44012</v>
      </c>
      <c r="Q60" s="6">
        <v>14.04</v>
      </c>
      <c r="R60" s="1">
        <v>0.28999999999999998</v>
      </c>
      <c r="S60" s="7">
        <v>0.48</v>
      </c>
      <c r="U60" s="8">
        <v>1.41E-2</v>
      </c>
      <c r="V60" s="9">
        <v>12.23</v>
      </c>
      <c r="W60" s="1">
        <v>5.4</v>
      </c>
      <c r="Y60" s="1">
        <f>34470/2260</f>
        <v>15.252212389380531</v>
      </c>
      <c r="Z60" s="8">
        <f t="shared" si="11"/>
        <v>0.50135119018183616</v>
      </c>
      <c r="AE60" s="1">
        <v>1.05</v>
      </c>
      <c r="AF60" s="10">
        <f t="shared" si="12"/>
        <v>6.9215557020435067E-2</v>
      </c>
    </row>
    <row r="61" spans="2:32" x14ac:dyDescent="0.25">
      <c r="E61">
        <v>90</v>
      </c>
      <c r="F61" t="s">
        <v>24</v>
      </c>
      <c r="G61" s="3" t="s">
        <v>25</v>
      </c>
      <c r="H61" s="3">
        <v>44104</v>
      </c>
      <c r="I61" s="1">
        <v>12.33</v>
      </c>
      <c r="L61" s="5">
        <f t="shared" si="10"/>
        <v>5.3753999999999996E-2</v>
      </c>
      <c r="M61" s="1">
        <v>0.78</v>
      </c>
      <c r="N61" s="1">
        <v>0.93</v>
      </c>
      <c r="P61" s="3">
        <v>44104</v>
      </c>
      <c r="Q61" s="6">
        <v>13.94</v>
      </c>
      <c r="R61" s="1">
        <v>0.31</v>
      </c>
      <c r="S61" s="7">
        <v>0.61</v>
      </c>
      <c r="U61" s="8">
        <v>1.0200000000000001E-2</v>
      </c>
      <c r="V61" s="9">
        <v>11.94</v>
      </c>
      <c r="W61" s="1">
        <v>5.27</v>
      </c>
      <c r="Y61" s="1">
        <f>34730/2260</f>
        <v>15.367256637168142</v>
      </c>
      <c r="Z61" s="8">
        <f t="shared" si="11"/>
        <v>0.55482955725464012</v>
      </c>
      <c r="AB61" s="1">
        <f>4910/2260</f>
        <v>2.1725663716814161</v>
      </c>
      <c r="AC61" s="1">
        <f>1640/2260</f>
        <v>0.72566371681415931</v>
      </c>
      <c r="AE61" s="1">
        <v>1.05</v>
      </c>
      <c r="AF61" s="10">
        <f t="shared" si="12"/>
        <v>8.5158150851581516E-2</v>
      </c>
    </row>
    <row r="62" spans="2:32" x14ac:dyDescent="0.25">
      <c r="E62">
        <v>91</v>
      </c>
      <c r="F62" t="s">
        <v>24</v>
      </c>
      <c r="G62" s="3" t="s">
        <v>25</v>
      </c>
      <c r="H62" s="3">
        <v>44196</v>
      </c>
      <c r="I62" s="1">
        <v>13.67</v>
      </c>
      <c r="J62" s="4">
        <v>16.66</v>
      </c>
      <c r="L62" s="5">
        <f t="shared" si="10"/>
        <v>5.2734000000000003E-2</v>
      </c>
      <c r="M62" s="1">
        <v>0.86</v>
      </c>
      <c r="N62" s="1">
        <v>0.91</v>
      </c>
      <c r="P62" s="3">
        <v>44196</v>
      </c>
      <c r="Q62" s="6">
        <v>13.88</v>
      </c>
      <c r="R62" s="1">
        <v>0.56999999999999995</v>
      </c>
      <c r="S62" s="7">
        <v>0.63</v>
      </c>
      <c r="U62" s="8">
        <v>1.0200000000000001E-2</v>
      </c>
      <c r="V62" s="9">
        <v>11.7</v>
      </c>
      <c r="W62" s="1">
        <v>5.17</v>
      </c>
      <c r="Y62" s="1">
        <f>35000/2260</f>
        <v>15.486725663716815</v>
      </c>
      <c r="Z62" s="8">
        <f t="shared" si="11"/>
        <v>0.53115448704134816</v>
      </c>
      <c r="AB62" s="1">
        <f>4550/2260</f>
        <v>2.0132743362831858</v>
      </c>
      <c r="AC62" s="1">
        <f>2120/2260</f>
        <v>0.93805309734513276</v>
      </c>
      <c r="AE62" s="1">
        <v>1.05</v>
      </c>
      <c r="AF62" s="10">
        <f t="shared" si="12"/>
        <v>7.681053401609364E-2</v>
      </c>
    </row>
    <row r="63" spans="2:32" x14ac:dyDescent="0.25">
      <c r="E63">
        <v>92</v>
      </c>
      <c r="F63" t="s">
        <v>24</v>
      </c>
      <c r="G63" s="3" t="s">
        <v>25</v>
      </c>
      <c r="H63" s="3">
        <v>44286</v>
      </c>
      <c r="I63" s="1">
        <v>16.649999999999999</v>
      </c>
      <c r="J63" s="4">
        <v>17.02</v>
      </c>
      <c r="L63" s="5">
        <f t="shared" si="10"/>
        <v>0.22996999999999998</v>
      </c>
      <c r="M63" s="1">
        <v>0.92</v>
      </c>
      <c r="N63" s="1">
        <v>0.94</v>
      </c>
      <c r="P63" s="3">
        <v>44286</v>
      </c>
      <c r="Q63" s="6">
        <v>14.21</v>
      </c>
      <c r="R63" s="1">
        <v>0.66</v>
      </c>
      <c r="S63" s="7">
        <v>0.81</v>
      </c>
      <c r="U63" s="8">
        <v>3.7699999999999997E-2</v>
      </c>
      <c r="V63" s="9">
        <v>13.8</v>
      </c>
      <c r="W63" s="1">
        <v>6.1</v>
      </c>
      <c r="Y63" s="1">
        <f>33260/2260</f>
        <v>14.716814159292035</v>
      </c>
      <c r="Z63" s="8">
        <f t="shared" si="11"/>
        <v>0.46918421757959627</v>
      </c>
      <c r="AB63" s="1">
        <f>5530/2260</f>
        <v>2.4469026548672566</v>
      </c>
      <c r="AC63" s="1">
        <f>3190/2260</f>
        <v>1.4115044247787611</v>
      </c>
      <c r="AE63" s="1">
        <v>1.08</v>
      </c>
      <c r="AF63" s="10">
        <f t="shared" si="12"/>
        <v>6.4864864864864868E-2</v>
      </c>
    </row>
    <row r="64" spans="2:32" x14ac:dyDescent="0.25">
      <c r="E64">
        <v>93</v>
      </c>
      <c r="F64" t="s">
        <v>24</v>
      </c>
      <c r="G64" s="3" t="s">
        <v>25</v>
      </c>
      <c r="H64" s="3">
        <v>44377</v>
      </c>
      <c r="I64" s="1">
        <v>18.23</v>
      </c>
      <c r="J64" s="4">
        <v>18.239999999999998</v>
      </c>
      <c r="L64" s="5">
        <f t="shared" si="10"/>
        <v>0.75747600000000004</v>
      </c>
      <c r="M64" s="1">
        <v>1.2</v>
      </c>
      <c r="N64" s="1">
        <v>0.92</v>
      </c>
      <c r="P64" s="3">
        <v>44377</v>
      </c>
      <c r="Q64" s="6">
        <v>13.56</v>
      </c>
      <c r="R64" s="1">
        <v>0.65</v>
      </c>
      <c r="S64" s="7">
        <v>0.85</v>
      </c>
      <c r="U64" s="8">
        <v>0.1191</v>
      </c>
      <c r="V64" s="9">
        <v>14.39</v>
      </c>
      <c r="W64" s="1">
        <v>6.36</v>
      </c>
      <c r="Y64" s="1">
        <f>33280/2270</f>
        <v>14.66079295154185</v>
      </c>
      <c r="Z64" s="8">
        <f t="shared" si="11"/>
        <v>0.44574154758572282</v>
      </c>
      <c r="AB64" s="1">
        <f>5630/2270</f>
        <v>2.4801762114537445</v>
      </c>
      <c r="AC64" s="1">
        <f>2470/2270</f>
        <v>1.0881057268722467</v>
      </c>
      <c r="AE64" s="1">
        <v>1.08</v>
      </c>
      <c r="AF64" s="10">
        <f t="shared" si="12"/>
        <v>5.9243006034009879E-2</v>
      </c>
    </row>
    <row r="65" spans="2:32" x14ac:dyDescent="0.25">
      <c r="E65">
        <v>94</v>
      </c>
      <c r="F65" t="s">
        <v>24</v>
      </c>
      <c r="G65" s="3" t="s">
        <v>25</v>
      </c>
      <c r="H65" s="3">
        <v>44469</v>
      </c>
      <c r="I65" s="1">
        <v>16.73</v>
      </c>
      <c r="J65" s="4">
        <v>18.48</v>
      </c>
      <c r="L65" s="5">
        <f t="shared" si="10"/>
        <v>0.77469599999999994</v>
      </c>
      <c r="M65" s="1">
        <v>1.32</v>
      </c>
      <c r="N65" s="1">
        <v>1.01</v>
      </c>
      <c r="P65" s="3">
        <v>44469</v>
      </c>
      <c r="Q65" s="6">
        <v>13.48</v>
      </c>
      <c r="R65" s="1">
        <v>0.1</v>
      </c>
      <c r="S65" s="7">
        <v>0.46</v>
      </c>
      <c r="U65" s="8">
        <v>0.11459999999999999</v>
      </c>
      <c r="V65" s="9">
        <v>15.3</v>
      </c>
      <c r="W65" s="1">
        <v>6.76</v>
      </c>
      <c r="Y65" s="1">
        <f>32840/2270</f>
        <v>14.466960352422907</v>
      </c>
      <c r="Z65" s="8">
        <f t="shared" si="11"/>
        <v>0.46372980537186642</v>
      </c>
      <c r="AB65" s="1">
        <f>5710/2270</f>
        <v>2.515418502202643</v>
      </c>
      <c r="AC65" s="1">
        <f>1510/2270</f>
        <v>0.66519823788546251</v>
      </c>
      <c r="AE65" s="1">
        <v>1.08</v>
      </c>
      <c r="AF65" s="10">
        <f t="shared" si="12"/>
        <v>6.4554692169754929E-2</v>
      </c>
    </row>
    <row r="66" spans="2:32" x14ac:dyDescent="0.25">
      <c r="E66">
        <v>95</v>
      </c>
      <c r="F66" t="s">
        <v>24</v>
      </c>
      <c r="G66" s="3" t="s">
        <v>25</v>
      </c>
      <c r="H66" s="3">
        <f>VLOOKUP(G66,oil,3,FALSE)</f>
        <v>44519</v>
      </c>
      <c r="I66" s="1">
        <f>VLOOKUP(G66,oil,2,FALSE)</f>
        <v>16.16</v>
      </c>
    </row>
    <row r="67" spans="2:32" x14ac:dyDescent="0.25">
      <c r="E67">
        <v>96</v>
      </c>
      <c r="F67" t="s">
        <v>24</v>
      </c>
      <c r="G67" s="3" t="s">
        <v>25</v>
      </c>
      <c r="H67" s="3">
        <v>44651</v>
      </c>
    </row>
    <row r="68" spans="2:32" x14ac:dyDescent="0.25">
      <c r="E68">
        <v>97</v>
      </c>
      <c r="F68" t="s">
        <v>24</v>
      </c>
      <c r="G68" s="3" t="s">
        <v>25</v>
      </c>
      <c r="H68" s="3">
        <v>44742</v>
      </c>
    </row>
    <row r="69" spans="2:32" x14ac:dyDescent="0.25">
      <c r="E69">
        <v>98</v>
      </c>
      <c r="F69" t="s">
        <v>24</v>
      </c>
      <c r="G69" s="3" t="s">
        <v>25</v>
      </c>
      <c r="H69" s="3">
        <v>44834</v>
      </c>
    </row>
    <row r="70" spans="2:32" s="15" customFormat="1" x14ac:dyDescent="0.25">
      <c r="B70" s="16"/>
      <c r="C70" s="17"/>
      <c r="E70" s="15">
        <v>99</v>
      </c>
      <c r="F70" s="15" t="s">
        <v>24</v>
      </c>
      <c r="G70" s="18" t="s">
        <v>25</v>
      </c>
      <c r="H70" s="18">
        <v>44926</v>
      </c>
      <c r="I70" s="16"/>
      <c r="J70" s="19"/>
      <c r="L70" s="20"/>
      <c r="M70" s="16"/>
      <c r="N70" s="16"/>
      <c r="P70" s="18"/>
      <c r="Q70" s="21"/>
      <c r="R70" s="16"/>
      <c r="S70" s="22"/>
      <c r="U70" s="23"/>
      <c r="V70" s="24"/>
      <c r="W70" s="16"/>
      <c r="Y70" s="16"/>
      <c r="Z70" s="23"/>
      <c r="AA70" s="23"/>
      <c r="AB70" s="16"/>
      <c r="AC70" s="16"/>
      <c r="AE70" s="16"/>
      <c r="AF70" s="25"/>
    </row>
    <row r="71" spans="2:32" x14ac:dyDescent="0.25">
      <c r="B71" s="1" t="e">
        <f t="shared" ref="B71:B83" si="13">+I71-(-R71/S71+R71)</f>
        <v>#DIV/0!</v>
      </c>
      <c r="C71" s="2" t="e">
        <f t="shared" ref="C71:C83" si="14">B71/M71</f>
        <v>#DIV/0!</v>
      </c>
      <c r="D71" s="2" t="e">
        <f t="shared" ref="D71:D83" si="15">B71/N71</f>
        <v>#DIV/0!</v>
      </c>
      <c r="E71">
        <v>100</v>
      </c>
      <c r="F71" t="s">
        <v>28</v>
      </c>
      <c r="G71" s="3" t="s">
        <v>29</v>
      </c>
      <c r="H71" s="3">
        <v>40178</v>
      </c>
    </row>
    <row r="72" spans="2:32" x14ac:dyDescent="0.25">
      <c r="B72" s="1" t="e">
        <f t="shared" si="13"/>
        <v>#DIV/0!</v>
      </c>
      <c r="C72" s="2" t="e">
        <f t="shared" si="14"/>
        <v>#DIV/0!</v>
      </c>
      <c r="D72" s="2" t="e">
        <f t="shared" si="15"/>
        <v>#DIV/0!</v>
      </c>
      <c r="E72">
        <v>101</v>
      </c>
      <c r="F72" t="s">
        <v>28</v>
      </c>
      <c r="G72" s="3" t="s">
        <v>29</v>
      </c>
      <c r="H72" s="3">
        <v>40543</v>
      </c>
    </row>
    <row r="73" spans="2:32" x14ac:dyDescent="0.25">
      <c r="B73" s="1" t="e">
        <f t="shared" si="13"/>
        <v>#DIV/0!</v>
      </c>
      <c r="C73" s="2" t="e">
        <f t="shared" si="14"/>
        <v>#DIV/0!</v>
      </c>
      <c r="D73" s="2" t="e">
        <f t="shared" si="15"/>
        <v>#DIV/0!</v>
      </c>
      <c r="E73">
        <v>102</v>
      </c>
      <c r="F73" t="s">
        <v>28</v>
      </c>
      <c r="G73" s="3" t="s">
        <v>29</v>
      </c>
      <c r="H73" s="3">
        <v>40907</v>
      </c>
    </row>
    <row r="74" spans="2:32" x14ac:dyDescent="0.25">
      <c r="B74" s="1" t="e">
        <f t="shared" si="13"/>
        <v>#DIV/0!</v>
      </c>
      <c r="C74" s="2" t="e">
        <f t="shared" si="14"/>
        <v>#DIV/0!</v>
      </c>
      <c r="D74" s="2" t="e">
        <f t="shared" si="15"/>
        <v>#DIV/0!</v>
      </c>
      <c r="E74">
        <v>103</v>
      </c>
      <c r="F74" t="s">
        <v>28</v>
      </c>
      <c r="G74" s="3" t="s">
        <v>29</v>
      </c>
      <c r="H74" s="3">
        <v>41274</v>
      </c>
      <c r="I74" s="1">
        <v>8.1999999999999993</v>
      </c>
    </row>
    <row r="75" spans="2:32" x14ac:dyDescent="0.25">
      <c r="B75" s="1" t="e">
        <f t="shared" si="13"/>
        <v>#DIV/0!</v>
      </c>
      <c r="C75" s="2" t="e">
        <f t="shared" si="14"/>
        <v>#DIV/0!</v>
      </c>
      <c r="D75" s="2" t="e">
        <f t="shared" si="15"/>
        <v>#DIV/0!</v>
      </c>
      <c r="E75">
        <v>104</v>
      </c>
      <c r="F75" t="s">
        <v>28</v>
      </c>
      <c r="G75" s="3" t="s">
        <v>29</v>
      </c>
      <c r="H75" s="3">
        <v>41639</v>
      </c>
      <c r="I75" s="1">
        <v>18.64</v>
      </c>
    </row>
    <row r="76" spans="2:32" x14ac:dyDescent="0.25">
      <c r="B76" s="1" t="e">
        <f t="shared" si="13"/>
        <v>#DIV/0!</v>
      </c>
      <c r="C76" s="2" t="e">
        <f t="shared" si="14"/>
        <v>#DIV/0!</v>
      </c>
      <c r="D76" s="2" t="e">
        <f t="shared" si="15"/>
        <v>#DIV/0!</v>
      </c>
      <c r="E76">
        <v>105</v>
      </c>
      <c r="F76" t="s">
        <v>28</v>
      </c>
      <c r="G76" s="3" t="s">
        <v>29</v>
      </c>
      <c r="H76" s="3">
        <v>42004</v>
      </c>
      <c r="I76" s="1">
        <v>20.23</v>
      </c>
    </row>
    <row r="77" spans="2:32" x14ac:dyDescent="0.25">
      <c r="B77" s="1" t="e">
        <f t="shared" si="13"/>
        <v>#DIV/0!</v>
      </c>
      <c r="C77" s="2" t="e">
        <f t="shared" si="14"/>
        <v>#DIV/0!</v>
      </c>
      <c r="D77" s="2" t="e">
        <f t="shared" si="15"/>
        <v>#DIV/0!</v>
      </c>
      <c r="E77">
        <v>106</v>
      </c>
      <c r="F77" t="s">
        <v>28</v>
      </c>
      <c r="G77" s="3" t="s">
        <v>29</v>
      </c>
      <c r="H77" s="3">
        <v>42369</v>
      </c>
      <c r="I77" s="1">
        <v>19.77</v>
      </c>
    </row>
    <row r="78" spans="2:32" x14ac:dyDescent="0.25">
      <c r="B78" s="1">
        <f t="shared" si="13"/>
        <v>19.997681159420292</v>
      </c>
      <c r="C78" s="2">
        <f t="shared" si="14"/>
        <v>-49.994202898550725</v>
      </c>
      <c r="D78" s="2">
        <f t="shared" si="15"/>
        <v>95.227053140096629</v>
      </c>
      <c r="E78">
        <v>107</v>
      </c>
      <c r="F78" t="s">
        <v>28</v>
      </c>
      <c r="G78" s="3" t="s">
        <v>29</v>
      </c>
      <c r="H78" s="3">
        <v>42551</v>
      </c>
      <c r="I78" s="1">
        <v>19.8</v>
      </c>
      <c r="J78" s="4">
        <v>24.4</v>
      </c>
      <c r="L78" s="5">
        <f t="shared" ref="L78:L83" si="16">+U78*W78</f>
        <v>-7.9032619999999998</v>
      </c>
      <c r="M78" s="1">
        <v>-0.4</v>
      </c>
      <c r="N78" s="1">
        <v>0.21</v>
      </c>
      <c r="P78" s="3">
        <v>42551</v>
      </c>
      <c r="Q78" s="6">
        <v>4.5199999999999996</v>
      </c>
      <c r="R78" s="1">
        <v>0.44</v>
      </c>
      <c r="S78" s="7">
        <v>0.69</v>
      </c>
      <c r="U78" s="8">
        <v>-2.8429000000000002</v>
      </c>
      <c r="V78" s="9">
        <v>0.24129</v>
      </c>
      <c r="W78" s="1">
        <v>2.78</v>
      </c>
      <c r="Y78" s="1">
        <f>391.84/93.26</f>
        <v>4.2015869611837866</v>
      </c>
      <c r="Z78" s="8">
        <f t="shared" ref="Z78:Z83" si="17">Y78/(Y78+I78)</f>
        <v>0.17505454818378224</v>
      </c>
    </row>
    <row r="79" spans="2:32" x14ac:dyDescent="0.25">
      <c r="B79" s="1">
        <f t="shared" si="13"/>
        <v>24.920909090909092</v>
      </c>
      <c r="C79" s="2">
        <f t="shared" si="14"/>
        <v>-498.41818181818184</v>
      </c>
      <c r="D79" s="2">
        <f t="shared" si="15"/>
        <v>38.339860139860143</v>
      </c>
      <c r="E79">
        <v>108</v>
      </c>
      <c r="F79" t="s">
        <v>28</v>
      </c>
      <c r="G79" s="3" t="s">
        <v>29</v>
      </c>
      <c r="H79" s="3">
        <v>42734</v>
      </c>
      <c r="I79" s="1">
        <v>25.76</v>
      </c>
      <c r="J79" s="4">
        <v>28.16</v>
      </c>
      <c r="L79" s="5">
        <f t="shared" si="16"/>
        <v>-1.0689739999999999</v>
      </c>
      <c r="M79" s="1">
        <v>-0.05</v>
      </c>
      <c r="N79" s="1">
        <v>0.65</v>
      </c>
      <c r="P79" s="3">
        <v>42735</v>
      </c>
      <c r="Q79" s="6">
        <v>6.93</v>
      </c>
      <c r="R79" s="1">
        <v>2.13</v>
      </c>
      <c r="S79" s="7">
        <v>1.65</v>
      </c>
      <c r="U79" s="8">
        <v>-0.34820000000000001</v>
      </c>
      <c r="V79" s="9">
        <v>0.27977000000000002</v>
      </c>
      <c r="W79" s="1">
        <v>3.07</v>
      </c>
      <c r="Y79" s="1">
        <f>573.92/100.03</f>
        <v>5.737478756373088</v>
      </c>
      <c r="Z79" s="8">
        <f t="shared" si="17"/>
        <v>0.1821567624745897</v>
      </c>
    </row>
    <row r="80" spans="2:32" x14ac:dyDescent="0.25">
      <c r="B80" s="1">
        <f t="shared" si="13"/>
        <v>22.829729729729728</v>
      </c>
      <c r="C80" s="2">
        <f t="shared" si="14"/>
        <v>32.154548915112294</v>
      </c>
      <c r="D80" s="2">
        <f t="shared" si="15"/>
        <v>18.712893221089942</v>
      </c>
      <c r="E80">
        <v>109</v>
      </c>
      <c r="F80" t="s">
        <v>28</v>
      </c>
      <c r="G80" s="3" t="s">
        <v>29</v>
      </c>
      <c r="H80" s="3">
        <v>42825</v>
      </c>
      <c r="I80" s="1">
        <v>23.79</v>
      </c>
      <c r="J80" s="4">
        <v>30.95</v>
      </c>
      <c r="L80" s="5">
        <f t="shared" si="16"/>
        <v>0.57049499999999997</v>
      </c>
      <c r="M80" s="1">
        <v>0.71</v>
      </c>
      <c r="N80" s="1">
        <v>1.22</v>
      </c>
      <c r="P80" s="3">
        <v>42825</v>
      </c>
      <c r="Q80" s="6">
        <v>8.51</v>
      </c>
      <c r="R80" s="1">
        <v>2.09</v>
      </c>
      <c r="S80" s="7">
        <v>1.85</v>
      </c>
      <c r="U80" s="8">
        <v>0.15629999999999999</v>
      </c>
      <c r="V80" s="9">
        <v>0.34677999999999998</v>
      </c>
      <c r="W80" s="1">
        <v>3.65</v>
      </c>
      <c r="Y80" s="1">
        <f>573.94/100.19</f>
        <v>5.7285158199421105</v>
      </c>
      <c r="Z80" s="8">
        <f t="shared" si="17"/>
        <v>0.19406517098912004</v>
      </c>
    </row>
    <row r="81" spans="2:32" x14ac:dyDescent="0.25">
      <c r="B81" s="1">
        <f t="shared" si="13"/>
        <v>21.189310344827586</v>
      </c>
      <c r="C81" s="2">
        <f t="shared" si="14"/>
        <v>29.429597701149426</v>
      </c>
      <c r="D81" s="2">
        <f t="shared" si="15"/>
        <v>18.58711433756806</v>
      </c>
      <c r="E81">
        <v>110</v>
      </c>
      <c r="F81" t="s">
        <v>28</v>
      </c>
      <c r="G81" s="3" t="s">
        <v>29</v>
      </c>
      <c r="H81" s="3">
        <v>42916</v>
      </c>
      <c r="I81" s="1">
        <v>21.37</v>
      </c>
      <c r="J81" s="4">
        <v>29.38</v>
      </c>
      <c r="L81" s="5">
        <f t="shared" si="16"/>
        <v>1.9468859999999999</v>
      </c>
      <c r="M81" s="1">
        <v>0.72</v>
      </c>
      <c r="N81" s="1">
        <v>1.1399999999999999</v>
      </c>
      <c r="P81" s="3">
        <v>42916</v>
      </c>
      <c r="Q81" s="6">
        <v>8.51</v>
      </c>
      <c r="R81" s="1">
        <v>1.31</v>
      </c>
      <c r="S81" s="7">
        <v>1.1599999999999999</v>
      </c>
      <c r="U81" s="8">
        <v>0.48430000000000001</v>
      </c>
      <c r="V81" s="9">
        <v>0.38939000000000001</v>
      </c>
      <c r="W81" s="1">
        <v>4.0199999999999996</v>
      </c>
      <c r="Y81" s="1">
        <f>573.99/100.33</f>
        <v>5.7210206319146817</v>
      </c>
      <c r="Z81" s="8">
        <f t="shared" si="17"/>
        <v>0.21117774445068382</v>
      </c>
    </row>
    <row r="82" spans="2:32" x14ac:dyDescent="0.25">
      <c r="B82" s="1">
        <f t="shared" si="13"/>
        <v>27.276666666666664</v>
      </c>
      <c r="C82" s="2">
        <f t="shared" si="14"/>
        <v>55.666666666666664</v>
      </c>
      <c r="D82" s="2">
        <f t="shared" si="15"/>
        <v>35.424242424242422</v>
      </c>
      <c r="E82">
        <v>111</v>
      </c>
      <c r="F82" t="s">
        <v>28</v>
      </c>
      <c r="G82" s="3" t="s">
        <v>29</v>
      </c>
      <c r="H82" s="3">
        <v>43007</v>
      </c>
      <c r="I82" s="1">
        <v>27.15</v>
      </c>
      <c r="J82" s="4">
        <v>28.89</v>
      </c>
      <c r="L82" s="5">
        <f t="shared" si="16"/>
        <v>1.936728</v>
      </c>
      <c r="M82" s="1">
        <v>0.49</v>
      </c>
      <c r="N82" s="1">
        <v>0.77</v>
      </c>
      <c r="P82" s="3">
        <v>43008</v>
      </c>
      <c r="Q82" s="6">
        <v>9.02</v>
      </c>
      <c r="R82" s="1">
        <v>0.19</v>
      </c>
      <c r="S82" s="7">
        <v>0.6</v>
      </c>
      <c r="U82" s="8">
        <v>0.43619999999999998</v>
      </c>
      <c r="V82" s="9">
        <v>0.43941000000000002</v>
      </c>
      <c r="W82" s="1">
        <v>4.4400000000000004</v>
      </c>
      <c r="Y82" s="1">
        <f>574.03/108.45</f>
        <v>5.2930382664822497</v>
      </c>
      <c r="Z82" s="8">
        <f t="shared" si="17"/>
        <v>0.1631486614479824</v>
      </c>
    </row>
    <row r="83" spans="2:32" x14ac:dyDescent="0.25">
      <c r="B83" s="1">
        <f t="shared" si="13"/>
        <v>31.218021978021977</v>
      </c>
      <c r="C83" s="2">
        <f t="shared" si="14"/>
        <v>45.908855850032317</v>
      </c>
      <c r="D83" s="2">
        <f t="shared" si="15"/>
        <v>29.731449502878071</v>
      </c>
      <c r="E83">
        <v>112</v>
      </c>
      <c r="F83" t="s">
        <v>28</v>
      </c>
      <c r="G83" s="3" t="s">
        <v>29</v>
      </c>
      <c r="H83" s="3">
        <v>43098</v>
      </c>
      <c r="I83" s="1">
        <v>31.13</v>
      </c>
      <c r="J83" s="4">
        <v>30.58</v>
      </c>
      <c r="L83" s="5">
        <f t="shared" si="16"/>
        <v>1.2334080000000001</v>
      </c>
      <c r="M83" s="1">
        <v>0.68</v>
      </c>
      <c r="N83" s="1">
        <v>1.05</v>
      </c>
      <c r="P83" s="3">
        <v>43100</v>
      </c>
      <c r="Q83" s="6">
        <v>10.66</v>
      </c>
      <c r="R83" s="1">
        <v>0.89</v>
      </c>
      <c r="S83" s="7">
        <v>0.91</v>
      </c>
      <c r="U83" s="8">
        <v>0.2336</v>
      </c>
      <c r="V83" s="9">
        <v>0.53888000000000003</v>
      </c>
      <c r="W83" s="1">
        <v>5.28</v>
      </c>
      <c r="Y83" s="1">
        <f>574.07/108.45</f>
        <v>5.2934071000461049</v>
      </c>
      <c r="Z83" s="8">
        <f t="shared" si="17"/>
        <v>0.14532981732067027</v>
      </c>
    </row>
    <row r="84" spans="2:32" x14ac:dyDescent="0.25">
      <c r="E84">
        <v>113</v>
      </c>
      <c r="F84" t="s">
        <v>28</v>
      </c>
      <c r="G84" s="3" t="s">
        <v>29</v>
      </c>
      <c r="H84" s="3">
        <v>43188</v>
      </c>
      <c r="I84" s="1">
        <v>29.91</v>
      </c>
      <c r="M84" s="1">
        <v>1.33</v>
      </c>
      <c r="N84" s="1">
        <v>1.68</v>
      </c>
    </row>
    <row r="85" spans="2:32" x14ac:dyDescent="0.25">
      <c r="B85" s="1">
        <f t="shared" ref="B85:B98" si="18">+I85-(-R85/S85+R85)</f>
        <v>29.860655737704917</v>
      </c>
      <c r="C85" s="2">
        <f t="shared" ref="C85:C98" si="19">B85/M85</f>
        <v>20.593555681175804</v>
      </c>
      <c r="D85" s="2">
        <f t="shared" ref="D85:D98" si="20">B85/N85</f>
        <v>17.462371776435624</v>
      </c>
      <c r="E85">
        <v>114</v>
      </c>
      <c r="F85" t="s">
        <v>28</v>
      </c>
      <c r="G85" s="3" t="s">
        <v>29</v>
      </c>
      <c r="H85" s="3">
        <v>43280</v>
      </c>
      <c r="I85" s="1">
        <v>30.05</v>
      </c>
      <c r="J85" s="4">
        <v>37.11</v>
      </c>
      <c r="L85" s="5">
        <f t="shared" ref="L85:L98" si="21">+U85*W85</f>
        <v>1.6093740000000003</v>
      </c>
      <c r="M85" s="1">
        <v>1.45</v>
      </c>
      <c r="N85" s="1">
        <v>1.71</v>
      </c>
      <c r="P85" s="3">
        <v>43280</v>
      </c>
      <c r="Q85" s="6">
        <v>13.1</v>
      </c>
      <c r="R85" s="1">
        <v>1.05</v>
      </c>
      <c r="S85" s="7">
        <v>1.22</v>
      </c>
      <c r="U85" s="8">
        <v>0.26340000000000002</v>
      </c>
      <c r="V85" s="9">
        <v>0.65695999999999999</v>
      </c>
      <c r="W85" s="1">
        <v>6.11</v>
      </c>
      <c r="Y85" s="1">
        <f>574.16/116.36</f>
        <v>4.9343416981780681</v>
      </c>
      <c r="Z85" s="8">
        <f t="shared" ref="Z85:Z98" si="22">Y85/(Y85+I85)</f>
        <v>0.14104429177911446</v>
      </c>
    </row>
    <row r="86" spans="2:32" x14ac:dyDescent="0.25">
      <c r="B86" s="1">
        <f t="shared" si="18"/>
        <v>33.22971014492753</v>
      </c>
      <c r="C86" s="2">
        <f t="shared" si="19"/>
        <v>22.452506854680763</v>
      </c>
      <c r="D86" s="2">
        <f t="shared" si="20"/>
        <v>19.319598921469495</v>
      </c>
      <c r="E86">
        <v>115</v>
      </c>
      <c r="F86" t="s">
        <v>28</v>
      </c>
      <c r="G86" s="3" t="s">
        <v>29</v>
      </c>
      <c r="H86" s="3">
        <v>43371</v>
      </c>
      <c r="I86" s="1">
        <v>33.049999999999997</v>
      </c>
      <c r="J86" s="4">
        <v>39.729999999999997</v>
      </c>
      <c r="L86" s="5">
        <f t="shared" si="21"/>
        <v>1.5783049999999998</v>
      </c>
      <c r="M86" s="1">
        <v>1.48</v>
      </c>
      <c r="N86" s="1">
        <v>1.72</v>
      </c>
      <c r="P86" s="3">
        <v>43372</v>
      </c>
      <c r="Q86" s="6">
        <v>13.3</v>
      </c>
      <c r="R86" s="1">
        <v>0.4</v>
      </c>
      <c r="S86" s="7">
        <v>0.69</v>
      </c>
      <c r="U86" s="8">
        <v>0.23949999999999999</v>
      </c>
      <c r="V86" s="9">
        <v>0.73399000000000003</v>
      </c>
      <c r="W86" s="1">
        <v>6.59</v>
      </c>
      <c r="Y86" s="1">
        <f>1070/116.33</f>
        <v>9.1979712885756033</v>
      </c>
      <c r="Z86" s="8">
        <f t="shared" si="22"/>
        <v>0.21771391638544441</v>
      </c>
    </row>
    <row r="87" spans="2:32" x14ac:dyDescent="0.25">
      <c r="B87" s="1">
        <f t="shared" si="18"/>
        <v>15.572150537634409</v>
      </c>
      <c r="C87" s="2">
        <f t="shared" si="19"/>
        <v>9.4376669925057026</v>
      </c>
      <c r="D87" s="2">
        <f t="shared" si="20"/>
        <v>9.7325940860215052</v>
      </c>
      <c r="E87">
        <v>116</v>
      </c>
      <c r="F87" t="s">
        <v>28</v>
      </c>
      <c r="G87" s="3" t="s">
        <v>29</v>
      </c>
      <c r="H87" s="3">
        <v>43465</v>
      </c>
      <c r="I87" s="1">
        <v>15.53</v>
      </c>
      <c r="J87" s="4">
        <v>32</v>
      </c>
      <c r="L87" s="5">
        <f t="shared" si="21"/>
        <v>2.4140160000000002</v>
      </c>
      <c r="M87" s="1">
        <v>1.65</v>
      </c>
      <c r="N87" s="1">
        <v>1.6</v>
      </c>
      <c r="P87" s="3">
        <v>43464</v>
      </c>
      <c r="Q87" s="6">
        <v>14.52</v>
      </c>
      <c r="R87" s="1">
        <v>0.56000000000000005</v>
      </c>
      <c r="S87" s="7">
        <v>0.93</v>
      </c>
      <c r="U87" s="8">
        <v>0.30480000000000002</v>
      </c>
      <c r="V87" s="9">
        <v>0.89959999999999996</v>
      </c>
      <c r="W87" s="1">
        <v>7.92</v>
      </c>
      <c r="Y87" s="1">
        <f>1300/116.55</f>
        <v>11.154011154011155</v>
      </c>
      <c r="Z87" s="8">
        <f t="shared" si="22"/>
        <v>0.41800354113307581</v>
      </c>
    </row>
    <row r="88" spans="2:32" x14ac:dyDescent="0.25">
      <c r="B88" s="1">
        <f t="shared" si="18"/>
        <v>19.697142857142858</v>
      </c>
      <c r="C88" s="2">
        <f t="shared" si="19"/>
        <v>17.43109987357775</v>
      </c>
      <c r="D88" s="2">
        <f t="shared" si="20"/>
        <v>9.561719833564494</v>
      </c>
      <c r="E88">
        <v>117</v>
      </c>
      <c r="F88" t="s">
        <v>28</v>
      </c>
      <c r="G88" s="3" t="s">
        <v>29</v>
      </c>
      <c r="H88" s="3">
        <v>43551</v>
      </c>
      <c r="I88" s="1">
        <v>19.62</v>
      </c>
      <c r="L88" s="5">
        <f t="shared" si="21"/>
        <v>1.7132259999999999</v>
      </c>
      <c r="M88" s="1">
        <v>1.1299999999999999</v>
      </c>
      <c r="N88" s="1">
        <v>2.06</v>
      </c>
      <c r="P88" s="3">
        <v>43555</v>
      </c>
      <c r="Q88" s="6">
        <v>14.53</v>
      </c>
      <c r="R88" s="1">
        <v>0.18</v>
      </c>
      <c r="S88" s="7">
        <v>0.7</v>
      </c>
      <c r="U88" s="8">
        <v>0.24579999999999999</v>
      </c>
      <c r="V88" s="9">
        <v>0.80301</v>
      </c>
      <c r="W88" s="1">
        <v>6.97</v>
      </c>
      <c r="Y88" s="1">
        <f>1460/116.6</f>
        <v>12.521440823327616</v>
      </c>
      <c r="Z88" s="8">
        <f t="shared" si="22"/>
        <v>0.38957310259220879</v>
      </c>
    </row>
    <row r="89" spans="2:32" x14ac:dyDescent="0.25">
      <c r="B89" s="1">
        <f t="shared" si="18"/>
        <v>19.999629629629627</v>
      </c>
      <c r="C89" s="2">
        <f t="shared" si="19"/>
        <v>16.128733572281959</v>
      </c>
      <c r="D89" s="2">
        <f t="shared" si="20"/>
        <v>9.8520343003101623</v>
      </c>
      <c r="E89">
        <v>118</v>
      </c>
      <c r="F89" t="s">
        <v>28</v>
      </c>
      <c r="G89" s="3" t="s">
        <v>29</v>
      </c>
      <c r="H89" s="3">
        <v>43644</v>
      </c>
      <c r="I89" s="1">
        <v>19.88</v>
      </c>
      <c r="J89" s="4">
        <v>27.05</v>
      </c>
      <c r="L89" s="5">
        <f t="shared" si="21"/>
        <v>1.4981169999999999</v>
      </c>
      <c r="M89" s="1">
        <v>1.24</v>
      </c>
      <c r="N89" s="1">
        <v>2.0299999999999998</v>
      </c>
      <c r="P89" s="3">
        <v>43645</v>
      </c>
      <c r="Q89" s="6">
        <v>14.89</v>
      </c>
      <c r="R89" s="1">
        <v>0.51</v>
      </c>
      <c r="S89" s="7">
        <v>0.81</v>
      </c>
      <c r="U89" s="8">
        <v>0.21129999999999999</v>
      </c>
      <c r="V89" s="9">
        <v>0.82496000000000003</v>
      </c>
      <c r="W89" s="1">
        <v>7.09</v>
      </c>
      <c r="Y89" s="27">
        <f>1480/116.6</f>
        <v>12.692967409948542</v>
      </c>
      <c r="Z89" s="8">
        <f t="shared" si="22"/>
        <v>0.38967795749771988</v>
      </c>
    </row>
    <row r="90" spans="2:32" x14ac:dyDescent="0.25">
      <c r="B90" s="1">
        <f t="shared" si="18"/>
        <v>16.598955223880598</v>
      </c>
      <c r="C90" s="2">
        <f t="shared" si="19"/>
        <v>15.808528784648187</v>
      </c>
      <c r="D90" s="2">
        <f t="shared" si="20"/>
        <v>10.439594480428049</v>
      </c>
      <c r="E90">
        <v>119</v>
      </c>
      <c r="F90" t="s">
        <v>28</v>
      </c>
      <c r="G90" s="3" t="s">
        <v>29</v>
      </c>
      <c r="H90" s="3">
        <v>43738</v>
      </c>
      <c r="I90" s="1">
        <v>16.53</v>
      </c>
      <c r="L90" s="5">
        <f t="shared" si="21"/>
        <v>1.721616</v>
      </c>
      <c r="M90" s="1">
        <v>1.05</v>
      </c>
      <c r="N90" s="1">
        <v>1.59</v>
      </c>
      <c r="P90" s="3">
        <v>43737</v>
      </c>
      <c r="Q90" s="6">
        <v>15.39</v>
      </c>
      <c r="R90" s="1">
        <v>0.14000000000000001</v>
      </c>
      <c r="S90" s="7">
        <v>0.67</v>
      </c>
      <c r="U90" s="8">
        <v>0.23139999999999999</v>
      </c>
      <c r="V90" s="9">
        <v>0.86636999999999997</v>
      </c>
      <c r="W90" s="1">
        <v>7.44</v>
      </c>
      <c r="Y90" s="1">
        <f>1620/116.64</f>
        <v>13.888888888888889</v>
      </c>
      <c r="Z90" s="8">
        <f t="shared" si="22"/>
        <v>0.45658764656463452</v>
      </c>
    </row>
    <row r="91" spans="2:32" x14ac:dyDescent="0.25">
      <c r="B91" s="1">
        <f t="shared" si="18"/>
        <v>18.115714285714283</v>
      </c>
      <c r="C91" s="2">
        <f t="shared" si="19"/>
        <v>17.253061224489791</v>
      </c>
      <c r="D91" s="2">
        <f t="shared" si="20"/>
        <v>13.419047619047616</v>
      </c>
      <c r="E91">
        <v>120</v>
      </c>
      <c r="F91" t="s">
        <v>28</v>
      </c>
      <c r="G91" s="3" t="s">
        <v>29</v>
      </c>
      <c r="H91" s="3">
        <v>43830</v>
      </c>
      <c r="I91" s="1">
        <v>17.97</v>
      </c>
      <c r="L91" s="5">
        <f t="shared" si="21"/>
        <v>0.75240000000000007</v>
      </c>
      <c r="M91" s="1">
        <v>1.05</v>
      </c>
      <c r="N91" s="1">
        <v>1.35</v>
      </c>
      <c r="P91" s="3">
        <v>43830</v>
      </c>
      <c r="Q91" s="6">
        <v>15.72</v>
      </c>
      <c r="R91" s="1">
        <v>0.34</v>
      </c>
      <c r="S91" s="7">
        <v>0.7</v>
      </c>
      <c r="U91" s="8">
        <v>8.5500000000000007E-2</v>
      </c>
      <c r="V91" s="9">
        <v>1.03</v>
      </c>
      <c r="W91" s="1">
        <v>8.8000000000000007</v>
      </c>
      <c r="Y91" s="1">
        <f>1680/116.64</f>
        <v>14.403292181069959</v>
      </c>
      <c r="Z91" s="8">
        <f t="shared" si="22"/>
        <v>0.44491280344642176</v>
      </c>
    </row>
    <row r="92" spans="2:32" x14ac:dyDescent="0.25">
      <c r="B92" s="1">
        <f t="shared" si="18"/>
        <v>2.4823232323232323</v>
      </c>
      <c r="C92" s="2">
        <f t="shared" si="19"/>
        <v>5.5162738496071828</v>
      </c>
      <c r="D92" s="2">
        <f t="shared" si="20"/>
        <v>2.8208218549127637</v>
      </c>
      <c r="E92">
        <v>121</v>
      </c>
      <c r="F92" t="s">
        <v>28</v>
      </c>
      <c r="G92" s="3" t="s">
        <v>29</v>
      </c>
      <c r="H92" s="3">
        <v>43921</v>
      </c>
      <c r="I92" s="1">
        <v>2.48</v>
      </c>
      <c r="J92" s="4">
        <v>10.41</v>
      </c>
      <c r="L92" s="5">
        <f t="shared" si="21"/>
        <v>1.9727940000000002</v>
      </c>
      <c r="M92" s="1">
        <v>0.45</v>
      </c>
      <c r="N92" s="1">
        <v>0.88</v>
      </c>
      <c r="P92" s="3">
        <v>43921</v>
      </c>
      <c r="Q92" s="6">
        <v>17.079999999999998</v>
      </c>
      <c r="R92" s="1">
        <v>0.23</v>
      </c>
      <c r="S92" s="7">
        <v>0.99</v>
      </c>
      <c r="U92" s="8">
        <v>0.2374</v>
      </c>
      <c r="V92" s="9">
        <v>0.97084999999999999</v>
      </c>
      <c r="W92" s="1">
        <v>8.31</v>
      </c>
      <c r="Y92" s="1">
        <f>1750/116.56</f>
        <v>15.013726835964309</v>
      </c>
      <c r="Z92" s="8">
        <f t="shared" si="22"/>
        <v>0.858234896242834</v>
      </c>
    </row>
    <row r="93" spans="2:32" x14ac:dyDescent="0.25">
      <c r="B93" s="1">
        <f t="shared" si="18"/>
        <v>8.5927272727272719</v>
      </c>
      <c r="C93" s="2">
        <f t="shared" si="19"/>
        <v>-171.85454545454542</v>
      </c>
      <c r="D93" s="2">
        <f t="shared" si="20"/>
        <v>95.474747474747474</v>
      </c>
      <c r="E93">
        <v>122</v>
      </c>
      <c r="F93" t="s">
        <v>28</v>
      </c>
      <c r="G93" s="3" t="s">
        <v>29</v>
      </c>
      <c r="H93" s="3">
        <v>44012</v>
      </c>
      <c r="I93" s="1">
        <v>8.5</v>
      </c>
      <c r="J93" s="4">
        <v>8.66</v>
      </c>
      <c r="L93" s="5">
        <f t="shared" si="21"/>
        <v>-1.3733199999999999</v>
      </c>
      <c r="M93" s="1">
        <v>-0.05</v>
      </c>
      <c r="N93" s="1">
        <v>0.09</v>
      </c>
      <c r="P93" s="3">
        <v>44012</v>
      </c>
      <c r="Q93" s="6">
        <v>14.07</v>
      </c>
      <c r="R93" s="1">
        <v>0.18</v>
      </c>
      <c r="S93" s="7">
        <v>0.66</v>
      </c>
      <c r="U93" s="8">
        <v>-0.1807</v>
      </c>
      <c r="V93" s="9">
        <v>0.88388999999999995</v>
      </c>
      <c r="W93" s="1">
        <v>7.6</v>
      </c>
      <c r="Y93" s="1">
        <f>1830/116.84</f>
        <v>15.662444368366996</v>
      </c>
      <c r="Z93" s="8">
        <f t="shared" si="22"/>
        <v>0.64821439956927385</v>
      </c>
    </row>
    <row r="94" spans="2:32" x14ac:dyDescent="0.25">
      <c r="B94" s="1">
        <f t="shared" si="18"/>
        <v>8.3337349397590366</v>
      </c>
      <c r="C94" s="2">
        <f t="shared" si="19"/>
        <v>59.526678141135967</v>
      </c>
      <c r="D94" s="2">
        <f t="shared" si="20"/>
        <v>12.626871120847024</v>
      </c>
      <c r="E94">
        <v>123</v>
      </c>
      <c r="F94" t="s">
        <v>28</v>
      </c>
      <c r="G94" s="3" t="s">
        <v>29</v>
      </c>
      <c r="H94" s="3">
        <v>44104</v>
      </c>
      <c r="I94" s="1">
        <v>8.26</v>
      </c>
      <c r="L94" s="5">
        <f t="shared" si="21"/>
        <v>-4.1289720000000001</v>
      </c>
      <c r="M94" s="1">
        <v>0.14000000000000001</v>
      </c>
      <c r="N94" s="1">
        <v>0.66</v>
      </c>
      <c r="P94" s="3">
        <v>44104</v>
      </c>
      <c r="Q94" s="6">
        <v>11.74</v>
      </c>
      <c r="R94" s="1">
        <v>0.36</v>
      </c>
      <c r="S94" s="7">
        <v>0.83</v>
      </c>
      <c r="U94" s="8">
        <v>-0.57030000000000003</v>
      </c>
      <c r="V94" s="9">
        <v>0.84121000000000001</v>
      </c>
      <c r="W94" s="1">
        <v>7.24</v>
      </c>
      <c r="Y94" s="1">
        <f>1920/116.84</f>
        <v>16.432728517630949</v>
      </c>
      <c r="Z94" s="8">
        <f t="shared" si="22"/>
        <v>0.66548856704506165</v>
      </c>
      <c r="AB94" s="1">
        <f>518.87/116.84</f>
        <v>4.4408592947620678</v>
      </c>
      <c r="AC94" s="1">
        <f>-517.57/116.84</f>
        <v>-4.4297329681615887</v>
      </c>
    </row>
    <row r="95" spans="2:32" x14ac:dyDescent="0.25">
      <c r="B95" s="1">
        <f t="shared" si="18"/>
        <v>12.115555555555556</v>
      </c>
      <c r="C95" s="2">
        <f t="shared" si="19"/>
        <v>34.615873015873021</v>
      </c>
      <c r="D95" s="2">
        <f t="shared" si="20"/>
        <v>12.620370370370372</v>
      </c>
      <c r="E95">
        <v>124</v>
      </c>
      <c r="F95" t="s">
        <v>28</v>
      </c>
      <c r="G95" s="3" t="s">
        <v>29</v>
      </c>
      <c r="H95" s="3">
        <v>44196</v>
      </c>
      <c r="I95" s="1">
        <v>12.06</v>
      </c>
      <c r="J95" s="4">
        <v>13.13</v>
      </c>
      <c r="L95" s="5">
        <f t="shared" si="21"/>
        <v>-5.1085320000000003</v>
      </c>
      <c r="M95" s="1">
        <v>0.35</v>
      </c>
      <c r="N95" s="1">
        <v>0.96</v>
      </c>
      <c r="P95" s="3">
        <v>44196</v>
      </c>
      <c r="Q95" s="6">
        <v>11.01</v>
      </c>
      <c r="R95" s="1">
        <v>0.5</v>
      </c>
      <c r="S95" s="7">
        <v>0.9</v>
      </c>
      <c r="U95" s="8">
        <v>-0.74360000000000004</v>
      </c>
      <c r="V95" s="9">
        <v>0.79773000000000005</v>
      </c>
      <c r="W95" s="1">
        <v>6.87</v>
      </c>
      <c r="Y95" s="1">
        <f>1870/116.84</f>
        <v>16.004792879150976</v>
      </c>
      <c r="Z95" s="8">
        <f t="shared" si="22"/>
        <v>0.57028009962762838</v>
      </c>
      <c r="AB95" s="1">
        <f>477.58/116.84</f>
        <v>4.0874700445053058</v>
      </c>
      <c r="AC95" s="1">
        <f>-401.6/116.84</f>
        <v>-3.43717904827114</v>
      </c>
    </row>
    <row r="96" spans="2:32" x14ac:dyDescent="0.25">
      <c r="B96" s="1">
        <f t="shared" si="18"/>
        <v>23.520588235294117</v>
      </c>
      <c r="C96" s="2">
        <f t="shared" si="19"/>
        <v>10.990929081913139</v>
      </c>
      <c r="D96" s="2">
        <f t="shared" si="20"/>
        <v>8.6791838506620351</v>
      </c>
      <c r="E96">
        <v>125</v>
      </c>
      <c r="F96" t="s">
        <v>28</v>
      </c>
      <c r="G96" s="3" t="s">
        <v>29</v>
      </c>
      <c r="H96" s="3">
        <v>44286</v>
      </c>
      <c r="I96" s="1">
        <v>23.45</v>
      </c>
      <c r="J96" s="4">
        <v>23.43</v>
      </c>
      <c r="L96" s="5">
        <f t="shared" si="21"/>
        <v>-5.6665710000000002</v>
      </c>
      <c r="M96" s="1">
        <v>2.14</v>
      </c>
      <c r="N96" s="1">
        <v>2.71</v>
      </c>
      <c r="P96" s="3">
        <v>44286</v>
      </c>
      <c r="Q96" s="6">
        <v>11.64</v>
      </c>
      <c r="R96" s="1">
        <v>0.15</v>
      </c>
      <c r="S96" s="7">
        <v>0.68</v>
      </c>
      <c r="U96" s="8">
        <v>-0.72370000000000001</v>
      </c>
      <c r="V96" s="9">
        <v>0.90963000000000005</v>
      </c>
      <c r="W96" s="1">
        <v>7.83</v>
      </c>
      <c r="Y96" s="1">
        <f>1740/116.78</f>
        <v>14.899811611577325</v>
      </c>
      <c r="Z96" s="8">
        <f t="shared" si="22"/>
        <v>0.38852372372747879</v>
      </c>
      <c r="AB96" s="1">
        <f>537.6/116.78</f>
        <v>4.6035280013700977</v>
      </c>
      <c r="AC96" s="1">
        <f>-177.67/116.78</f>
        <v>-1.5214077753039903</v>
      </c>
      <c r="AE96" s="1">
        <v>0.1</v>
      </c>
      <c r="AF96" s="10">
        <f>AE96/I96</f>
        <v>4.2643923240938174E-3</v>
      </c>
    </row>
    <row r="97" spans="2:32" x14ac:dyDescent="0.25">
      <c r="B97" s="1">
        <f t="shared" si="18"/>
        <v>36.11101265822785</v>
      </c>
      <c r="C97" s="2">
        <f t="shared" si="19"/>
        <v>12.53854606188467</v>
      </c>
      <c r="D97" s="2">
        <f t="shared" si="20"/>
        <v>10.172116241754324</v>
      </c>
      <c r="E97">
        <v>126</v>
      </c>
      <c r="F97" t="s">
        <v>28</v>
      </c>
      <c r="G97" s="3" t="s">
        <v>29</v>
      </c>
      <c r="H97" s="3">
        <v>44377</v>
      </c>
      <c r="I97" s="1">
        <v>36.01</v>
      </c>
      <c r="J97" s="4">
        <v>35.29</v>
      </c>
      <c r="L97" s="5">
        <f t="shared" si="21"/>
        <v>-1.708785</v>
      </c>
      <c r="M97" s="1">
        <v>2.88</v>
      </c>
      <c r="N97" s="1">
        <v>3.55</v>
      </c>
      <c r="P97" s="3">
        <v>44377</v>
      </c>
      <c r="Q97" s="6">
        <v>12.65</v>
      </c>
      <c r="R97" s="1">
        <v>0.38</v>
      </c>
      <c r="S97" s="7">
        <v>0.79</v>
      </c>
      <c r="U97" s="8">
        <v>-0.1651</v>
      </c>
      <c r="V97" s="9">
        <v>1.21</v>
      </c>
      <c r="W97" s="1">
        <v>10.35</v>
      </c>
      <c r="Y97" s="1">
        <f>1650/116.98</f>
        <v>14.10497520943751</v>
      </c>
      <c r="Z97" s="8">
        <f t="shared" si="22"/>
        <v>0.28145230343806099</v>
      </c>
      <c r="AB97" s="1">
        <f>694.79/116.98</f>
        <v>5.9393913489485373</v>
      </c>
      <c r="AC97" s="1">
        <f>-66.62/116.98</f>
        <v>-0.56949905966831937</v>
      </c>
      <c r="AE97" s="1">
        <v>0.1</v>
      </c>
      <c r="AF97" s="10">
        <f>AE97/I97</f>
        <v>2.7770063871146908E-3</v>
      </c>
    </row>
    <row r="98" spans="2:32" x14ac:dyDescent="0.25">
      <c r="B98" s="1">
        <f t="shared" si="18"/>
        <v>38.158095238095235</v>
      </c>
      <c r="C98" s="2">
        <f t="shared" si="19"/>
        <v>10.570109484236907</v>
      </c>
      <c r="D98" s="2">
        <f t="shared" si="20"/>
        <v>7.9330759330759335</v>
      </c>
      <c r="E98">
        <v>127</v>
      </c>
      <c r="F98" t="s">
        <v>28</v>
      </c>
      <c r="G98" s="3" t="s">
        <v>29</v>
      </c>
      <c r="H98" s="3">
        <v>44469</v>
      </c>
      <c r="I98" s="1">
        <v>38.04</v>
      </c>
      <c r="J98" s="4">
        <v>39.799999999999997</v>
      </c>
      <c r="L98" s="5">
        <f t="shared" si="21"/>
        <v>2.4065630000000002</v>
      </c>
      <c r="M98" s="1">
        <v>3.61</v>
      </c>
      <c r="N98" s="1">
        <v>4.8099999999999996</v>
      </c>
      <c r="P98" s="3">
        <v>44469</v>
      </c>
      <c r="Q98" s="6">
        <v>14.41</v>
      </c>
      <c r="R98" s="1">
        <v>0.62</v>
      </c>
      <c r="S98" s="7">
        <v>0.84</v>
      </c>
      <c r="U98" s="8">
        <v>0.1867</v>
      </c>
      <c r="V98" s="9">
        <v>1.5</v>
      </c>
      <c r="W98" s="1">
        <v>12.89</v>
      </c>
      <c r="Y98" s="1">
        <f>1520/117.1</f>
        <v>12.980358667805294</v>
      </c>
      <c r="Z98" s="8">
        <f t="shared" si="22"/>
        <v>0.25441527670004638</v>
      </c>
      <c r="AB98" s="1">
        <f>876.45/117.1</f>
        <v>7.4846285226302314</v>
      </c>
      <c r="AC98" s="1">
        <f>195.65/117.1</f>
        <v>1.6707941929974381</v>
      </c>
      <c r="AE98" s="1">
        <v>0.2</v>
      </c>
      <c r="AF98" s="10">
        <f>AE98/I98</f>
        <v>5.2576235541535229E-3</v>
      </c>
    </row>
    <row r="99" spans="2:32" x14ac:dyDescent="0.25">
      <c r="E99">
        <v>128</v>
      </c>
      <c r="F99" t="s">
        <v>28</v>
      </c>
      <c r="G99" s="3" t="s">
        <v>29</v>
      </c>
      <c r="H99" s="3">
        <f>VLOOKUP(G99,oil,3,FALSE)</f>
        <v>44519</v>
      </c>
      <c r="I99" s="1">
        <f>VLOOKUP(G99,oil,2,FALSE)</f>
        <v>40.75</v>
      </c>
    </row>
    <row r="100" spans="2:32" x14ac:dyDescent="0.25">
      <c r="E100">
        <v>129</v>
      </c>
      <c r="F100" t="s">
        <v>28</v>
      </c>
      <c r="G100" s="3" t="s">
        <v>29</v>
      </c>
      <c r="H100" s="3">
        <v>44651</v>
      </c>
    </row>
    <row r="101" spans="2:32" x14ac:dyDescent="0.25">
      <c r="E101">
        <v>130</v>
      </c>
      <c r="F101" t="s">
        <v>28</v>
      </c>
      <c r="G101" s="3" t="s">
        <v>29</v>
      </c>
      <c r="H101" s="3">
        <v>44742</v>
      </c>
    </row>
    <row r="102" spans="2:32" x14ac:dyDescent="0.25">
      <c r="E102">
        <v>131</v>
      </c>
      <c r="F102" t="s">
        <v>28</v>
      </c>
      <c r="G102" s="3" t="s">
        <v>29</v>
      </c>
      <c r="H102" s="3">
        <v>44834</v>
      </c>
    </row>
    <row r="103" spans="2:32" s="15" customFormat="1" x14ac:dyDescent="0.25">
      <c r="B103" s="16"/>
      <c r="C103" s="17"/>
      <c r="E103" s="15">
        <v>132</v>
      </c>
      <c r="F103" s="15" t="s">
        <v>28</v>
      </c>
      <c r="G103" s="18" t="s">
        <v>29</v>
      </c>
      <c r="H103" s="18">
        <v>44926</v>
      </c>
      <c r="I103" s="16"/>
      <c r="J103" s="19"/>
      <c r="L103" s="20"/>
      <c r="M103" s="16"/>
      <c r="N103" s="16"/>
      <c r="P103" s="18"/>
      <c r="Q103" s="21"/>
      <c r="R103" s="16"/>
      <c r="S103" s="22"/>
      <c r="U103" s="23"/>
      <c r="V103" s="24"/>
      <c r="W103" s="16"/>
      <c r="Y103" s="16"/>
      <c r="Z103" s="23"/>
      <c r="AA103" s="23"/>
      <c r="AB103" s="16"/>
      <c r="AC103" s="16"/>
      <c r="AE103" s="16"/>
      <c r="AF103" s="25"/>
    </row>
    <row r="104" spans="2:32" x14ac:dyDescent="0.25">
      <c r="B104" s="1" t="e">
        <f t="shared" ref="B104:B116" si="23">+I104-(-R104/S104+R104)</f>
        <v>#DIV/0!</v>
      </c>
      <c r="C104" s="2" t="e">
        <f t="shared" ref="C104:C116" si="24">B104/M104</f>
        <v>#DIV/0!</v>
      </c>
      <c r="D104" s="2" t="e">
        <f t="shared" ref="D104:D116" si="25">B104/N104</f>
        <v>#DIV/0!</v>
      </c>
      <c r="E104">
        <v>133</v>
      </c>
      <c r="F104" t="s">
        <v>30</v>
      </c>
      <c r="G104" t="s">
        <v>31</v>
      </c>
      <c r="H104" s="3">
        <v>40178</v>
      </c>
      <c r="I104" s="1">
        <v>44.09</v>
      </c>
      <c r="L104" s="5">
        <f t="shared" ref="L104:L116" si="26">+U104*W104</f>
        <v>0</v>
      </c>
      <c r="M104" s="1">
        <v>3.73</v>
      </c>
      <c r="N104" s="1">
        <v>3.05</v>
      </c>
    </row>
    <row r="105" spans="2:32" x14ac:dyDescent="0.25">
      <c r="B105" s="1" t="e">
        <f t="shared" si="23"/>
        <v>#DIV/0!</v>
      </c>
      <c r="C105" s="2" t="e">
        <f t="shared" si="24"/>
        <v>#DIV/0!</v>
      </c>
      <c r="D105" s="2" t="e">
        <f t="shared" si="25"/>
        <v>#DIV/0!</v>
      </c>
      <c r="E105">
        <v>134</v>
      </c>
      <c r="F105" t="s">
        <v>30</v>
      </c>
      <c r="G105" t="s">
        <v>31</v>
      </c>
      <c r="H105" s="3">
        <v>40543</v>
      </c>
      <c r="I105" s="1">
        <v>67.25</v>
      </c>
      <c r="L105" s="5">
        <f t="shared" si="26"/>
        <v>0</v>
      </c>
      <c r="M105" s="1">
        <v>3.98</v>
      </c>
      <c r="N105" s="1">
        <v>3.74</v>
      </c>
    </row>
    <row r="106" spans="2:32" x14ac:dyDescent="0.25">
      <c r="B106" s="1" t="e">
        <f t="shared" si="23"/>
        <v>#DIV/0!</v>
      </c>
      <c r="C106" s="2" t="e">
        <f t="shared" si="24"/>
        <v>#DIV/0!</v>
      </c>
      <c r="D106" s="2" t="e">
        <f t="shared" si="25"/>
        <v>#DIV/0!</v>
      </c>
      <c r="E106">
        <v>135</v>
      </c>
      <c r="F106" t="s">
        <v>30</v>
      </c>
      <c r="G106" t="s">
        <v>31</v>
      </c>
      <c r="H106" s="3">
        <v>40907</v>
      </c>
      <c r="I106" s="1">
        <v>67.989999999999995</v>
      </c>
      <c r="L106" s="5">
        <f t="shared" si="26"/>
        <v>0</v>
      </c>
      <c r="M106" s="1">
        <v>4.41</v>
      </c>
      <c r="N106" s="1">
        <v>5.63</v>
      </c>
    </row>
    <row r="107" spans="2:32" x14ac:dyDescent="0.25">
      <c r="B107" s="1">
        <f t="shared" si="23"/>
        <v>63.368561151079135</v>
      </c>
      <c r="C107" s="2">
        <f t="shared" si="24"/>
        <v>10.795325579400194</v>
      </c>
      <c r="D107" s="2">
        <f t="shared" si="25"/>
        <v>9.6598416388840143</v>
      </c>
      <c r="E107">
        <v>136</v>
      </c>
      <c r="F107" t="s">
        <v>30</v>
      </c>
      <c r="G107" t="s">
        <v>31</v>
      </c>
      <c r="H107" s="3">
        <v>41274</v>
      </c>
      <c r="I107" s="1">
        <v>68.349999999999994</v>
      </c>
      <c r="L107" s="5">
        <f t="shared" si="26"/>
        <v>5.8619879999999993</v>
      </c>
      <c r="M107" s="1">
        <v>5.87</v>
      </c>
      <c r="N107" s="1">
        <v>6.56</v>
      </c>
      <c r="P107" s="3">
        <v>41274</v>
      </c>
      <c r="R107" s="1">
        <v>7.78</v>
      </c>
      <c r="S107" s="7">
        <v>2.78</v>
      </c>
      <c r="U107" s="8">
        <v>0.12429999999999999</v>
      </c>
      <c r="V107" s="9">
        <v>20.04</v>
      </c>
      <c r="W107" s="1">
        <v>47.16</v>
      </c>
      <c r="Y107" s="1">
        <f>3.15/0.42664</f>
        <v>7.3832739546221635</v>
      </c>
      <c r="Z107" s="8">
        <f t="shared" ref="Z107:Z131" si="27">+Y107/(Y107+I107)</f>
        <v>9.7490489570622174E-2</v>
      </c>
    </row>
    <row r="108" spans="2:32" x14ac:dyDescent="0.25">
      <c r="B108" s="1">
        <f t="shared" si="23"/>
        <v>74.770162601626012</v>
      </c>
      <c r="C108" s="2">
        <f t="shared" si="24"/>
        <v>13.949657201795898</v>
      </c>
      <c r="D108" s="2">
        <f t="shared" si="25"/>
        <v>11.906076847392677</v>
      </c>
      <c r="E108">
        <v>137</v>
      </c>
      <c r="F108" t="s">
        <v>30</v>
      </c>
      <c r="G108" t="s">
        <v>31</v>
      </c>
      <c r="H108" s="3">
        <v>41639</v>
      </c>
      <c r="I108" s="1">
        <v>79.53</v>
      </c>
      <c r="J108" s="4">
        <v>93.29</v>
      </c>
      <c r="L108" s="5">
        <f t="shared" si="26"/>
        <v>5.4615679999999998</v>
      </c>
      <c r="M108" s="1">
        <v>5.36</v>
      </c>
      <c r="N108" s="1">
        <v>6.28</v>
      </c>
      <c r="P108" s="3">
        <v>41639</v>
      </c>
      <c r="R108" s="1">
        <v>8.02</v>
      </c>
      <c r="S108" s="7">
        <v>2.46</v>
      </c>
      <c r="U108" s="8">
        <v>0.1022</v>
      </c>
      <c r="V108" s="9">
        <v>22.77</v>
      </c>
      <c r="W108" s="1">
        <v>53.44</v>
      </c>
      <c r="Y108" s="1">
        <f>3150/428.43</f>
        <v>7.3524263006792241</v>
      </c>
      <c r="Z108" s="8">
        <f t="shared" si="27"/>
        <v>8.4625011221880944E-2</v>
      </c>
      <c r="AE108" s="1">
        <v>1.04</v>
      </c>
      <c r="AF108" s="10">
        <f>+AE108/I108</f>
        <v>1.3076826354834654E-2</v>
      </c>
    </row>
    <row r="109" spans="2:32" x14ac:dyDescent="0.25">
      <c r="B109" s="1">
        <f t="shared" si="23"/>
        <v>60.943881278538811</v>
      </c>
      <c r="C109" s="2">
        <f t="shared" si="24"/>
        <v>10.140412858325925</v>
      </c>
      <c r="D109" s="2">
        <f t="shared" si="25"/>
        <v>10.294574540293718</v>
      </c>
      <c r="E109">
        <v>138</v>
      </c>
      <c r="F109" t="s">
        <v>30</v>
      </c>
      <c r="G109" t="s">
        <v>31</v>
      </c>
      <c r="H109" s="3">
        <v>42004</v>
      </c>
      <c r="I109" s="1">
        <v>65.53</v>
      </c>
      <c r="J109" s="4">
        <v>75.680000000000007</v>
      </c>
      <c r="L109" s="5">
        <f t="shared" si="26"/>
        <v>5.8455029999999999</v>
      </c>
      <c r="M109" s="1">
        <v>6.01</v>
      </c>
      <c r="N109" s="1">
        <v>5.92</v>
      </c>
      <c r="P109" s="3">
        <v>42004</v>
      </c>
      <c r="R109" s="1">
        <v>8.44</v>
      </c>
      <c r="S109" s="7">
        <v>2.19</v>
      </c>
      <c r="U109" s="8">
        <v>0.1167</v>
      </c>
      <c r="V109" s="9">
        <v>21.44</v>
      </c>
      <c r="W109" s="1">
        <v>50.09</v>
      </c>
      <c r="Y109" s="1">
        <f>3170/418.98</f>
        <v>7.5659936035132942</v>
      </c>
      <c r="Z109" s="8">
        <f t="shared" si="27"/>
        <v>0.10350763743020851</v>
      </c>
      <c r="AE109" s="1">
        <v>1.84</v>
      </c>
      <c r="AF109" s="10">
        <f>+AE109/I109</f>
        <v>2.8078742560659242E-2</v>
      </c>
    </row>
    <row r="110" spans="2:32" x14ac:dyDescent="0.25">
      <c r="B110" s="1">
        <f t="shared" si="23"/>
        <v>29.942805755395685</v>
      </c>
      <c r="C110" s="2">
        <f t="shared" si="24"/>
        <v>10.150103645896841</v>
      </c>
      <c r="D110" s="2">
        <f t="shared" si="25"/>
        <v>20.369255615915431</v>
      </c>
      <c r="E110">
        <v>139</v>
      </c>
      <c r="F110" t="s">
        <v>30</v>
      </c>
      <c r="G110" t="s">
        <v>31</v>
      </c>
      <c r="H110" s="3">
        <v>42369</v>
      </c>
      <c r="I110" s="1">
        <v>33.49</v>
      </c>
      <c r="J110" s="4">
        <v>39.200000000000003</v>
      </c>
      <c r="L110" s="5">
        <f t="shared" si="26"/>
        <v>-1.9865730000000001</v>
      </c>
      <c r="M110" s="1">
        <v>2.95</v>
      </c>
      <c r="N110" s="1">
        <v>1.47</v>
      </c>
      <c r="P110" s="3">
        <v>42369</v>
      </c>
      <c r="Q110" s="6">
        <v>43.6</v>
      </c>
      <c r="R110" s="1">
        <v>5.54</v>
      </c>
      <c r="S110" s="7">
        <v>2.78</v>
      </c>
      <c r="U110" s="8">
        <v>-5.21E-2</v>
      </c>
      <c r="V110" s="9">
        <v>14.76</v>
      </c>
      <c r="W110" s="1">
        <v>38.130000000000003</v>
      </c>
      <c r="Y110" s="1">
        <f>3930/375.76</f>
        <v>10.458803491590377</v>
      </c>
      <c r="Z110" s="8">
        <f t="shared" si="27"/>
        <v>0.23797697913645527</v>
      </c>
      <c r="AE110" s="1">
        <v>1.84</v>
      </c>
      <c r="AF110" s="10">
        <f>+AE110/I110</f>
        <v>5.4941773663780231E-2</v>
      </c>
    </row>
    <row r="111" spans="2:32" x14ac:dyDescent="0.25">
      <c r="B111" s="1">
        <f t="shared" si="23"/>
        <v>30.639871794871794</v>
      </c>
      <c r="C111" s="2">
        <f t="shared" si="24"/>
        <v>-31.587496695744118</v>
      </c>
      <c r="D111" s="2">
        <f t="shared" si="25"/>
        <v>-76.599679487179486</v>
      </c>
      <c r="E111">
        <v>140</v>
      </c>
      <c r="F111" t="s">
        <v>30</v>
      </c>
      <c r="G111" t="s">
        <v>31</v>
      </c>
      <c r="H111" s="3">
        <v>42551</v>
      </c>
      <c r="I111" s="1">
        <v>33.65</v>
      </c>
      <c r="J111" s="4">
        <v>31.32</v>
      </c>
      <c r="L111" s="5">
        <f t="shared" si="26"/>
        <v>-4.5318160000000001</v>
      </c>
      <c r="M111" s="1">
        <v>-0.97</v>
      </c>
      <c r="N111" s="1">
        <v>-0.4</v>
      </c>
      <c r="P111" s="3">
        <v>42551</v>
      </c>
      <c r="Q111" s="6">
        <v>43.16</v>
      </c>
      <c r="R111" s="1">
        <v>4.43</v>
      </c>
      <c r="S111" s="7">
        <v>3.12</v>
      </c>
      <c r="U111" s="8">
        <v>-0.1714</v>
      </c>
      <c r="V111" s="9">
        <v>9.94</v>
      </c>
      <c r="W111" s="1">
        <v>26.44</v>
      </c>
      <c r="Y111" s="1">
        <f>3280/377.06</f>
        <v>8.698880814724447</v>
      </c>
      <c r="Z111" s="8">
        <f t="shared" si="27"/>
        <v>0.20540993403773494</v>
      </c>
      <c r="AE111" s="1">
        <v>1.84</v>
      </c>
      <c r="AF111" s="10">
        <f>+AE111/I111</f>
        <v>5.4680534918276381E-2</v>
      </c>
    </row>
    <row r="112" spans="2:32" x14ac:dyDescent="0.25">
      <c r="B112" s="1">
        <f t="shared" si="23"/>
        <v>35.156293436293431</v>
      </c>
      <c r="C112" s="2">
        <f t="shared" si="24"/>
        <v>-35.156293436293431</v>
      </c>
      <c r="D112" s="2">
        <f t="shared" si="25"/>
        <v>-67.608256608256596</v>
      </c>
      <c r="E112">
        <v>141</v>
      </c>
      <c r="F112" t="s">
        <v>30</v>
      </c>
      <c r="G112" t="s">
        <v>31</v>
      </c>
      <c r="H112" s="3">
        <v>42734</v>
      </c>
      <c r="I112" s="1">
        <v>37.44</v>
      </c>
      <c r="J112" s="4">
        <v>33.340000000000003</v>
      </c>
      <c r="L112" s="5">
        <f t="shared" si="26"/>
        <v>-6.4125280000000009</v>
      </c>
      <c r="M112" s="1">
        <v>-1</v>
      </c>
      <c r="N112" s="1">
        <v>-0.52</v>
      </c>
      <c r="P112" s="3">
        <v>42735</v>
      </c>
      <c r="Q112" s="6">
        <v>36.82</v>
      </c>
      <c r="R112" s="1">
        <v>3.72</v>
      </c>
      <c r="S112" s="7">
        <v>2.59</v>
      </c>
      <c r="U112" s="8">
        <v>-0.33260000000000001</v>
      </c>
      <c r="V112" s="9">
        <v>7.25</v>
      </c>
      <c r="W112" s="1">
        <v>19.28</v>
      </c>
      <c r="Y112" s="1">
        <f>3210/378.73</f>
        <v>8.4756950862091731</v>
      </c>
      <c r="Z112" s="8">
        <f t="shared" si="27"/>
        <v>0.1845925466291124</v>
      </c>
      <c r="AE112" s="1">
        <v>0.2</v>
      </c>
      <c r="AF112" s="10">
        <f>AE112/I112</f>
        <v>5.3418803418803429E-3</v>
      </c>
    </row>
    <row r="113" spans="2:32" x14ac:dyDescent="0.25">
      <c r="B113" s="1">
        <f t="shared" si="23"/>
        <v>37.635424354243547</v>
      </c>
      <c r="C113" s="2">
        <f t="shared" si="24"/>
        <v>-104.5428454284543</v>
      </c>
      <c r="D113" s="2">
        <f t="shared" si="25"/>
        <v>43.259108453153502</v>
      </c>
      <c r="E113">
        <v>142</v>
      </c>
      <c r="F113" t="s">
        <v>30</v>
      </c>
      <c r="G113" t="s">
        <v>31</v>
      </c>
      <c r="H113" s="3">
        <v>42825</v>
      </c>
      <c r="I113" s="1">
        <v>40.090000000000003</v>
      </c>
      <c r="J113" s="4">
        <v>39.159999999999997</v>
      </c>
      <c r="L113" s="5">
        <f t="shared" si="26"/>
        <v>-6.4183999999999992</v>
      </c>
      <c r="M113" s="1">
        <v>-0.36</v>
      </c>
      <c r="N113" s="1">
        <v>0.87</v>
      </c>
      <c r="P113" s="3">
        <v>42825</v>
      </c>
      <c r="Q113" s="6">
        <v>37.19</v>
      </c>
      <c r="R113" s="1">
        <v>3.89</v>
      </c>
      <c r="S113" s="7">
        <v>2.71</v>
      </c>
      <c r="U113" s="8">
        <v>-0.35499999999999998</v>
      </c>
      <c r="V113" s="9">
        <v>6.8</v>
      </c>
      <c r="W113" s="1">
        <v>18.079999999999998</v>
      </c>
      <c r="Y113" s="1">
        <f>3210/380.04</f>
        <v>8.4464793179665296</v>
      </c>
      <c r="Z113" s="8">
        <f t="shared" si="27"/>
        <v>0.17402332094655934</v>
      </c>
      <c r="AE113" s="1">
        <v>0.2</v>
      </c>
      <c r="AF113" s="10">
        <f t="shared" ref="AF113:AF126" si="28">+AE113/I113</f>
        <v>4.9887752556747314E-3</v>
      </c>
    </row>
    <row r="114" spans="2:32" x14ac:dyDescent="0.25">
      <c r="B114" s="1">
        <f t="shared" si="23"/>
        <v>30.397084870848705</v>
      </c>
      <c r="C114" s="2">
        <f t="shared" si="24"/>
        <v>-75.99271217712176</v>
      </c>
      <c r="D114" s="2">
        <f t="shared" si="25"/>
        <v>40.529446494464942</v>
      </c>
      <c r="E114">
        <v>143</v>
      </c>
      <c r="F114" t="s">
        <v>30</v>
      </c>
      <c r="G114" t="s">
        <v>31</v>
      </c>
      <c r="H114" s="3">
        <v>42916</v>
      </c>
      <c r="I114" s="1">
        <v>32.94</v>
      </c>
      <c r="J114" s="4">
        <v>37.47</v>
      </c>
      <c r="L114" s="5">
        <f t="shared" si="26"/>
        <v>-6.0297359999999998</v>
      </c>
      <c r="M114" s="1">
        <v>-0.4</v>
      </c>
      <c r="N114" s="1">
        <v>0.75</v>
      </c>
      <c r="P114" s="3">
        <v>42916</v>
      </c>
      <c r="Q114" s="6">
        <v>36.630000000000003</v>
      </c>
      <c r="R114" s="1">
        <v>4.03</v>
      </c>
      <c r="S114" s="7">
        <v>2.71</v>
      </c>
      <c r="U114" s="8">
        <v>-0.33239999999999997</v>
      </c>
      <c r="V114" s="9">
        <v>6.84</v>
      </c>
      <c r="W114" s="1">
        <v>18.14</v>
      </c>
      <c r="Y114" s="1">
        <f>3210/380.04</f>
        <v>8.4464793179665296</v>
      </c>
      <c r="Z114" s="8">
        <f t="shared" si="27"/>
        <v>0.20408789191932494</v>
      </c>
      <c r="AE114" s="1">
        <v>0.2</v>
      </c>
      <c r="AF114" s="10">
        <f t="shared" si="28"/>
        <v>6.0716454159077116E-3</v>
      </c>
    </row>
    <row r="115" spans="2:32" x14ac:dyDescent="0.25">
      <c r="B115" s="1">
        <f t="shared" si="23"/>
        <v>32.847272727272724</v>
      </c>
      <c r="C115" s="2">
        <f t="shared" si="24"/>
        <v>-80.115299334811525</v>
      </c>
      <c r="D115" s="2">
        <f t="shared" si="25"/>
        <v>68.431818181818173</v>
      </c>
      <c r="E115">
        <v>144</v>
      </c>
      <c r="F115" t="s">
        <v>30</v>
      </c>
      <c r="G115" s="3" t="s">
        <v>31</v>
      </c>
      <c r="H115" s="3">
        <v>43007</v>
      </c>
      <c r="I115" s="1">
        <v>35.729999999999997</v>
      </c>
      <c r="J115" s="4">
        <v>34.96</v>
      </c>
      <c r="L115" s="5">
        <f t="shared" si="26"/>
        <v>-2.4807130000000002</v>
      </c>
      <c r="M115" s="1">
        <v>-0.41</v>
      </c>
      <c r="N115" s="1">
        <v>0.48</v>
      </c>
      <c r="P115" s="3">
        <v>43008</v>
      </c>
      <c r="Q115" s="6">
        <v>37.06</v>
      </c>
      <c r="R115" s="1">
        <v>4.53</v>
      </c>
      <c r="S115" s="7">
        <v>2.75</v>
      </c>
      <c r="U115" s="8">
        <v>-0.1333</v>
      </c>
      <c r="V115" s="9">
        <v>7.03</v>
      </c>
      <c r="W115" s="1">
        <v>18.61</v>
      </c>
      <c r="Y115" s="1">
        <f>3210/380.03</f>
        <v>8.4467015761913533</v>
      </c>
      <c r="Z115" s="8">
        <f t="shared" si="27"/>
        <v>0.19120263113404623</v>
      </c>
      <c r="AE115" s="1">
        <v>0.2</v>
      </c>
      <c r="AF115" s="10">
        <f t="shared" si="28"/>
        <v>5.5975370836831798E-3</v>
      </c>
    </row>
    <row r="116" spans="2:32" x14ac:dyDescent="0.25">
      <c r="B116" s="1">
        <f t="shared" si="23"/>
        <v>33.451042345276875</v>
      </c>
      <c r="C116" s="2">
        <f t="shared" si="24"/>
        <v>-79.645338917325901</v>
      </c>
      <c r="D116" s="2">
        <f t="shared" si="25"/>
        <v>104.53450732899023</v>
      </c>
      <c r="E116">
        <v>145</v>
      </c>
      <c r="F116" t="s">
        <v>30</v>
      </c>
      <c r="G116" s="3" t="s">
        <v>31</v>
      </c>
      <c r="H116" s="3">
        <v>43098</v>
      </c>
      <c r="I116" s="1">
        <v>36.020000000000003</v>
      </c>
      <c r="J116" s="4">
        <v>34.32</v>
      </c>
      <c r="L116" s="5">
        <f t="shared" si="26"/>
        <v>-0.62758800000000003</v>
      </c>
      <c r="M116" s="1">
        <v>-0.42</v>
      </c>
      <c r="N116" s="1">
        <v>0.32</v>
      </c>
      <c r="P116" s="3">
        <v>43100</v>
      </c>
      <c r="Q116" s="6">
        <v>37.56</v>
      </c>
      <c r="R116" s="1">
        <v>3.81</v>
      </c>
      <c r="S116" s="7">
        <v>3.07</v>
      </c>
      <c r="U116" s="8">
        <v>-3.2399999999999998E-2</v>
      </c>
      <c r="V116" s="9">
        <v>7.3</v>
      </c>
      <c r="W116" s="1">
        <v>19.37</v>
      </c>
      <c r="Y116" s="1">
        <f>2710/380.03</f>
        <v>7.1310159724232305</v>
      </c>
      <c r="Z116" s="8">
        <f t="shared" si="27"/>
        <v>0.16525719758210305</v>
      </c>
      <c r="AE116" s="1">
        <v>0.2</v>
      </c>
      <c r="AF116" s="10">
        <f t="shared" si="28"/>
        <v>5.5524708495280394E-3</v>
      </c>
    </row>
    <row r="117" spans="2:32" x14ac:dyDescent="0.25">
      <c r="E117">
        <v>146</v>
      </c>
      <c r="F117" t="s">
        <v>30</v>
      </c>
      <c r="G117" s="3" t="s">
        <v>31</v>
      </c>
      <c r="H117" s="3">
        <v>43188</v>
      </c>
      <c r="I117" s="1">
        <v>36.81</v>
      </c>
      <c r="M117" s="1">
        <v>0.26</v>
      </c>
      <c r="N117" s="1">
        <v>1.06</v>
      </c>
      <c r="Z117" s="8">
        <f t="shared" si="27"/>
        <v>0</v>
      </c>
      <c r="AE117" s="1">
        <v>0.2</v>
      </c>
      <c r="AF117" s="10">
        <f t="shared" si="28"/>
        <v>5.4333061668024995E-3</v>
      </c>
    </row>
    <row r="118" spans="2:32" x14ac:dyDescent="0.25">
      <c r="B118" s="1">
        <f t="shared" ref="B118:B131" si="29">+I118-(-R118/S118+R118)</f>
        <v>41.361034482758619</v>
      </c>
      <c r="C118" s="2">
        <f t="shared" ref="C118:C131" si="30">B118/M118</f>
        <v>517.01293103448268</v>
      </c>
      <c r="D118" s="2">
        <f t="shared" ref="D118:D131" si="31">B118/N118</f>
        <v>38.297254150702422</v>
      </c>
      <c r="E118">
        <v>147</v>
      </c>
      <c r="F118" t="s">
        <v>30</v>
      </c>
      <c r="G118" s="3" t="s">
        <v>31</v>
      </c>
      <c r="H118" s="3">
        <v>43280</v>
      </c>
      <c r="I118" s="1">
        <v>43.4</v>
      </c>
      <c r="J118" s="4">
        <v>37.44</v>
      </c>
      <c r="L118" s="5">
        <f t="shared" ref="L118:L131" si="32">+U118*W118</f>
        <v>-0.22279600000000002</v>
      </c>
      <c r="M118" s="1">
        <v>0.08</v>
      </c>
      <c r="N118" s="1">
        <v>1.08</v>
      </c>
      <c r="P118" s="3">
        <v>43280</v>
      </c>
      <c r="Q118" s="6">
        <v>36.340000000000003</v>
      </c>
      <c r="R118" s="1">
        <v>2.97</v>
      </c>
      <c r="S118" s="7">
        <v>3.19</v>
      </c>
      <c r="U118" s="8">
        <v>-1.09E-2</v>
      </c>
      <c r="V118" s="9">
        <v>7.7</v>
      </c>
      <c r="W118" s="1">
        <v>20.440000000000001</v>
      </c>
      <c r="Y118" s="1">
        <f>2720/328.62</f>
        <v>8.2770373075284525</v>
      </c>
      <c r="Z118" s="8">
        <f t="shared" si="27"/>
        <v>0.16016857271193896</v>
      </c>
      <c r="AE118" s="1">
        <v>0.2</v>
      </c>
      <c r="AF118" s="10">
        <f t="shared" si="28"/>
        <v>4.608294930875576E-3</v>
      </c>
    </row>
    <row r="119" spans="2:32" x14ac:dyDescent="0.25">
      <c r="B119" s="1">
        <f t="shared" si="29"/>
        <v>40.773091482649839</v>
      </c>
      <c r="C119" s="2">
        <f t="shared" si="30"/>
        <v>291.23636773321311</v>
      </c>
      <c r="D119" s="2">
        <f t="shared" si="31"/>
        <v>39.973619100637094</v>
      </c>
      <c r="E119">
        <v>148</v>
      </c>
      <c r="F119" t="s">
        <v>30</v>
      </c>
      <c r="G119" s="3" t="s">
        <v>31</v>
      </c>
      <c r="H119" s="3">
        <v>43371</v>
      </c>
      <c r="I119" s="1">
        <v>43.08</v>
      </c>
      <c r="J119" s="4">
        <v>44.48</v>
      </c>
      <c r="L119" s="5">
        <f t="shared" si="32"/>
        <v>-0.15080399999999999</v>
      </c>
      <c r="M119" s="1">
        <v>0.14000000000000001</v>
      </c>
      <c r="N119" s="1">
        <v>1.02</v>
      </c>
      <c r="P119" s="3">
        <v>43372</v>
      </c>
      <c r="Q119" s="6">
        <v>36.28</v>
      </c>
      <c r="R119" s="1">
        <v>3.37</v>
      </c>
      <c r="S119" s="7">
        <v>3.17</v>
      </c>
      <c r="U119" s="8">
        <v>-7.1000000000000004E-3</v>
      </c>
      <c r="V119" s="9">
        <v>8.02</v>
      </c>
      <c r="W119" s="1">
        <v>21.24</v>
      </c>
      <c r="Y119" s="1">
        <f>2710/383.37</f>
        <v>7.0688890627852983</v>
      </c>
      <c r="Z119" s="8">
        <f t="shared" si="27"/>
        <v>0.14095803904918425</v>
      </c>
      <c r="AE119" s="1">
        <v>0.2</v>
      </c>
      <c r="AF119" s="10">
        <f t="shared" si="28"/>
        <v>4.6425255338904368E-3</v>
      </c>
    </row>
    <row r="120" spans="2:32" x14ac:dyDescent="0.25">
      <c r="B120" s="1">
        <f t="shared" si="29"/>
        <v>23.176141479099677</v>
      </c>
      <c r="C120" s="2">
        <f t="shared" si="30"/>
        <v>-579.40353697749185</v>
      </c>
      <c r="D120" s="2">
        <f t="shared" si="31"/>
        <v>33.108773541570969</v>
      </c>
      <c r="E120">
        <v>149</v>
      </c>
      <c r="F120" t="s">
        <v>30</v>
      </c>
      <c r="G120" s="3" t="s">
        <v>31</v>
      </c>
      <c r="H120" s="3">
        <v>43465</v>
      </c>
      <c r="I120" s="1">
        <v>25.7</v>
      </c>
      <c r="J120" s="4">
        <v>36.619999999999997</v>
      </c>
      <c r="L120" s="5">
        <f t="shared" si="32"/>
        <v>-8.2732E-2</v>
      </c>
      <c r="M120" s="1">
        <v>-0.04</v>
      </c>
      <c r="N120" s="1">
        <v>0.7</v>
      </c>
      <c r="P120" s="3">
        <v>43464</v>
      </c>
      <c r="Q120" s="6">
        <v>36.04</v>
      </c>
      <c r="R120" s="1">
        <v>3.72</v>
      </c>
      <c r="S120" s="7">
        <v>3.11</v>
      </c>
      <c r="U120" s="8">
        <v>-3.7000000000000002E-3</v>
      </c>
      <c r="V120" s="9">
        <v>8.4499999999999993</v>
      </c>
      <c r="W120" s="1">
        <v>22.36</v>
      </c>
      <c r="Y120" s="1">
        <f>2710/383.43</f>
        <v>7.0677829069191249</v>
      </c>
      <c r="Z120" s="8">
        <f t="shared" si="27"/>
        <v>0.21569304603231848</v>
      </c>
      <c r="AE120" s="1">
        <v>0.2</v>
      </c>
      <c r="AF120" s="10">
        <f t="shared" si="28"/>
        <v>7.7821011673151761E-3</v>
      </c>
    </row>
    <row r="121" spans="2:32" x14ac:dyDescent="0.25">
      <c r="B121" s="1">
        <f t="shared" si="29"/>
        <v>24.016969696969696</v>
      </c>
      <c r="C121" s="2">
        <f t="shared" si="30"/>
        <v>100.07070707070707</v>
      </c>
      <c r="D121" s="2">
        <f t="shared" si="31"/>
        <v>30.790986790986789</v>
      </c>
      <c r="E121">
        <v>150</v>
      </c>
      <c r="F121" t="s">
        <v>30</v>
      </c>
      <c r="G121" s="3" t="s">
        <v>31</v>
      </c>
      <c r="H121" s="3">
        <v>43551</v>
      </c>
      <c r="I121" s="1">
        <v>26.31</v>
      </c>
      <c r="L121" s="5">
        <f t="shared" si="32"/>
        <v>-0.10669000000000001</v>
      </c>
      <c r="M121" s="1">
        <v>0.24</v>
      </c>
      <c r="N121" s="1">
        <v>0.78</v>
      </c>
      <c r="P121" s="3">
        <v>43554</v>
      </c>
      <c r="Q121" s="6">
        <v>35.67</v>
      </c>
      <c r="R121" s="1">
        <v>3.29</v>
      </c>
      <c r="S121" s="7">
        <v>3.3</v>
      </c>
      <c r="U121" s="8">
        <v>-4.7000000000000002E-3</v>
      </c>
      <c r="V121" s="9">
        <v>8.6</v>
      </c>
      <c r="W121" s="1">
        <v>22.7</v>
      </c>
      <c r="Y121" s="1">
        <f>3330/385.92</f>
        <v>8.6287313432835813</v>
      </c>
      <c r="Z121" s="8">
        <f t="shared" si="27"/>
        <v>0.24696750601799738</v>
      </c>
      <c r="AE121" s="1">
        <v>0.2</v>
      </c>
      <c r="AF121" s="10">
        <f t="shared" si="28"/>
        <v>7.6016723679209431E-3</v>
      </c>
    </row>
    <row r="122" spans="2:32" x14ac:dyDescent="0.25">
      <c r="B122" s="1">
        <f t="shared" si="29"/>
        <v>20.280819672131148</v>
      </c>
      <c r="C122" s="2">
        <f t="shared" si="30"/>
        <v>-119.29893924783028</v>
      </c>
      <c r="D122" s="2">
        <f t="shared" si="31"/>
        <v>39.766313082610097</v>
      </c>
      <c r="E122">
        <v>151</v>
      </c>
      <c r="F122" t="s">
        <v>30</v>
      </c>
      <c r="G122" s="3" t="s">
        <v>31</v>
      </c>
      <c r="H122" s="3">
        <v>43644</v>
      </c>
      <c r="I122" s="1">
        <v>22.23</v>
      </c>
      <c r="J122" s="4">
        <v>29.6</v>
      </c>
      <c r="L122" s="5">
        <f t="shared" si="32"/>
        <v>-14.346887000000001</v>
      </c>
      <c r="M122" s="1">
        <v>-0.17</v>
      </c>
      <c r="N122" s="1">
        <v>0.51</v>
      </c>
      <c r="P122" s="3">
        <v>43645</v>
      </c>
      <c r="Q122" s="6">
        <v>21.8</v>
      </c>
      <c r="R122" s="1">
        <v>2.9</v>
      </c>
      <c r="S122" s="7">
        <v>3.05</v>
      </c>
      <c r="U122" s="8">
        <v>-0.63229999999999997</v>
      </c>
      <c r="V122" s="9">
        <v>8.6199999999999992</v>
      </c>
      <c r="W122" s="1">
        <v>22.69</v>
      </c>
      <c r="Y122" s="1">
        <f>3300/385.93</f>
        <v>8.5507734563262758</v>
      </c>
      <c r="Z122" s="8">
        <f t="shared" si="27"/>
        <v>0.27779592570858097</v>
      </c>
      <c r="AE122" s="1">
        <v>0.2</v>
      </c>
      <c r="AF122" s="10">
        <f t="shared" si="28"/>
        <v>8.9968511021142599E-3</v>
      </c>
    </row>
    <row r="123" spans="2:32" x14ac:dyDescent="0.25">
      <c r="B123" s="1">
        <f t="shared" si="29"/>
        <v>18.988811188811187</v>
      </c>
      <c r="C123" s="2">
        <f t="shared" si="30"/>
        <v>-1898.8811188811187</v>
      </c>
      <c r="D123" s="2">
        <f t="shared" si="31"/>
        <v>23.736013986013983</v>
      </c>
      <c r="E123">
        <v>152</v>
      </c>
      <c r="F123" t="s">
        <v>30</v>
      </c>
      <c r="G123" s="3" t="s">
        <v>31</v>
      </c>
      <c r="H123" s="3">
        <v>43738</v>
      </c>
      <c r="I123" s="1">
        <v>21.2</v>
      </c>
      <c r="L123" s="5">
        <f t="shared" si="32"/>
        <v>-14.955024</v>
      </c>
      <c r="M123" s="1">
        <v>-0.01</v>
      </c>
      <c r="N123" s="1">
        <v>0.8</v>
      </c>
      <c r="P123" s="3">
        <v>43737</v>
      </c>
      <c r="Q123" s="6">
        <v>20.88</v>
      </c>
      <c r="R123" s="1">
        <v>3.4</v>
      </c>
      <c r="S123" s="7">
        <v>2.86</v>
      </c>
      <c r="U123" s="8">
        <v>-0.66290000000000004</v>
      </c>
      <c r="V123" s="9">
        <v>8.6</v>
      </c>
      <c r="W123" s="1">
        <v>22.56</v>
      </c>
      <c r="Y123" s="1">
        <f>3270/385.83</f>
        <v>8.4752352072156132</v>
      </c>
      <c r="Z123" s="8">
        <f t="shared" si="27"/>
        <v>0.28559959670192731</v>
      </c>
      <c r="AE123" s="1">
        <v>0.2</v>
      </c>
      <c r="AF123" s="10">
        <f t="shared" si="28"/>
        <v>9.4339622641509448E-3</v>
      </c>
    </row>
    <row r="124" spans="2:32" x14ac:dyDescent="0.25">
      <c r="B124" s="1">
        <f t="shared" si="29"/>
        <v>23.108676470588236</v>
      </c>
      <c r="C124" s="2">
        <f t="shared" si="30"/>
        <v>210.07887700534761</v>
      </c>
      <c r="D124" s="2">
        <f t="shared" si="31"/>
        <v>26.259859625668451</v>
      </c>
      <c r="E124">
        <v>153</v>
      </c>
      <c r="F124" t="s">
        <v>30</v>
      </c>
      <c r="G124" s="3" t="s">
        <v>31</v>
      </c>
      <c r="H124" s="3">
        <v>43830</v>
      </c>
      <c r="I124" s="1">
        <v>25.05</v>
      </c>
      <c r="L124" s="5">
        <f t="shared" si="32"/>
        <v>-15.95736</v>
      </c>
      <c r="M124" s="1">
        <v>0.11</v>
      </c>
      <c r="N124" s="1">
        <v>0.88</v>
      </c>
      <c r="P124" s="3">
        <v>43830</v>
      </c>
      <c r="Q124" s="6">
        <v>20.54</v>
      </c>
      <c r="R124" s="1">
        <v>3.07</v>
      </c>
      <c r="S124" s="7">
        <v>2.72</v>
      </c>
      <c r="U124" s="8">
        <v>-0.71879999999999999</v>
      </c>
      <c r="V124" s="9">
        <v>8.48</v>
      </c>
      <c r="W124" s="1">
        <v>22.2</v>
      </c>
      <c r="Y124" s="1">
        <f>2780/385.83</f>
        <v>7.2052458336573109</v>
      </c>
      <c r="Z124" s="8">
        <f t="shared" si="27"/>
        <v>0.22338213978635588</v>
      </c>
      <c r="AE124" s="1">
        <v>0.2</v>
      </c>
      <c r="AF124" s="10">
        <f t="shared" si="28"/>
        <v>7.9840319361277456E-3</v>
      </c>
    </row>
    <row r="125" spans="2:32" x14ac:dyDescent="0.25">
      <c r="B125" s="1">
        <f t="shared" si="29"/>
        <v>8.011282051282052</v>
      </c>
      <c r="C125" s="2">
        <f t="shared" si="30"/>
        <v>19.074481074481078</v>
      </c>
      <c r="D125" s="2">
        <f t="shared" si="31"/>
        <v>15.708396178984415</v>
      </c>
      <c r="E125">
        <v>154</v>
      </c>
      <c r="F125" t="s">
        <v>30</v>
      </c>
      <c r="G125" s="3" t="s">
        <v>31</v>
      </c>
      <c r="H125" s="3">
        <v>43921</v>
      </c>
      <c r="I125" s="1">
        <v>9.83</v>
      </c>
      <c r="J125" s="4">
        <v>17.45</v>
      </c>
      <c r="L125" s="5">
        <f t="shared" si="32"/>
        <v>-21.0672</v>
      </c>
      <c r="M125" s="1">
        <v>0.42</v>
      </c>
      <c r="N125" s="1">
        <v>0.51</v>
      </c>
      <c r="P125" s="3">
        <v>43921</v>
      </c>
      <c r="Q125" s="6">
        <v>14.13</v>
      </c>
      <c r="R125" s="1">
        <v>2.87</v>
      </c>
      <c r="S125" s="7">
        <v>2.73</v>
      </c>
      <c r="U125" s="8">
        <v>-0.95760000000000001</v>
      </c>
      <c r="V125" s="9">
        <v>8.42</v>
      </c>
      <c r="W125" s="1">
        <v>22</v>
      </c>
      <c r="Y125" s="1">
        <f>2760/388.22</f>
        <v>7.1093709752202354</v>
      </c>
      <c r="Z125" s="8">
        <f t="shared" si="27"/>
        <v>0.41969509880975986</v>
      </c>
      <c r="AE125" s="1">
        <v>0.2</v>
      </c>
      <c r="AF125" s="10">
        <f t="shared" si="28"/>
        <v>2.0345879959308241E-2</v>
      </c>
    </row>
    <row r="126" spans="2:32" x14ac:dyDescent="0.25">
      <c r="B126" s="1">
        <f t="shared" si="29"/>
        <v>9.8241958041958046</v>
      </c>
      <c r="C126" s="2">
        <f t="shared" si="30"/>
        <v>-18.536218498482651</v>
      </c>
      <c r="D126" s="2">
        <f t="shared" si="31"/>
        <v>-22.327717736808648</v>
      </c>
      <c r="E126">
        <v>155</v>
      </c>
      <c r="F126" t="s">
        <v>30</v>
      </c>
      <c r="G126" s="3" t="s">
        <v>31</v>
      </c>
      <c r="H126" s="3">
        <v>44012</v>
      </c>
      <c r="I126" s="1">
        <v>12.25</v>
      </c>
      <c r="J126" s="4">
        <v>12.49</v>
      </c>
      <c r="L126" s="5">
        <f t="shared" si="32"/>
        <v>-7.2186800000000009</v>
      </c>
      <c r="M126" s="1">
        <v>-0.53</v>
      </c>
      <c r="N126" s="1">
        <v>-0.44</v>
      </c>
      <c r="P126" s="3">
        <v>44012</v>
      </c>
      <c r="Q126" s="6">
        <v>14.06</v>
      </c>
      <c r="R126" s="1">
        <v>3.73</v>
      </c>
      <c r="S126" s="7">
        <v>2.86</v>
      </c>
      <c r="U126" s="8">
        <v>-0.35560000000000003</v>
      </c>
      <c r="V126" s="9">
        <v>7.79</v>
      </c>
      <c r="W126" s="1">
        <v>20.3</v>
      </c>
      <c r="Y126" s="1">
        <f>2780/388.28</f>
        <v>7.1597816009065625</v>
      </c>
      <c r="Z126" s="8">
        <f t="shared" si="27"/>
        <v>0.36887491823051499</v>
      </c>
      <c r="AE126" s="1">
        <v>0</v>
      </c>
      <c r="AF126" s="10">
        <f t="shared" si="28"/>
        <v>0</v>
      </c>
    </row>
    <row r="127" spans="2:32" x14ac:dyDescent="0.25">
      <c r="B127" s="1">
        <f t="shared" si="29"/>
        <v>6.5738596491228076</v>
      </c>
      <c r="C127" s="2">
        <f t="shared" si="30"/>
        <v>-21.912865497076027</v>
      </c>
      <c r="D127" s="2">
        <f t="shared" si="31"/>
        <v>-21.912865497076027</v>
      </c>
      <c r="E127">
        <v>156</v>
      </c>
      <c r="F127" t="s">
        <v>30</v>
      </c>
      <c r="G127" s="3" t="s">
        <v>31</v>
      </c>
      <c r="H127" s="3">
        <v>44104</v>
      </c>
      <c r="I127" s="1">
        <v>9.06</v>
      </c>
      <c r="L127" s="5">
        <f t="shared" si="32"/>
        <v>-6.7289310000000002</v>
      </c>
      <c r="M127" s="1">
        <v>-0.3</v>
      </c>
      <c r="N127" s="1">
        <v>-0.3</v>
      </c>
      <c r="P127" s="3">
        <v>44104</v>
      </c>
      <c r="Q127" s="6">
        <v>14.07</v>
      </c>
      <c r="R127" s="1">
        <v>3.83</v>
      </c>
      <c r="S127" s="7">
        <v>2.85</v>
      </c>
      <c r="U127" s="8">
        <v>-0.36630000000000001</v>
      </c>
      <c r="V127" s="9">
        <v>7.04</v>
      </c>
      <c r="W127" s="1">
        <v>18.37</v>
      </c>
      <c r="Y127" s="1">
        <f>2550/388.26</f>
        <v>6.5677638695719365</v>
      </c>
      <c r="Z127" s="8">
        <f t="shared" si="27"/>
        <v>0.42026254839694066</v>
      </c>
      <c r="AB127" s="1">
        <f>1210/388.26</f>
        <v>3.1164683459537423</v>
      </c>
      <c r="AC127" s="1">
        <f>1010/388.26</f>
        <v>2.6013496110853551</v>
      </c>
    </row>
    <row r="128" spans="2:32" x14ac:dyDescent="0.25">
      <c r="B128" s="1">
        <f t="shared" si="29"/>
        <v>10.932724014336918</v>
      </c>
      <c r="C128" s="2">
        <f t="shared" si="30"/>
        <v>-28.770326353518204</v>
      </c>
      <c r="D128" s="2">
        <f t="shared" si="31"/>
        <v>-42.048938516680451</v>
      </c>
      <c r="E128">
        <v>157</v>
      </c>
      <c r="F128" t="s">
        <v>30</v>
      </c>
      <c r="G128" s="3" t="s">
        <v>31</v>
      </c>
      <c r="H128" s="3">
        <v>44196</v>
      </c>
      <c r="I128" s="1">
        <v>13.73</v>
      </c>
      <c r="J128" s="4">
        <v>13.78</v>
      </c>
      <c r="L128" s="5">
        <f t="shared" si="32"/>
        <v>-6.6199639999999995</v>
      </c>
      <c r="M128" s="1">
        <v>-0.38</v>
      </c>
      <c r="N128" s="1">
        <v>-0.26</v>
      </c>
      <c r="P128" s="3">
        <v>44196</v>
      </c>
      <c r="Q128" s="6">
        <v>13.42</v>
      </c>
      <c r="R128" s="1">
        <v>4.3600000000000003</v>
      </c>
      <c r="S128" s="7">
        <v>2.79</v>
      </c>
      <c r="U128" s="8">
        <v>-0.41739999999999999</v>
      </c>
      <c r="V128" s="9">
        <v>6.09</v>
      </c>
      <c r="W128" s="1">
        <v>15.86</v>
      </c>
      <c r="Y128" s="1">
        <f>2560/388.26</f>
        <v>6.5935198063153555</v>
      </c>
      <c r="Z128" s="8">
        <f t="shared" si="27"/>
        <v>0.32442804539529008</v>
      </c>
      <c r="AB128" s="1">
        <f>926/388.26</f>
        <v>2.3849997424406326</v>
      </c>
      <c r="AC128" s="1">
        <f>893.75/388.26</f>
        <v>2.3019368464431054</v>
      </c>
    </row>
    <row r="129" spans="2:32" x14ac:dyDescent="0.25">
      <c r="B129" s="1">
        <f t="shared" si="29"/>
        <v>11.203023255813953</v>
      </c>
      <c r="C129" s="2">
        <f t="shared" si="30"/>
        <v>-25.461416490486258</v>
      </c>
      <c r="D129" s="2">
        <f t="shared" si="31"/>
        <v>86.177101967799629</v>
      </c>
      <c r="E129">
        <v>158</v>
      </c>
      <c r="F129" t="s">
        <v>30</v>
      </c>
      <c r="G129" s="3" t="s">
        <v>31</v>
      </c>
      <c r="H129" s="3">
        <v>44286</v>
      </c>
      <c r="I129" s="1">
        <v>13.72</v>
      </c>
      <c r="J129" s="4">
        <v>16.14</v>
      </c>
      <c r="L129" s="5">
        <f t="shared" si="32"/>
        <v>-1.5864419999999999</v>
      </c>
      <c r="M129" s="1">
        <v>-0.44</v>
      </c>
      <c r="N129" s="1">
        <v>0.13</v>
      </c>
      <c r="P129" s="3">
        <v>44286</v>
      </c>
      <c r="Q129" s="6">
        <v>13.01</v>
      </c>
      <c r="R129" s="1">
        <v>4.1100000000000003</v>
      </c>
      <c r="S129" s="7">
        <v>2.58</v>
      </c>
      <c r="U129" s="8">
        <v>-0.1118</v>
      </c>
      <c r="V129" s="9">
        <v>5.46</v>
      </c>
      <c r="W129" s="1">
        <v>14.19</v>
      </c>
      <c r="Y129" s="1">
        <f>2550/390.64</f>
        <v>6.5277493344255584</v>
      </c>
      <c r="Z129" s="8">
        <f t="shared" si="27"/>
        <v>0.3223938239558789</v>
      </c>
      <c r="AB129" s="1">
        <f>860/390.64</f>
        <v>2.2015154618062667</v>
      </c>
      <c r="AC129" s="1">
        <f>840.88/390.64</f>
        <v>2.1525701413065739</v>
      </c>
    </row>
    <row r="130" spans="2:32" x14ac:dyDescent="0.25">
      <c r="B130" s="1">
        <f t="shared" si="29"/>
        <v>12.783394833948339</v>
      </c>
      <c r="C130" s="2">
        <f t="shared" si="30"/>
        <v>-28.407544075440754</v>
      </c>
      <c r="D130" s="2">
        <f t="shared" si="31"/>
        <v>60.873308733087335</v>
      </c>
      <c r="E130">
        <v>159</v>
      </c>
      <c r="F130" t="s">
        <v>30</v>
      </c>
      <c r="G130" s="3" t="s">
        <v>31</v>
      </c>
      <c r="H130" s="3">
        <v>44377</v>
      </c>
      <c r="I130" s="1">
        <v>15.32</v>
      </c>
      <c r="J130" s="4">
        <v>17.55</v>
      </c>
      <c r="L130" s="5">
        <f t="shared" si="32"/>
        <v>-1.4109700000000001</v>
      </c>
      <c r="M130" s="1">
        <v>-0.45</v>
      </c>
      <c r="N130" s="1">
        <v>0.21</v>
      </c>
      <c r="P130" s="3">
        <v>44377</v>
      </c>
      <c r="Q130" s="6">
        <v>13.08</v>
      </c>
      <c r="R130" s="1">
        <v>4.0199999999999996</v>
      </c>
      <c r="S130" s="7">
        <v>2.71</v>
      </c>
      <c r="U130" s="8">
        <v>-0.10100000000000001</v>
      </c>
      <c r="V130" s="9">
        <v>5.38</v>
      </c>
      <c r="W130" s="1">
        <v>13.97</v>
      </c>
      <c r="Y130" s="1">
        <f>2390/390.7</f>
        <v>6.1172254927054004</v>
      </c>
      <c r="Z130" s="8">
        <f t="shared" si="27"/>
        <v>0.28535528045767644</v>
      </c>
      <c r="AB130" s="1">
        <f>659/390.7</f>
        <v>1.6867161504991042</v>
      </c>
      <c r="AC130" s="1">
        <f>583.75/390.7</f>
        <v>1.4941131302789865</v>
      </c>
    </row>
    <row r="131" spans="2:32" x14ac:dyDescent="0.25">
      <c r="B131" s="1">
        <f t="shared" si="29"/>
        <v>10.420300751879699</v>
      </c>
      <c r="C131" s="2">
        <f t="shared" si="30"/>
        <v>-22.652827721477607</v>
      </c>
      <c r="D131" s="2">
        <f t="shared" si="31"/>
        <v>43.417919799498748</v>
      </c>
      <c r="E131">
        <v>160</v>
      </c>
      <c r="F131" t="s">
        <v>30</v>
      </c>
      <c r="G131" s="3" t="s">
        <v>31</v>
      </c>
      <c r="H131" s="3">
        <v>44469</v>
      </c>
      <c r="I131" s="1">
        <v>13.11</v>
      </c>
      <c r="J131" s="4">
        <v>17.2</v>
      </c>
      <c r="L131" s="5">
        <f t="shared" si="32"/>
        <v>-1.4448960000000002</v>
      </c>
      <c r="M131" s="1">
        <v>-0.46</v>
      </c>
      <c r="N131" s="1">
        <v>0.24</v>
      </c>
      <c r="P131" s="3">
        <v>44469</v>
      </c>
      <c r="Q131" s="6">
        <v>13.12</v>
      </c>
      <c r="R131" s="1">
        <v>4.3099999999999996</v>
      </c>
      <c r="S131" s="7">
        <v>2.66</v>
      </c>
      <c r="U131" s="8">
        <v>-0.10440000000000001</v>
      </c>
      <c r="V131" s="9">
        <v>5.33</v>
      </c>
      <c r="W131" s="1">
        <v>13.84</v>
      </c>
      <c r="Y131" s="1">
        <f>2400/390.7</f>
        <v>6.142820578448938</v>
      </c>
      <c r="Z131" s="8">
        <f t="shared" si="27"/>
        <v>0.31906081259205404</v>
      </c>
      <c r="AB131" s="1">
        <f>441/390.7</f>
        <v>1.1287432812899925</v>
      </c>
      <c r="AC131" s="1">
        <f>546.37/390.7</f>
        <v>1.3984386997696443</v>
      </c>
    </row>
    <row r="132" spans="2:32" x14ac:dyDescent="0.25">
      <c r="E132">
        <v>161</v>
      </c>
      <c r="F132" t="s">
        <v>30</v>
      </c>
      <c r="G132" s="3" t="s">
        <v>31</v>
      </c>
      <c r="H132" s="3">
        <f>VLOOKUP(G132,oil,3,FALSE)</f>
        <v>44519</v>
      </c>
      <c r="I132" s="1">
        <f>VLOOKUP(G132,oil,2,FALSE)</f>
        <v>12.03</v>
      </c>
    </row>
    <row r="133" spans="2:32" x14ac:dyDescent="0.25">
      <c r="E133">
        <v>162</v>
      </c>
      <c r="F133" t="s">
        <v>30</v>
      </c>
      <c r="G133" s="3" t="s">
        <v>31</v>
      </c>
      <c r="H133" s="3">
        <v>44651</v>
      </c>
    </row>
    <row r="134" spans="2:32" x14ac:dyDescent="0.25">
      <c r="E134">
        <v>163</v>
      </c>
      <c r="F134" t="s">
        <v>30</v>
      </c>
      <c r="G134" s="3" t="s">
        <v>31</v>
      </c>
      <c r="H134" s="3">
        <v>44742</v>
      </c>
    </row>
    <row r="135" spans="2:32" x14ac:dyDescent="0.25">
      <c r="E135">
        <v>164</v>
      </c>
      <c r="F135" t="s">
        <v>30</v>
      </c>
      <c r="G135" s="3" t="s">
        <v>31</v>
      </c>
      <c r="H135" s="3">
        <v>44834</v>
      </c>
    </row>
    <row r="136" spans="2:32" s="15" customFormat="1" x14ac:dyDescent="0.25">
      <c r="B136" s="16"/>
      <c r="C136" s="17"/>
      <c r="E136" s="15">
        <v>165</v>
      </c>
      <c r="F136" s="15" t="s">
        <v>30</v>
      </c>
      <c r="G136" s="18" t="s">
        <v>31</v>
      </c>
      <c r="H136" s="18">
        <v>44926</v>
      </c>
      <c r="I136" s="16"/>
      <c r="J136" s="19"/>
      <c r="L136" s="20"/>
      <c r="M136" s="16"/>
      <c r="N136" s="16"/>
      <c r="P136" s="18"/>
      <c r="Q136" s="21"/>
      <c r="R136" s="16"/>
      <c r="S136" s="22"/>
      <c r="U136" s="23"/>
      <c r="V136" s="24"/>
      <c r="W136" s="16"/>
      <c r="Y136" s="16"/>
      <c r="Z136" s="23"/>
      <c r="AA136" s="23"/>
      <c r="AB136" s="16"/>
      <c r="AC136" s="16"/>
      <c r="AE136" s="16"/>
      <c r="AF136" s="25"/>
    </row>
    <row r="137" spans="2:32" x14ac:dyDescent="0.25">
      <c r="B137" s="1" t="e">
        <f t="shared" ref="B137:B156" si="33">+I137-(-R137/S137+R137)</f>
        <v>#DIV/0!</v>
      </c>
      <c r="C137" s="2" t="e">
        <f t="shared" ref="C137:C156" si="34">B137/M137</f>
        <v>#DIV/0!</v>
      </c>
      <c r="D137" s="2" t="e">
        <f t="shared" ref="D137:D156" si="35">B137/N137</f>
        <v>#DIV/0!</v>
      </c>
      <c r="E137">
        <v>166</v>
      </c>
      <c r="F137" t="s">
        <v>32</v>
      </c>
      <c r="G137" t="s">
        <v>33</v>
      </c>
      <c r="H137" s="3">
        <v>40177</v>
      </c>
    </row>
    <row r="138" spans="2:32" x14ac:dyDescent="0.25">
      <c r="B138" s="1" t="e">
        <f t="shared" si="33"/>
        <v>#DIV/0!</v>
      </c>
      <c r="C138" s="2" t="e">
        <f t="shared" si="34"/>
        <v>#DIV/0!</v>
      </c>
      <c r="D138" s="2" t="e">
        <f t="shared" si="35"/>
        <v>#DIV/0!</v>
      </c>
      <c r="E138">
        <v>167</v>
      </c>
      <c r="F138" t="s">
        <v>32</v>
      </c>
      <c r="G138" t="s">
        <v>33</v>
      </c>
      <c r="H138" s="3">
        <v>40543</v>
      </c>
    </row>
    <row r="139" spans="2:32" x14ac:dyDescent="0.25">
      <c r="B139" s="1" t="e">
        <f t="shared" si="33"/>
        <v>#DIV/0!</v>
      </c>
      <c r="C139" s="2" t="e">
        <f t="shared" si="34"/>
        <v>#DIV/0!</v>
      </c>
      <c r="D139" s="2" t="e">
        <f t="shared" si="35"/>
        <v>#DIV/0!</v>
      </c>
      <c r="E139">
        <v>168</v>
      </c>
      <c r="F139" t="s">
        <v>32</v>
      </c>
      <c r="G139" t="s">
        <v>33</v>
      </c>
      <c r="H139" s="3">
        <v>40907</v>
      </c>
    </row>
    <row r="140" spans="2:32" x14ac:dyDescent="0.25">
      <c r="B140" s="1" t="e">
        <f t="shared" si="33"/>
        <v>#DIV/0!</v>
      </c>
      <c r="C140" s="2" t="e">
        <f t="shared" si="34"/>
        <v>#DIV/0!</v>
      </c>
      <c r="D140" s="2" t="e">
        <f t="shared" si="35"/>
        <v>#DIV/0!</v>
      </c>
      <c r="E140">
        <v>169</v>
      </c>
      <c r="F140" t="s">
        <v>32</v>
      </c>
      <c r="G140" t="s">
        <v>33</v>
      </c>
      <c r="H140" s="3">
        <v>41274</v>
      </c>
    </row>
    <row r="141" spans="2:32" x14ac:dyDescent="0.25">
      <c r="B141" s="1" t="e">
        <f t="shared" si="33"/>
        <v>#DIV/0!</v>
      </c>
      <c r="C141" s="2" t="e">
        <f t="shared" si="34"/>
        <v>#DIV/0!</v>
      </c>
      <c r="D141" s="2" t="e">
        <f t="shared" si="35"/>
        <v>#DIV/0!</v>
      </c>
      <c r="E141">
        <v>170</v>
      </c>
      <c r="F141" t="s">
        <v>32</v>
      </c>
      <c r="G141" t="s">
        <v>33</v>
      </c>
      <c r="H141" s="3">
        <v>41639</v>
      </c>
    </row>
    <row r="142" spans="2:32" x14ac:dyDescent="0.25">
      <c r="B142" s="1" t="e">
        <f t="shared" si="33"/>
        <v>#DIV/0!</v>
      </c>
      <c r="C142" s="2" t="e">
        <f t="shared" si="34"/>
        <v>#DIV/0!</v>
      </c>
      <c r="D142" s="2" t="e">
        <f t="shared" si="35"/>
        <v>#DIV/0!</v>
      </c>
      <c r="E142">
        <v>171</v>
      </c>
      <c r="F142" t="s">
        <v>32</v>
      </c>
      <c r="G142" t="s">
        <v>33</v>
      </c>
      <c r="H142" s="3">
        <v>42004</v>
      </c>
      <c r="I142" s="1">
        <v>16.59</v>
      </c>
    </row>
    <row r="143" spans="2:32" x14ac:dyDescent="0.25">
      <c r="B143" s="1">
        <f t="shared" si="33"/>
        <v>14.793670886075949</v>
      </c>
      <c r="C143" s="2" t="e">
        <f t="shared" si="34"/>
        <v>#DIV/0!</v>
      </c>
      <c r="D143" s="2" t="e">
        <f t="shared" si="35"/>
        <v>#DIV/0!</v>
      </c>
      <c r="E143">
        <v>172</v>
      </c>
      <c r="F143" t="s">
        <v>32</v>
      </c>
      <c r="G143" t="s">
        <v>33</v>
      </c>
      <c r="H143" s="3">
        <v>42369</v>
      </c>
      <c r="I143" s="1">
        <v>15.08</v>
      </c>
      <c r="L143" s="5">
        <f t="shared" ref="L143:L164" si="36">+U143*W143</f>
        <v>-2.0256569999999998</v>
      </c>
      <c r="P143" s="3">
        <v>42369</v>
      </c>
      <c r="Q143" s="6">
        <v>17.57</v>
      </c>
      <c r="R143" s="1">
        <v>0.78</v>
      </c>
      <c r="S143" s="7">
        <v>1.58</v>
      </c>
      <c r="U143" s="8">
        <v>-0.15570000000000001</v>
      </c>
      <c r="V143" s="9">
        <v>1.89</v>
      </c>
      <c r="W143" s="1">
        <v>13.01</v>
      </c>
      <c r="Y143" s="1">
        <f>855/147.17</f>
        <v>5.8096079364000817</v>
      </c>
      <c r="Z143" s="8">
        <f>Y143/(Y143+I143)</f>
        <v>0.27810995563381813</v>
      </c>
      <c r="AE143" s="1">
        <v>0.32</v>
      </c>
      <c r="AF143" s="10">
        <f>+AE143/I143</f>
        <v>2.1220159151193633E-2</v>
      </c>
    </row>
    <row r="144" spans="2:32" x14ac:dyDescent="0.25">
      <c r="B144" s="1">
        <f t="shared" si="33"/>
        <v>20.806666666666668</v>
      </c>
      <c r="C144" s="2">
        <f t="shared" si="34"/>
        <v>-8.8539007092198592</v>
      </c>
      <c r="D144" s="2">
        <f t="shared" si="35"/>
        <v>-11.008818342151677</v>
      </c>
      <c r="E144">
        <v>173</v>
      </c>
      <c r="F144" t="s">
        <v>32</v>
      </c>
      <c r="G144" t="s">
        <v>33</v>
      </c>
      <c r="H144" s="3">
        <v>42551</v>
      </c>
      <c r="I144" s="1">
        <v>21.32</v>
      </c>
      <c r="J144" s="4">
        <v>19.52</v>
      </c>
      <c r="L144" s="5">
        <f t="shared" si="36"/>
        <v>-3.0237560000000001</v>
      </c>
      <c r="M144" s="1">
        <v>-2.35</v>
      </c>
      <c r="N144" s="1">
        <v>-1.89</v>
      </c>
      <c r="P144" s="3">
        <v>42551</v>
      </c>
      <c r="Q144" s="6">
        <v>16.420000000000002</v>
      </c>
      <c r="R144" s="1">
        <v>1.43</v>
      </c>
      <c r="S144" s="7">
        <v>1.56</v>
      </c>
      <c r="U144" s="8">
        <v>-0.3604</v>
      </c>
      <c r="V144" s="9">
        <v>1.22</v>
      </c>
      <c r="W144" s="1">
        <v>8.39</v>
      </c>
      <c r="Y144" s="1">
        <f>826.89/147.37</f>
        <v>5.610979168080342</v>
      </c>
      <c r="Z144" s="8">
        <f>Y144/(Y144+I144)</f>
        <v>0.20834664543986189</v>
      </c>
      <c r="AE144" s="1">
        <v>0.32</v>
      </c>
      <c r="AF144" s="10">
        <f>+AE144/I144</f>
        <v>1.50093808630394E-2</v>
      </c>
    </row>
    <row r="145" spans="2:32" x14ac:dyDescent="0.25">
      <c r="B145" s="1">
        <f t="shared" si="33"/>
        <v>26.904299065420563</v>
      </c>
      <c r="C145" s="2">
        <f t="shared" si="34"/>
        <v>-11.697521332791551</v>
      </c>
      <c r="D145" s="2">
        <f t="shared" si="35"/>
        <v>-16.505704948110775</v>
      </c>
      <c r="E145">
        <v>174</v>
      </c>
      <c r="F145" t="s">
        <v>32</v>
      </c>
      <c r="G145" t="s">
        <v>33</v>
      </c>
      <c r="H145" s="3">
        <v>42734</v>
      </c>
      <c r="I145" s="1">
        <v>26.92</v>
      </c>
      <c r="J145" s="4">
        <v>26.48</v>
      </c>
      <c r="L145" s="5">
        <f t="shared" si="36"/>
        <v>-2.177854</v>
      </c>
      <c r="M145" s="1">
        <v>-2.2999999999999998</v>
      </c>
      <c r="N145" s="1">
        <v>-1.63</v>
      </c>
      <c r="P145" s="3">
        <v>42735</v>
      </c>
      <c r="Q145" s="6">
        <v>15.33</v>
      </c>
      <c r="R145" s="1">
        <v>0.24</v>
      </c>
      <c r="S145" s="7">
        <v>1.07</v>
      </c>
      <c r="U145" s="8">
        <v>-0.34789999999999999</v>
      </c>
      <c r="V145" s="9">
        <v>0.91586999999999996</v>
      </c>
      <c r="W145" s="1">
        <v>6.26</v>
      </c>
      <c r="Y145" s="1">
        <f>598.44/166.33</f>
        <v>3.5979077737028797</v>
      </c>
      <c r="Z145" s="8">
        <f t="shared" ref="Z145:Z164" si="37">+Y145/(Y145+I145)</f>
        <v>0.11789496843565331</v>
      </c>
      <c r="AE145" s="1">
        <v>0.08</v>
      </c>
      <c r="AF145" s="10">
        <f>AE145/I145</f>
        <v>2.9717682020802376E-3</v>
      </c>
    </row>
    <row r="146" spans="2:32" x14ac:dyDescent="0.25">
      <c r="B146" s="1">
        <f t="shared" si="33"/>
        <v>22.581129032258065</v>
      </c>
      <c r="C146" s="2">
        <f t="shared" si="34"/>
        <v>-17.370099255583128</v>
      </c>
      <c r="D146" s="2">
        <f t="shared" si="35"/>
        <v>-94.088037634408607</v>
      </c>
      <c r="E146">
        <v>175</v>
      </c>
      <c r="F146" t="s">
        <v>32</v>
      </c>
      <c r="G146" t="s">
        <v>33</v>
      </c>
      <c r="H146" s="3">
        <v>42825</v>
      </c>
      <c r="I146" s="1">
        <v>24.27</v>
      </c>
      <c r="J146" s="4">
        <v>30.48</v>
      </c>
      <c r="L146" s="5">
        <f t="shared" si="36"/>
        <v>-2.0822640000000003</v>
      </c>
      <c r="M146" s="1">
        <v>-1.3</v>
      </c>
      <c r="N146" s="1">
        <v>-0.24</v>
      </c>
      <c r="P146" s="3">
        <v>42825</v>
      </c>
      <c r="Q146" s="6">
        <v>15.33</v>
      </c>
      <c r="R146" s="1">
        <v>2.83</v>
      </c>
      <c r="S146" s="7">
        <v>2.48</v>
      </c>
      <c r="U146" s="8">
        <v>-0.32740000000000002</v>
      </c>
      <c r="V146" s="9">
        <v>0.95209999999999995</v>
      </c>
      <c r="W146" s="1">
        <v>6.36</v>
      </c>
      <c r="Y146" s="1">
        <f>598.52/212.62</f>
        <v>2.8149750729000091</v>
      </c>
      <c r="Z146" s="8">
        <f t="shared" si="37"/>
        <v>0.10393124104133088</v>
      </c>
      <c r="AE146" s="1">
        <v>0.08</v>
      </c>
      <c r="AF146" s="10">
        <f t="shared" ref="AF146:AF164" si="38">+AE146/I146</f>
        <v>3.296250515039143E-3</v>
      </c>
    </row>
    <row r="147" spans="2:32" x14ac:dyDescent="0.25">
      <c r="B147" s="1">
        <f t="shared" si="33"/>
        <v>20.15702479338843</v>
      </c>
      <c r="C147" s="2">
        <f t="shared" si="34"/>
        <v>-19.197166469893741</v>
      </c>
      <c r="D147" s="2">
        <f t="shared" si="35"/>
        <v>1007.8512396694215</v>
      </c>
      <c r="E147">
        <v>176</v>
      </c>
      <c r="F147" t="s">
        <v>32</v>
      </c>
      <c r="G147" t="s">
        <v>33</v>
      </c>
      <c r="H147" s="3">
        <v>42916</v>
      </c>
      <c r="I147" s="1">
        <v>20.190000000000001</v>
      </c>
      <c r="J147" s="4">
        <v>28.68</v>
      </c>
      <c r="L147" s="5">
        <f t="shared" si="36"/>
        <v>-1.9428260000000002</v>
      </c>
      <c r="M147" s="1">
        <v>-1.05</v>
      </c>
      <c r="N147" s="1">
        <v>0.02</v>
      </c>
      <c r="P147" s="3">
        <v>42916</v>
      </c>
      <c r="Q147" s="6">
        <v>16.14</v>
      </c>
      <c r="R147" s="1">
        <v>0.19</v>
      </c>
      <c r="S147" s="7">
        <v>1.21</v>
      </c>
      <c r="U147" s="8">
        <v>-0.23780000000000001</v>
      </c>
      <c r="V147" s="9">
        <v>1.34</v>
      </c>
      <c r="W147" s="1">
        <v>8.17</v>
      </c>
      <c r="Y147" s="1">
        <f>713.61/213.33</f>
        <v>3.3450991421740963</v>
      </c>
      <c r="Z147" s="8">
        <f t="shared" si="37"/>
        <v>0.14213235822660261</v>
      </c>
      <c r="AE147" s="1">
        <v>0.08</v>
      </c>
      <c r="AF147" s="10">
        <f t="shared" si="38"/>
        <v>3.9623576027736501E-3</v>
      </c>
    </row>
    <row r="148" spans="2:32" x14ac:dyDescent="0.25">
      <c r="B148" s="1">
        <f t="shared" si="33"/>
        <v>20.905161290322582</v>
      </c>
      <c r="C148" s="2">
        <f t="shared" si="34"/>
        <v>-23.227956989247314</v>
      </c>
      <c r="D148" s="2">
        <f t="shared" si="35"/>
        <v>-90.892005610098181</v>
      </c>
      <c r="E148">
        <v>177</v>
      </c>
      <c r="F148" t="s">
        <v>32</v>
      </c>
      <c r="G148" s="3" t="s">
        <v>33</v>
      </c>
      <c r="H148" s="3">
        <v>43007</v>
      </c>
      <c r="I148" s="1">
        <v>20.94</v>
      </c>
      <c r="J148" s="4">
        <v>24.58</v>
      </c>
      <c r="L148" s="5">
        <f t="shared" si="36"/>
        <v>-1.4862569999999999</v>
      </c>
      <c r="M148" s="1">
        <v>-0.9</v>
      </c>
      <c r="N148" s="1">
        <v>-0.23</v>
      </c>
      <c r="P148" s="3">
        <v>43008</v>
      </c>
      <c r="Q148" s="6">
        <v>16.940000000000001</v>
      </c>
      <c r="R148" s="1">
        <v>0.18</v>
      </c>
      <c r="S148" s="7">
        <v>1.24</v>
      </c>
      <c r="U148" s="8">
        <v>-0.14729999999999999</v>
      </c>
      <c r="V148" s="9">
        <v>1.82</v>
      </c>
      <c r="W148" s="1">
        <v>10.09</v>
      </c>
      <c r="Y148" s="1">
        <f>742.7/222.44</f>
        <v>3.338877899658335</v>
      </c>
      <c r="Z148" s="8">
        <f t="shared" si="37"/>
        <v>0.13752191981266651</v>
      </c>
      <c r="AE148" s="1">
        <v>0.08</v>
      </c>
      <c r="AF148" s="10">
        <f t="shared" si="38"/>
        <v>3.8204393505253103E-3</v>
      </c>
    </row>
    <row r="149" spans="2:32" x14ac:dyDescent="0.25">
      <c r="B149" s="1">
        <f t="shared" si="33"/>
        <v>22.958686131386862</v>
      </c>
      <c r="C149" s="2">
        <f t="shared" si="34"/>
        <v>-27.661067628176944</v>
      </c>
      <c r="D149" s="2">
        <f t="shared" si="35"/>
        <v>-255.09651257096516</v>
      </c>
      <c r="E149">
        <v>178</v>
      </c>
      <c r="F149" t="s">
        <v>32</v>
      </c>
      <c r="G149" s="3" t="s">
        <v>33</v>
      </c>
      <c r="H149" s="3">
        <v>43098</v>
      </c>
      <c r="I149" s="1">
        <v>23.01</v>
      </c>
      <c r="J149" s="4">
        <v>25</v>
      </c>
      <c r="L149" s="5">
        <f t="shared" si="36"/>
        <v>2.9700000000000004E-2</v>
      </c>
      <c r="M149" s="1">
        <v>-0.83</v>
      </c>
      <c r="N149" s="1">
        <v>-0.09</v>
      </c>
      <c r="P149" s="3">
        <v>43100</v>
      </c>
      <c r="Q149" s="6">
        <v>18.03</v>
      </c>
      <c r="R149" s="1">
        <v>0.19</v>
      </c>
      <c r="S149" s="7">
        <v>1.37</v>
      </c>
      <c r="U149" s="8">
        <v>2.5000000000000001E-3</v>
      </c>
      <c r="V149" s="9">
        <v>2.36</v>
      </c>
      <c r="W149" s="1">
        <v>11.88</v>
      </c>
      <c r="Y149" s="1">
        <f>866.78/222.29</f>
        <v>3.8993207071843088</v>
      </c>
      <c r="Z149" s="8">
        <f t="shared" si="37"/>
        <v>0.14490595097568776</v>
      </c>
      <c r="AE149" s="1">
        <v>0.08</v>
      </c>
      <c r="AF149" s="10">
        <f t="shared" si="38"/>
        <v>3.4767492394611036E-3</v>
      </c>
    </row>
    <row r="150" spans="2:32" x14ac:dyDescent="0.25">
      <c r="B150" s="1">
        <f t="shared" si="33"/>
        <v>16.927687861271679</v>
      </c>
      <c r="C150" s="2">
        <f t="shared" si="34"/>
        <v>-1692.7687861271679</v>
      </c>
      <c r="D150" s="2">
        <f t="shared" si="35"/>
        <v>37.617084136159285</v>
      </c>
      <c r="E150">
        <v>179</v>
      </c>
      <c r="F150" t="s">
        <v>32</v>
      </c>
      <c r="G150" s="3" t="s">
        <v>33</v>
      </c>
      <c r="H150" s="3">
        <v>43188</v>
      </c>
      <c r="I150" s="1">
        <v>17.510000000000002</v>
      </c>
      <c r="L150" s="5">
        <f t="shared" si="36"/>
        <v>0.16469700000000001</v>
      </c>
      <c r="M150" s="1">
        <v>-0.01</v>
      </c>
      <c r="N150" s="1">
        <v>0.45</v>
      </c>
      <c r="P150" s="3">
        <v>43190</v>
      </c>
      <c r="Q150" s="6">
        <v>18.03</v>
      </c>
      <c r="R150" s="1">
        <v>1.38</v>
      </c>
      <c r="S150" s="7">
        <v>1.73</v>
      </c>
      <c r="U150" s="8">
        <v>1.23E-2</v>
      </c>
      <c r="V150" s="9">
        <v>2.86</v>
      </c>
      <c r="W150" s="1">
        <v>13.39</v>
      </c>
      <c r="Y150" s="1">
        <f>1120/221.81</f>
        <v>5.0493665749966183</v>
      </c>
      <c r="Z150" s="8">
        <f t="shared" si="37"/>
        <v>0.22382572481414517</v>
      </c>
      <c r="AE150" s="1">
        <v>0.16</v>
      </c>
      <c r="AF150" s="10">
        <f t="shared" si="38"/>
        <v>9.1376356367789836E-3</v>
      </c>
    </row>
    <row r="151" spans="2:32" x14ac:dyDescent="0.25">
      <c r="B151" s="1">
        <f t="shared" si="33"/>
        <v>17.554761904761904</v>
      </c>
      <c r="C151" s="2">
        <f t="shared" si="34"/>
        <v>-250.78231292517003</v>
      </c>
      <c r="D151" s="2">
        <f t="shared" si="35"/>
        <v>36.572420634920633</v>
      </c>
      <c r="E151">
        <v>180</v>
      </c>
      <c r="F151" t="s">
        <v>32</v>
      </c>
      <c r="G151" s="3" t="s">
        <v>33</v>
      </c>
      <c r="H151" s="3">
        <v>43280</v>
      </c>
      <c r="I151" s="1">
        <v>18</v>
      </c>
      <c r="J151" s="4">
        <v>25.33</v>
      </c>
      <c r="L151" s="5">
        <f t="shared" si="36"/>
        <v>0.53312700000000002</v>
      </c>
      <c r="M151" s="1">
        <v>-7.0000000000000007E-2</v>
      </c>
      <c r="N151" s="1">
        <v>0.48</v>
      </c>
      <c r="P151" s="3">
        <v>43280</v>
      </c>
      <c r="Q151" s="6">
        <v>17.7</v>
      </c>
      <c r="R151" s="1">
        <v>1.1000000000000001</v>
      </c>
      <c r="S151" s="7">
        <v>1.68</v>
      </c>
      <c r="U151" s="8">
        <v>3.7100000000000001E-2</v>
      </c>
      <c r="V151" s="9">
        <v>3.14</v>
      </c>
      <c r="W151" s="1">
        <v>14.37</v>
      </c>
      <c r="Y151" s="1">
        <f>1120/220.03</f>
        <v>5.0902149706858157</v>
      </c>
      <c r="Z151" s="8">
        <f t="shared" si="37"/>
        <v>0.22044900738897835</v>
      </c>
      <c r="AE151" s="1">
        <v>0.16</v>
      </c>
      <c r="AF151" s="10">
        <f t="shared" si="38"/>
        <v>8.8888888888888889E-3</v>
      </c>
    </row>
    <row r="152" spans="2:32" x14ac:dyDescent="0.25">
      <c r="B152" s="1">
        <f t="shared" si="33"/>
        <v>16.716385542168673</v>
      </c>
      <c r="C152" s="2">
        <f t="shared" si="34"/>
        <v>-39.800917957544463</v>
      </c>
      <c r="D152" s="2">
        <f t="shared" si="35"/>
        <v>-185.7376171352075</v>
      </c>
      <c r="E152">
        <v>181</v>
      </c>
      <c r="F152" t="s">
        <v>32</v>
      </c>
      <c r="G152" s="3" t="s">
        <v>33</v>
      </c>
      <c r="H152" s="3">
        <v>43371</v>
      </c>
      <c r="I152" s="1">
        <v>17.11</v>
      </c>
      <c r="J152" s="4">
        <v>22.15</v>
      </c>
      <c r="L152" s="5">
        <f t="shared" si="36"/>
        <v>0.34277000000000002</v>
      </c>
      <c r="M152" s="1">
        <v>-0.42</v>
      </c>
      <c r="N152" s="1">
        <v>-0.09</v>
      </c>
      <c r="P152" s="3">
        <v>43372</v>
      </c>
      <c r="Q152" s="6">
        <v>17.329999999999998</v>
      </c>
      <c r="R152" s="1">
        <v>0.99</v>
      </c>
      <c r="S152" s="7">
        <v>1.66</v>
      </c>
      <c r="U152" s="8">
        <v>2.2700000000000001E-2</v>
      </c>
      <c r="V152" s="9">
        <v>3.32</v>
      </c>
      <c r="W152" s="1">
        <v>15.1</v>
      </c>
      <c r="Y152" s="1">
        <f>1120/217.21</f>
        <v>5.1563003544956496</v>
      </c>
      <c r="Z152" s="8">
        <f t="shared" si="37"/>
        <v>0.23157418486248765</v>
      </c>
      <c r="AE152" s="1">
        <v>0.16</v>
      </c>
      <c r="AF152" s="10">
        <f t="shared" si="38"/>
        <v>9.3512565751022805E-3</v>
      </c>
    </row>
    <row r="153" spans="2:32" x14ac:dyDescent="0.25">
      <c r="B153" s="1">
        <f t="shared" si="33"/>
        <v>9.8388888888888886</v>
      </c>
      <c r="C153" s="2">
        <f t="shared" si="34"/>
        <v>-22.881136950904391</v>
      </c>
      <c r="D153" s="2">
        <f t="shared" si="35"/>
        <v>-44.722222222222221</v>
      </c>
      <c r="E153">
        <v>182</v>
      </c>
      <c r="F153" t="s">
        <v>32</v>
      </c>
      <c r="G153" s="3" t="s">
        <v>33</v>
      </c>
      <c r="H153" s="3">
        <v>43465</v>
      </c>
      <c r="I153" s="1">
        <v>10.35</v>
      </c>
      <c r="J153" s="4">
        <v>19.829999999999998</v>
      </c>
      <c r="L153" s="5">
        <f t="shared" si="36"/>
        <v>-1.4702520000000001</v>
      </c>
      <c r="M153" s="1">
        <v>-0.43</v>
      </c>
      <c r="N153" s="1">
        <v>-0.22</v>
      </c>
      <c r="P153" s="3">
        <v>43464</v>
      </c>
      <c r="Q153" s="6">
        <v>16.440000000000001</v>
      </c>
      <c r="R153" s="1">
        <v>1.1499999999999999</v>
      </c>
      <c r="S153" s="7">
        <v>1.8</v>
      </c>
      <c r="U153" s="8">
        <v>-9.6600000000000005E-2</v>
      </c>
      <c r="V153" s="9">
        <v>3.33</v>
      </c>
      <c r="W153" s="1">
        <v>15.22</v>
      </c>
      <c r="Y153" s="1">
        <f>1120/213.22</f>
        <v>5.2527905449770191</v>
      </c>
      <c r="Z153" s="8">
        <f t="shared" si="37"/>
        <v>0.33665712103454737</v>
      </c>
      <c r="AE153" s="1">
        <v>0.16</v>
      </c>
      <c r="AF153" s="10">
        <f t="shared" si="38"/>
        <v>1.5458937198067634E-2</v>
      </c>
    </row>
    <row r="154" spans="2:32" x14ac:dyDescent="0.25">
      <c r="B154" s="1">
        <f t="shared" si="33"/>
        <v>13.549340659340659</v>
      </c>
      <c r="C154" s="2">
        <f t="shared" si="34"/>
        <v>-19.925500969618614</v>
      </c>
      <c r="D154" s="2">
        <f t="shared" si="35"/>
        <v>-112.91117216117216</v>
      </c>
      <c r="E154">
        <v>183</v>
      </c>
      <c r="F154" t="s">
        <v>32</v>
      </c>
      <c r="G154" s="3" t="s">
        <v>33</v>
      </c>
      <c r="H154" s="3">
        <v>43551</v>
      </c>
      <c r="I154" s="1">
        <v>14.09</v>
      </c>
      <c r="L154" s="5">
        <f t="shared" si="36"/>
        <v>-1.4592200000000002</v>
      </c>
      <c r="M154" s="1">
        <v>-0.68</v>
      </c>
      <c r="N154" s="1">
        <v>-0.12</v>
      </c>
      <c r="P154" s="3">
        <v>43554</v>
      </c>
      <c r="Q154" s="6">
        <v>16.37</v>
      </c>
      <c r="R154" s="1">
        <v>1.2</v>
      </c>
      <c r="S154" s="7">
        <v>1.82</v>
      </c>
      <c r="U154" s="8">
        <v>-9.8000000000000004E-2</v>
      </c>
      <c r="V154" s="9">
        <v>3.22</v>
      </c>
      <c r="W154" s="1">
        <v>14.89</v>
      </c>
      <c r="Y154" s="1">
        <f>1150/208.17</f>
        <v>5.524331075563242</v>
      </c>
      <c r="Z154" s="8">
        <f t="shared" si="37"/>
        <v>0.28164769189838945</v>
      </c>
      <c r="AE154" s="1">
        <v>0.16</v>
      </c>
      <c r="AF154" s="10">
        <f t="shared" si="38"/>
        <v>1.1355571327182399E-2</v>
      </c>
    </row>
    <row r="155" spans="2:32" x14ac:dyDescent="0.25">
      <c r="B155" s="1">
        <f t="shared" si="33"/>
        <v>10.909685863874346</v>
      </c>
      <c r="C155" s="2">
        <f t="shared" si="34"/>
        <v>-15.585265519820496</v>
      </c>
      <c r="D155" s="2">
        <f t="shared" si="35"/>
        <v>-26.608989911888649</v>
      </c>
      <c r="E155">
        <v>184</v>
      </c>
      <c r="F155" t="s">
        <v>32</v>
      </c>
      <c r="G155" s="3" t="s">
        <v>33</v>
      </c>
      <c r="H155" s="3">
        <v>43644</v>
      </c>
      <c r="I155" s="1">
        <v>11.51</v>
      </c>
      <c r="J155" s="4">
        <v>17.91</v>
      </c>
      <c r="L155" s="5">
        <f t="shared" si="36"/>
        <v>-1.6610279999999999</v>
      </c>
      <c r="M155" s="1">
        <v>-0.7</v>
      </c>
      <c r="N155" s="1">
        <v>-0.41</v>
      </c>
      <c r="P155" s="3">
        <v>43645</v>
      </c>
      <c r="Q155" s="6">
        <v>16.21</v>
      </c>
      <c r="R155" s="1">
        <v>1.26</v>
      </c>
      <c r="S155" s="7">
        <v>1.91</v>
      </c>
      <c r="U155" s="8">
        <v>-0.1164</v>
      </c>
      <c r="V155" s="9">
        <v>3.04</v>
      </c>
      <c r="W155" s="1">
        <v>14.27</v>
      </c>
      <c r="Y155" s="1">
        <f>1150/208.25</f>
        <v>5.5222088835534215</v>
      </c>
      <c r="Z155" s="8">
        <f t="shared" si="37"/>
        <v>0.32422153352556377</v>
      </c>
      <c r="AE155" s="1">
        <v>0.16</v>
      </c>
      <c r="AF155" s="10">
        <f t="shared" si="38"/>
        <v>1.3900955690703737E-2</v>
      </c>
    </row>
    <row r="156" spans="2:32" x14ac:dyDescent="0.25">
      <c r="B156" s="1">
        <f t="shared" si="33"/>
        <v>8.2519480519480535</v>
      </c>
      <c r="C156" s="2">
        <f t="shared" si="34"/>
        <v>-8.7786681403702698</v>
      </c>
      <c r="D156" s="2">
        <f t="shared" si="35"/>
        <v>-7.3026088955292519</v>
      </c>
      <c r="E156">
        <v>185</v>
      </c>
      <c r="F156" t="s">
        <v>32</v>
      </c>
      <c r="G156" s="3" t="s">
        <v>33</v>
      </c>
      <c r="H156" s="3">
        <v>43738</v>
      </c>
      <c r="I156" s="1">
        <v>8.5500000000000007</v>
      </c>
      <c r="L156" s="5">
        <f t="shared" si="36"/>
        <v>-2.5935000000000001</v>
      </c>
      <c r="M156" s="1">
        <v>-0.94</v>
      </c>
      <c r="N156" s="1">
        <v>-1.1299999999999999</v>
      </c>
      <c r="P156" s="3">
        <v>43737</v>
      </c>
      <c r="Q156" s="6">
        <v>15.14</v>
      </c>
      <c r="R156" s="1">
        <v>0.85</v>
      </c>
      <c r="S156" s="7">
        <v>1.54</v>
      </c>
      <c r="U156" s="8">
        <v>-0.19500000000000001</v>
      </c>
      <c r="V156" s="9">
        <v>2.77</v>
      </c>
      <c r="W156" s="1">
        <v>13.3</v>
      </c>
      <c r="Y156" s="1">
        <f>999.19/194.54</f>
        <v>5.1361673691785752</v>
      </c>
      <c r="Z156" s="8">
        <f t="shared" si="37"/>
        <v>0.37528164245201978</v>
      </c>
      <c r="AE156" s="1">
        <v>0.16</v>
      </c>
      <c r="AF156" s="10">
        <f t="shared" si="38"/>
        <v>1.8713450292397661E-2</v>
      </c>
    </row>
    <row r="157" spans="2:32" x14ac:dyDescent="0.25">
      <c r="E157">
        <v>186</v>
      </c>
      <c r="F157" t="s">
        <v>32</v>
      </c>
      <c r="G157" s="3" t="s">
        <v>33</v>
      </c>
      <c r="H157" s="3">
        <v>43830</v>
      </c>
      <c r="I157" s="1">
        <v>10.5</v>
      </c>
      <c r="L157" s="5">
        <f t="shared" si="36"/>
        <v>-2.0968910000000003</v>
      </c>
      <c r="M157" s="1">
        <v>-0.99</v>
      </c>
      <c r="N157" s="1">
        <v>-1.39</v>
      </c>
      <c r="P157" s="3">
        <v>43830</v>
      </c>
      <c r="Q157" s="6">
        <v>14.76</v>
      </c>
      <c r="R157" s="1">
        <v>0.91</v>
      </c>
      <c r="S157" s="7">
        <v>1.58</v>
      </c>
      <c r="U157" s="8">
        <v>-0.17230000000000001</v>
      </c>
      <c r="V157" s="9">
        <v>2.4700000000000002</v>
      </c>
      <c r="W157" s="1">
        <v>12.17</v>
      </c>
      <c r="Y157" s="1">
        <f>1000/192.15</f>
        <v>5.2042674993494664</v>
      </c>
      <c r="Z157" s="8">
        <f t="shared" si="37"/>
        <v>0.33139192894957042</v>
      </c>
      <c r="AE157" s="1">
        <v>0.16</v>
      </c>
      <c r="AF157" s="10">
        <f t="shared" si="38"/>
        <v>1.5238095238095238E-2</v>
      </c>
    </row>
    <row r="158" spans="2:32" x14ac:dyDescent="0.25">
      <c r="E158">
        <v>187</v>
      </c>
      <c r="F158" t="s">
        <v>32</v>
      </c>
      <c r="G158" s="3" t="s">
        <v>33</v>
      </c>
      <c r="H158" s="3">
        <v>43921</v>
      </c>
      <c r="I158" s="1">
        <v>2.35</v>
      </c>
      <c r="J158" s="4">
        <v>4.37</v>
      </c>
      <c r="L158" s="5">
        <f t="shared" si="36"/>
        <v>-4.2074400000000001</v>
      </c>
      <c r="M158" s="1">
        <v>-1.95</v>
      </c>
      <c r="N158" s="1">
        <v>-1.82</v>
      </c>
      <c r="P158" s="3">
        <v>43921</v>
      </c>
      <c r="Q158" s="6">
        <v>12.77</v>
      </c>
      <c r="R158" s="1">
        <v>0.82</v>
      </c>
      <c r="S158" s="7">
        <v>1.65</v>
      </c>
      <c r="U158" s="8">
        <v>-0.376</v>
      </c>
      <c r="V158" s="9">
        <v>2.21</v>
      </c>
      <c r="W158" s="1">
        <v>11.19</v>
      </c>
      <c r="Y158" s="1">
        <f>1000/186.5</f>
        <v>5.3619302949061662</v>
      </c>
      <c r="Z158" s="8">
        <f t="shared" si="37"/>
        <v>0.69527732874450299</v>
      </c>
      <c r="AE158" s="1">
        <v>0.08</v>
      </c>
      <c r="AF158" s="10">
        <f t="shared" si="38"/>
        <v>3.4042553191489362E-2</v>
      </c>
    </row>
    <row r="159" spans="2:32" x14ac:dyDescent="0.25">
      <c r="E159">
        <v>188</v>
      </c>
      <c r="F159" t="s">
        <v>32</v>
      </c>
      <c r="G159" s="3" t="s">
        <v>33</v>
      </c>
      <c r="H159" s="3">
        <v>44012</v>
      </c>
      <c r="I159" s="1">
        <v>3.47</v>
      </c>
      <c r="J159" s="4">
        <v>3.1</v>
      </c>
      <c r="L159" s="5">
        <f t="shared" si="36"/>
        <v>-4.8432319999999995</v>
      </c>
      <c r="M159" s="1">
        <v>-2.2799999999999998</v>
      </c>
      <c r="N159" s="1">
        <v>-2.36</v>
      </c>
      <c r="P159" s="3">
        <v>47299</v>
      </c>
      <c r="Q159" s="6">
        <v>11.9</v>
      </c>
      <c r="R159" s="1">
        <v>1.32</v>
      </c>
      <c r="S159" s="7">
        <v>1.9</v>
      </c>
      <c r="U159" s="8">
        <v>-0.52190000000000003</v>
      </c>
      <c r="V159" s="9">
        <v>1.79</v>
      </c>
      <c r="W159" s="1">
        <v>9.2799999999999994</v>
      </c>
      <c r="Y159" s="1">
        <f>999.51/187.41</f>
        <v>5.3332799743877057</v>
      </c>
      <c r="Z159" s="8">
        <f t="shared" si="37"/>
        <v>0.60582873541502358</v>
      </c>
      <c r="AE159" s="1">
        <v>0.08</v>
      </c>
      <c r="AF159" s="10">
        <f t="shared" si="38"/>
        <v>2.3054755043227664E-2</v>
      </c>
    </row>
    <row r="160" spans="2:32" x14ac:dyDescent="0.25">
      <c r="E160">
        <v>189</v>
      </c>
      <c r="F160" t="s">
        <v>32</v>
      </c>
      <c r="G160" s="3" t="s">
        <v>33</v>
      </c>
      <c r="H160" s="3">
        <v>44104</v>
      </c>
      <c r="I160" s="1">
        <v>2.85</v>
      </c>
      <c r="L160" s="5">
        <f t="shared" si="36"/>
        <v>-4.1289600000000002</v>
      </c>
      <c r="M160" s="1">
        <v>-2.25</v>
      </c>
      <c r="N160" s="1">
        <v>-2.2599999999999998</v>
      </c>
      <c r="P160" s="3">
        <v>44104</v>
      </c>
      <c r="Q160" s="6">
        <v>11.31</v>
      </c>
      <c r="R160" s="1">
        <v>1.62</v>
      </c>
      <c r="S160" s="7">
        <v>2.02</v>
      </c>
      <c r="U160" s="8">
        <v>-0.56100000000000005</v>
      </c>
      <c r="V160" s="9">
        <v>1.4</v>
      </c>
      <c r="W160" s="1">
        <v>7.36</v>
      </c>
      <c r="Y160" s="1">
        <f>995.57/187.49</f>
        <v>5.3099898661261937</v>
      </c>
      <c r="Z160" s="8">
        <f t="shared" si="37"/>
        <v>0.65073486036656247</v>
      </c>
      <c r="AB160" s="1">
        <f>395.65/187.49</f>
        <v>2.1102458797802548</v>
      </c>
      <c r="AC160" s="1">
        <f>345.51/187.49</f>
        <v>1.8428182836417941</v>
      </c>
      <c r="AE160" s="1">
        <v>0.08</v>
      </c>
      <c r="AF160" s="10">
        <f t="shared" si="38"/>
        <v>2.8070175438596492E-2</v>
      </c>
    </row>
    <row r="161" spans="2:32" x14ac:dyDescent="0.25">
      <c r="E161">
        <v>190</v>
      </c>
      <c r="F161" t="s">
        <v>32</v>
      </c>
      <c r="G161" s="3" t="s">
        <v>33</v>
      </c>
      <c r="H161" s="3">
        <v>44196</v>
      </c>
      <c r="I161" s="1">
        <v>5.26</v>
      </c>
      <c r="J161" s="4">
        <v>4.5</v>
      </c>
      <c r="L161" s="5">
        <f t="shared" si="36"/>
        <v>-4.2751020000000004</v>
      </c>
      <c r="M161" s="1">
        <v>-2.25</v>
      </c>
      <c r="N161" s="1">
        <v>-2.13</v>
      </c>
      <c r="P161" s="3">
        <v>44196</v>
      </c>
      <c r="Q161" s="6">
        <v>10.74</v>
      </c>
      <c r="R161" s="1">
        <v>1.2</v>
      </c>
      <c r="S161" s="7">
        <v>1.75</v>
      </c>
      <c r="U161" s="8">
        <v>-0.71489999999999998</v>
      </c>
      <c r="V161" s="9">
        <v>1.1200000000000001</v>
      </c>
      <c r="W161" s="1">
        <v>5.98</v>
      </c>
      <c r="Y161" s="1">
        <f>927.7/187.74</f>
        <v>4.9414083306700753</v>
      </c>
      <c r="Z161" s="8">
        <f t="shared" si="37"/>
        <v>0.48438491730734407</v>
      </c>
      <c r="AB161" s="1">
        <f>278.86/187.74</f>
        <v>1.4853520826675188</v>
      </c>
      <c r="AC161" s="1">
        <f>317.21/187.74</f>
        <v>1.6896239480132096</v>
      </c>
      <c r="AE161" s="1">
        <v>0.08</v>
      </c>
      <c r="AF161" s="10">
        <f t="shared" si="38"/>
        <v>1.5209125475285173E-2</v>
      </c>
    </row>
    <row r="162" spans="2:32" x14ac:dyDescent="0.25">
      <c r="E162">
        <v>191</v>
      </c>
      <c r="F162" t="s">
        <v>32</v>
      </c>
      <c r="G162" s="3" t="s">
        <v>33</v>
      </c>
      <c r="H162" s="3">
        <v>44286</v>
      </c>
      <c r="I162" s="1">
        <v>7.13</v>
      </c>
      <c r="J162" s="4">
        <v>6.79</v>
      </c>
      <c r="L162" s="5">
        <f t="shared" si="36"/>
        <v>-2.538961</v>
      </c>
      <c r="M162" s="1">
        <v>-1.98</v>
      </c>
      <c r="N162" s="1">
        <v>-1.52</v>
      </c>
      <c r="P162" s="3">
        <v>44286</v>
      </c>
      <c r="Q162" s="6">
        <v>10.18</v>
      </c>
      <c r="R162" s="1">
        <v>1.1399999999999999</v>
      </c>
      <c r="S162" s="7">
        <v>1.79</v>
      </c>
      <c r="U162" s="8">
        <v>-0.5171</v>
      </c>
      <c r="V162" s="9">
        <v>0.91925000000000001</v>
      </c>
      <c r="W162" s="1">
        <v>4.91</v>
      </c>
      <c r="Y162" s="1">
        <f>927/188.52</f>
        <v>4.9172501591343094</v>
      </c>
      <c r="Z162" s="8">
        <f t="shared" si="37"/>
        <v>0.40816369662632229</v>
      </c>
      <c r="AB162" s="1">
        <f>214.19/188.52</f>
        <v>1.1361659240398896</v>
      </c>
      <c r="AC162" s="1">
        <f>321.9/188.52</f>
        <v>1.7075111394016549</v>
      </c>
      <c r="AE162" s="1">
        <v>0.08</v>
      </c>
      <c r="AF162" s="10">
        <f t="shared" si="38"/>
        <v>1.1220196353436185E-2</v>
      </c>
    </row>
    <row r="163" spans="2:32" x14ac:dyDescent="0.25">
      <c r="E163">
        <v>192</v>
      </c>
      <c r="F163" t="s">
        <v>32</v>
      </c>
      <c r="G163" s="3" t="s">
        <v>33</v>
      </c>
      <c r="H163" s="3">
        <v>44377</v>
      </c>
      <c r="I163" s="1">
        <v>9.94</v>
      </c>
      <c r="J163" s="4">
        <v>8.7200000000000006</v>
      </c>
      <c r="L163" s="5">
        <f t="shared" si="36"/>
        <v>-2.2830080000000001</v>
      </c>
      <c r="M163" s="1">
        <v>-1.96</v>
      </c>
      <c r="N163" s="1">
        <v>-1.34</v>
      </c>
      <c r="P163" s="3">
        <v>44377</v>
      </c>
      <c r="Q163" s="6">
        <v>9.56</v>
      </c>
      <c r="R163" s="1">
        <v>1.1499999999999999</v>
      </c>
      <c r="S163" s="7">
        <v>1.73</v>
      </c>
      <c r="U163" s="8">
        <v>-0.44590000000000002</v>
      </c>
      <c r="V163" s="9">
        <v>0.96064000000000005</v>
      </c>
      <c r="W163" s="1">
        <v>5.12</v>
      </c>
      <c r="Y163" s="1">
        <f>925.38/189.03</f>
        <v>4.8954134264402471</v>
      </c>
      <c r="Z163" s="8">
        <f t="shared" si="37"/>
        <v>0.32998159779729846</v>
      </c>
      <c r="AB163" s="1">
        <f>103.72/189.03</f>
        <v>0.54869597418399196</v>
      </c>
      <c r="AC163" s="1">
        <f>239.52/189.03</f>
        <v>1.2671004602444056</v>
      </c>
      <c r="AE163" s="1">
        <v>0.08</v>
      </c>
      <c r="AF163" s="10">
        <f t="shared" si="38"/>
        <v>8.0482897384305842E-3</v>
      </c>
    </row>
    <row r="164" spans="2:32" x14ac:dyDescent="0.25">
      <c r="E164">
        <v>193</v>
      </c>
      <c r="F164" t="s">
        <v>32</v>
      </c>
      <c r="G164" s="3" t="s">
        <v>33</v>
      </c>
      <c r="H164" s="3">
        <v>44469</v>
      </c>
      <c r="I164" s="1">
        <v>9</v>
      </c>
      <c r="J164" s="4">
        <v>9.7100000000000009</v>
      </c>
      <c r="L164" s="5">
        <f t="shared" si="36"/>
        <v>-2.1228720000000001</v>
      </c>
      <c r="M164" s="1">
        <v>-1.9</v>
      </c>
      <c r="N164" s="1">
        <v>-1.1200000000000001</v>
      </c>
      <c r="P164" s="3">
        <v>44469</v>
      </c>
      <c r="Q164" s="6">
        <v>9.1300000000000008</v>
      </c>
      <c r="R164" s="1">
        <v>0.89</v>
      </c>
      <c r="S164" s="7">
        <v>1.6</v>
      </c>
      <c r="U164" s="8">
        <v>-0.35920000000000002</v>
      </c>
      <c r="V164" s="9">
        <v>1.1100000000000001</v>
      </c>
      <c r="W164" s="1">
        <v>5.91</v>
      </c>
      <c r="Y164" s="1">
        <f>923.84/215.11</f>
        <v>4.294732927339501</v>
      </c>
      <c r="Z164" s="8">
        <f t="shared" si="37"/>
        <v>0.3230401807100422</v>
      </c>
      <c r="AB164" s="1">
        <f>47.17/215.11</f>
        <v>0.21928315745432569</v>
      </c>
      <c r="AC164" s="1">
        <f>163.15/215.11</f>
        <v>0.7584491655432104</v>
      </c>
      <c r="AE164" s="1">
        <v>0.08</v>
      </c>
      <c r="AF164" s="10">
        <f t="shared" si="38"/>
        <v>8.8888888888888889E-3</v>
      </c>
    </row>
    <row r="165" spans="2:32" x14ac:dyDescent="0.25">
      <c r="E165">
        <v>194</v>
      </c>
      <c r="F165" t="s">
        <v>32</v>
      </c>
      <c r="G165" s="3" t="s">
        <v>33</v>
      </c>
      <c r="H165" s="3">
        <f>VLOOKUP(G165,oil,3,FALSE)</f>
        <v>44519</v>
      </c>
      <c r="I165" s="1">
        <f>VLOOKUP(G165,oil,2,FALSE)</f>
        <v>7.36</v>
      </c>
    </row>
    <row r="166" spans="2:32" x14ac:dyDescent="0.25">
      <c r="E166">
        <v>195</v>
      </c>
      <c r="F166" t="s">
        <v>32</v>
      </c>
      <c r="G166" s="3" t="s">
        <v>33</v>
      </c>
      <c r="H166" s="3">
        <v>44651</v>
      </c>
    </row>
    <row r="167" spans="2:32" x14ac:dyDescent="0.25">
      <c r="E167">
        <v>196</v>
      </c>
      <c r="F167" t="s">
        <v>32</v>
      </c>
      <c r="G167" s="3" t="s">
        <v>33</v>
      </c>
      <c r="H167" s="3">
        <v>44742</v>
      </c>
    </row>
    <row r="168" spans="2:32" x14ac:dyDescent="0.25">
      <c r="E168">
        <v>197</v>
      </c>
      <c r="F168" t="s">
        <v>32</v>
      </c>
      <c r="G168" s="3" t="s">
        <v>33</v>
      </c>
      <c r="H168" s="3">
        <v>44834</v>
      </c>
    </row>
    <row r="169" spans="2:32" s="15" customFormat="1" x14ac:dyDescent="0.25">
      <c r="B169" s="16"/>
      <c r="C169" s="17"/>
      <c r="E169" s="15">
        <v>198</v>
      </c>
      <c r="F169" s="15" t="s">
        <v>32</v>
      </c>
      <c r="G169" s="18" t="s">
        <v>33</v>
      </c>
      <c r="H169" s="18">
        <v>44926</v>
      </c>
      <c r="I169" s="16"/>
      <c r="J169" s="19"/>
      <c r="L169" s="20"/>
      <c r="M169" s="16"/>
      <c r="N169" s="16"/>
      <c r="P169" s="18"/>
      <c r="Q169" s="21"/>
      <c r="R169" s="16"/>
      <c r="S169" s="22"/>
      <c r="U169" s="23"/>
      <c r="V169" s="24"/>
      <c r="W169" s="16"/>
      <c r="Y169" s="16"/>
      <c r="Z169" s="23"/>
      <c r="AA169" s="23"/>
      <c r="AB169" s="16"/>
      <c r="AC169" s="16"/>
      <c r="AE169" s="16"/>
      <c r="AF169" s="25"/>
    </row>
    <row r="170" spans="2:32" x14ac:dyDescent="0.25">
      <c r="B170" s="1" t="e">
        <f t="shared" ref="B170:B187" si="39">+I170-(-R170/S170+R170)</f>
        <v>#DIV/0!</v>
      </c>
      <c r="C170" s="2" t="e">
        <f t="shared" ref="C170:C187" si="40">B170/M170</f>
        <v>#DIV/0!</v>
      </c>
      <c r="D170" s="2" t="e">
        <f t="shared" ref="D170:D187" si="41">B170/N170</f>
        <v>#DIV/0!</v>
      </c>
      <c r="E170">
        <v>232</v>
      </c>
      <c r="F170" t="s">
        <v>34</v>
      </c>
      <c r="G170" t="s">
        <v>35</v>
      </c>
      <c r="H170" s="3">
        <v>40177</v>
      </c>
    </row>
    <row r="171" spans="2:32" x14ac:dyDescent="0.25">
      <c r="B171" s="1" t="e">
        <f t="shared" si="39"/>
        <v>#DIV/0!</v>
      </c>
      <c r="C171" s="2" t="e">
        <f t="shared" si="40"/>
        <v>#DIV/0!</v>
      </c>
      <c r="D171" s="2" t="e">
        <f t="shared" si="41"/>
        <v>#DIV/0!</v>
      </c>
      <c r="E171">
        <v>233</v>
      </c>
      <c r="F171" t="s">
        <v>34</v>
      </c>
      <c r="G171" t="s">
        <v>35</v>
      </c>
      <c r="H171" s="3">
        <v>40543</v>
      </c>
      <c r="I171" s="1">
        <v>69.510000000000005</v>
      </c>
    </row>
    <row r="172" spans="2:32" x14ac:dyDescent="0.25">
      <c r="B172" s="1" t="e">
        <f t="shared" si="39"/>
        <v>#DIV/0!</v>
      </c>
      <c r="C172" s="2" t="e">
        <f t="shared" si="40"/>
        <v>#DIV/0!</v>
      </c>
      <c r="D172" s="2" t="e">
        <f t="shared" si="41"/>
        <v>#DIV/0!</v>
      </c>
      <c r="E172">
        <v>234</v>
      </c>
      <c r="F172" t="s">
        <v>34</v>
      </c>
      <c r="G172" t="s">
        <v>35</v>
      </c>
      <c r="H172" s="3">
        <v>40907</v>
      </c>
      <c r="I172" s="1">
        <v>38.39</v>
      </c>
    </row>
    <row r="173" spans="2:32" x14ac:dyDescent="0.25">
      <c r="B173" s="1" t="e">
        <f t="shared" si="39"/>
        <v>#DIV/0!</v>
      </c>
      <c r="C173" s="2" t="e">
        <f t="shared" si="40"/>
        <v>#DIV/0!</v>
      </c>
      <c r="D173" s="2" t="e">
        <f t="shared" si="41"/>
        <v>#DIV/0!</v>
      </c>
      <c r="E173">
        <v>235</v>
      </c>
      <c r="F173" t="s">
        <v>34</v>
      </c>
      <c r="G173" t="s">
        <v>35</v>
      </c>
      <c r="H173" s="3">
        <v>41274</v>
      </c>
      <c r="I173" s="1">
        <v>44.66</v>
      </c>
    </row>
    <row r="174" spans="2:32" x14ac:dyDescent="0.25">
      <c r="B174" s="1" t="e">
        <f t="shared" si="39"/>
        <v>#DIV/0!</v>
      </c>
      <c r="C174" s="2" t="e">
        <f t="shared" si="40"/>
        <v>#DIV/0!</v>
      </c>
      <c r="D174" s="2" t="e">
        <f t="shared" si="41"/>
        <v>#DIV/0!</v>
      </c>
      <c r="E174">
        <v>236</v>
      </c>
      <c r="F174" t="s">
        <v>34</v>
      </c>
      <c r="G174" t="s">
        <v>35</v>
      </c>
      <c r="H174" s="3">
        <v>41639</v>
      </c>
      <c r="I174" s="1">
        <v>49.42</v>
      </c>
    </row>
    <row r="175" spans="2:32" x14ac:dyDescent="0.25">
      <c r="B175" s="1" t="e">
        <f t="shared" si="39"/>
        <v>#DIV/0!</v>
      </c>
      <c r="C175" s="2" t="e">
        <f t="shared" si="40"/>
        <v>#DIV/0!</v>
      </c>
      <c r="D175" s="2" t="e">
        <f t="shared" si="41"/>
        <v>#DIV/0!</v>
      </c>
      <c r="E175">
        <v>237</v>
      </c>
      <c r="F175" t="s">
        <v>34</v>
      </c>
      <c r="G175" t="s">
        <v>35</v>
      </c>
      <c r="H175" s="3">
        <v>42004</v>
      </c>
      <c r="I175" s="1">
        <v>18.329999999999998</v>
      </c>
    </row>
    <row r="176" spans="2:32" x14ac:dyDescent="0.25">
      <c r="B176" s="1">
        <f t="shared" si="39"/>
        <v>9.5465921787709505</v>
      </c>
      <c r="C176" s="2" t="e">
        <f t="shared" si="40"/>
        <v>#DIV/0!</v>
      </c>
      <c r="D176" s="2" t="e">
        <f t="shared" si="41"/>
        <v>#DIV/0!</v>
      </c>
      <c r="E176">
        <v>238</v>
      </c>
      <c r="F176" t="s">
        <v>34</v>
      </c>
      <c r="G176" t="s">
        <v>35</v>
      </c>
      <c r="H176" s="3">
        <v>42369</v>
      </c>
      <c r="I176" s="1">
        <v>12.38</v>
      </c>
      <c r="L176" s="5">
        <f t="shared" ref="L176:L197" si="42">+U176*W176</f>
        <v>2.1792699999999998</v>
      </c>
      <c r="P176" s="3">
        <v>42369</v>
      </c>
      <c r="Q176" s="6">
        <v>39.83</v>
      </c>
      <c r="R176" s="1">
        <v>6.42</v>
      </c>
      <c r="S176" s="7">
        <v>1.79</v>
      </c>
      <c r="U176" s="8">
        <v>0.1138</v>
      </c>
      <c r="V176" s="9">
        <v>6.95</v>
      </c>
      <c r="W176" s="1">
        <v>19.149999999999999</v>
      </c>
      <c r="Y176" s="1">
        <f>8490/365.07</f>
        <v>23.255813953488371</v>
      </c>
      <c r="Z176" s="8">
        <f t="shared" ref="Z176:Z197" si="43">Y176/(Y176+I176)</f>
        <v>0.65259668219846767</v>
      </c>
    </row>
    <row r="177" spans="2:26" x14ac:dyDescent="0.25">
      <c r="B177" s="1">
        <f t="shared" si="39"/>
        <v>9.132978723404257</v>
      </c>
      <c r="C177" s="2">
        <f t="shared" si="40"/>
        <v>14.05073649754501</v>
      </c>
      <c r="D177" s="2">
        <f t="shared" si="41"/>
        <v>-17.232035327177844</v>
      </c>
      <c r="E177">
        <v>239</v>
      </c>
      <c r="F177" t="s">
        <v>34</v>
      </c>
      <c r="G177" t="s">
        <v>35</v>
      </c>
      <c r="H177" s="3">
        <v>42551</v>
      </c>
      <c r="I177" s="1">
        <v>11.89</v>
      </c>
      <c r="J177" s="4">
        <v>8.74</v>
      </c>
      <c r="L177" s="5">
        <f t="shared" si="42"/>
        <v>3.4569289999999997</v>
      </c>
      <c r="M177" s="1">
        <v>0.65</v>
      </c>
      <c r="N177" s="1">
        <v>-0.53</v>
      </c>
      <c r="P177" s="3">
        <v>42551</v>
      </c>
      <c r="Q177" s="6">
        <v>40.61</v>
      </c>
      <c r="R177" s="1">
        <v>5.89</v>
      </c>
      <c r="S177" s="7">
        <v>1.88</v>
      </c>
      <c r="U177" s="8">
        <v>0.24709999999999999</v>
      </c>
      <c r="V177" s="9">
        <v>5.09</v>
      </c>
      <c r="W177" s="1">
        <v>13.99</v>
      </c>
      <c r="Y177" s="1">
        <f>8220/365.2</f>
        <v>22.508214676889377</v>
      </c>
      <c r="Z177" s="8">
        <f t="shared" si="43"/>
        <v>0.65434252586404251</v>
      </c>
    </row>
    <row r="178" spans="2:26" x14ac:dyDescent="0.25">
      <c r="B178" s="1">
        <f t="shared" si="39"/>
        <v>9.956692607003891</v>
      </c>
      <c r="C178" s="2">
        <f t="shared" si="40"/>
        <v>8.5099936811999068</v>
      </c>
      <c r="D178" s="2">
        <f t="shared" si="41"/>
        <v>-26.201822650010239</v>
      </c>
      <c r="E178">
        <v>240</v>
      </c>
      <c r="F178" t="s">
        <v>34</v>
      </c>
      <c r="G178" t="s">
        <v>35</v>
      </c>
      <c r="H178" s="3">
        <v>42734</v>
      </c>
      <c r="I178" s="1">
        <v>14.74</v>
      </c>
      <c r="J178" s="4">
        <v>11.17</v>
      </c>
      <c r="L178" s="5">
        <f t="shared" si="42"/>
        <v>2.1205799999999999</v>
      </c>
      <c r="M178" s="1">
        <v>1.17</v>
      </c>
      <c r="N178" s="1">
        <v>-0.38</v>
      </c>
      <c r="P178" s="3">
        <v>42735</v>
      </c>
      <c r="Q178" s="6">
        <v>40.58</v>
      </c>
      <c r="R178" s="1">
        <v>7.83</v>
      </c>
      <c r="S178" s="7">
        <v>2.57</v>
      </c>
      <c r="U178" s="8">
        <v>0.187</v>
      </c>
      <c r="V178" s="9">
        <v>4.16</v>
      </c>
      <c r="W178" s="1">
        <v>11.34</v>
      </c>
      <c r="Y178" s="1">
        <f>8460/390.92</f>
        <v>21.641256523073775</v>
      </c>
      <c r="Z178" s="8">
        <f t="shared" si="43"/>
        <v>0.59484631899254015</v>
      </c>
    </row>
    <row r="179" spans="2:26" x14ac:dyDescent="0.25">
      <c r="B179" s="1">
        <f t="shared" si="39"/>
        <v>8.5148743718592961</v>
      </c>
      <c r="C179" s="2">
        <f t="shared" si="40"/>
        <v>-14.938376090981222</v>
      </c>
      <c r="D179" s="2">
        <f t="shared" si="41"/>
        <v>-8.3479160508424464</v>
      </c>
      <c r="E179">
        <v>241</v>
      </c>
      <c r="F179" t="s">
        <v>34</v>
      </c>
      <c r="G179" t="s">
        <v>35</v>
      </c>
      <c r="H179" s="3">
        <v>42825</v>
      </c>
      <c r="I179" s="1">
        <v>12.45</v>
      </c>
      <c r="J179" s="4">
        <v>14.09</v>
      </c>
      <c r="L179" s="5">
        <f t="shared" si="42"/>
        <v>1.697435</v>
      </c>
      <c r="M179" s="1">
        <v>-0.56999999999999995</v>
      </c>
      <c r="N179" s="1">
        <v>-1.02</v>
      </c>
      <c r="P179" s="3">
        <v>42825</v>
      </c>
      <c r="Q179" s="6">
        <v>40.58</v>
      </c>
      <c r="R179" s="1">
        <v>7.91</v>
      </c>
      <c r="S179" s="7">
        <v>1.99</v>
      </c>
      <c r="U179" s="8">
        <v>0.1759</v>
      </c>
      <c r="V179" s="9">
        <v>3.6</v>
      </c>
      <c r="W179" s="1">
        <v>9.65</v>
      </c>
      <c r="Y179" s="1">
        <f>8390/391.04</f>
        <v>21.455605564648117</v>
      </c>
      <c r="Z179" s="8">
        <f t="shared" si="43"/>
        <v>0.6328040808396278</v>
      </c>
    </row>
    <row r="180" spans="2:26" x14ac:dyDescent="0.25">
      <c r="B180" s="1">
        <f t="shared" si="39"/>
        <v>4.6409307359307359</v>
      </c>
      <c r="C180" s="2">
        <f t="shared" si="40"/>
        <v>-10.792862176583107</v>
      </c>
      <c r="D180" s="2">
        <f t="shared" si="41"/>
        <v>-4.2971580888247551</v>
      </c>
      <c r="E180">
        <v>242</v>
      </c>
      <c r="F180" t="s">
        <v>34</v>
      </c>
      <c r="G180" t="s">
        <v>35</v>
      </c>
      <c r="H180" s="3">
        <v>42916</v>
      </c>
      <c r="I180" s="1">
        <v>8.2249999999999996</v>
      </c>
      <c r="J180" s="4">
        <v>12.35</v>
      </c>
      <c r="L180" s="5">
        <f t="shared" si="42"/>
        <v>-2.9800320000000005</v>
      </c>
      <c r="M180" s="1">
        <v>-0.43</v>
      </c>
      <c r="N180" s="1">
        <v>-1.08</v>
      </c>
      <c r="P180" s="3">
        <v>42916</v>
      </c>
      <c r="Q180" s="6">
        <v>40.67</v>
      </c>
      <c r="R180" s="1">
        <v>6.32</v>
      </c>
      <c r="S180" s="7">
        <v>2.31</v>
      </c>
      <c r="U180" s="8">
        <v>-0.32640000000000002</v>
      </c>
      <c r="V180" s="9">
        <v>3.47</v>
      </c>
      <c r="W180" s="1">
        <v>9.1300000000000008</v>
      </c>
      <c r="Y180" s="1">
        <f>7390/391.04</f>
        <v>18.898322422258591</v>
      </c>
      <c r="Z180" s="8">
        <f t="shared" si="43"/>
        <v>0.69675543902946779</v>
      </c>
    </row>
    <row r="181" spans="2:26" x14ac:dyDescent="0.25">
      <c r="B181" s="1">
        <f t="shared" si="39"/>
        <v>6.7549152542372877</v>
      </c>
      <c r="C181" s="2">
        <f t="shared" si="40"/>
        <v>-45.032768361581923</v>
      </c>
      <c r="D181" s="2">
        <f t="shared" si="41"/>
        <v>-10.554555084745761</v>
      </c>
      <c r="E181">
        <v>243</v>
      </c>
      <c r="F181" t="s">
        <v>34</v>
      </c>
      <c r="G181" s="3" t="s">
        <v>35</v>
      </c>
      <c r="H181" s="3">
        <v>43007</v>
      </c>
      <c r="I181" s="1">
        <v>10.76</v>
      </c>
      <c r="J181" s="4">
        <v>10.99</v>
      </c>
      <c r="L181" s="5">
        <f t="shared" si="42"/>
        <v>-7.1716259999999998</v>
      </c>
      <c r="M181" s="1">
        <v>-0.15</v>
      </c>
      <c r="N181" s="1">
        <v>-0.64</v>
      </c>
      <c r="P181" s="3">
        <v>43008</v>
      </c>
      <c r="Q181" s="6">
        <v>32.72</v>
      </c>
      <c r="R181" s="1">
        <v>6.95</v>
      </c>
      <c r="S181" s="7">
        <v>2.36</v>
      </c>
      <c r="U181" s="8">
        <v>-0.87780000000000002</v>
      </c>
      <c r="V181" s="9">
        <v>3.16</v>
      </c>
      <c r="W181" s="1">
        <v>8.17</v>
      </c>
      <c r="Y181" s="1">
        <f>7300/391.21</f>
        <v>18.66005470207817</v>
      </c>
      <c r="Z181" s="8">
        <f t="shared" si="43"/>
        <v>0.63426308655911723</v>
      </c>
    </row>
    <row r="182" spans="2:26" x14ac:dyDescent="0.25">
      <c r="B182" s="1">
        <f t="shared" si="39"/>
        <v>6.1355952380952381</v>
      </c>
      <c r="C182" s="2">
        <f t="shared" si="40"/>
        <v>-87.651360544217681</v>
      </c>
      <c r="D182" s="2">
        <f t="shared" si="41"/>
        <v>-7.7665762507534657</v>
      </c>
      <c r="E182">
        <v>244</v>
      </c>
      <c r="F182" t="s">
        <v>34</v>
      </c>
      <c r="G182" s="3" t="s">
        <v>35</v>
      </c>
      <c r="H182" s="3">
        <v>43098</v>
      </c>
      <c r="I182" s="1">
        <v>10.68</v>
      </c>
      <c r="J182" s="4">
        <v>11.93</v>
      </c>
      <c r="L182" s="5">
        <f t="shared" si="42"/>
        <v>-7.9982290000000003</v>
      </c>
      <c r="M182" s="1">
        <v>-7.0000000000000007E-2</v>
      </c>
      <c r="N182" s="1">
        <v>-0.79</v>
      </c>
      <c r="P182" s="3">
        <v>43100</v>
      </c>
      <c r="Q182" s="6">
        <v>32.479999999999997</v>
      </c>
      <c r="R182" s="1">
        <v>6.47</v>
      </c>
      <c r="S182" s="7">
        <v>3.36</v>
      </c>
      <c r="U182" s="8">
        <v>-1.1281000000000001</v>
      </c>
      <c r="V182" s="9">
        <v>2.77</v>
      </c>
      <c r="W182" s="1">
        <v>7.09</v>
      </c>
      <c r="Y182" s="1">
        <f>7400/458.13</f>
        <v>16.152620435247638</v>
      </c>
      <c r="Z182" s="8">
        <f t="shared" si="43"/>
        <v>0.60197700311183067</v>
      </c>
    </row>
    <row r="183" spans="2:26" x14ac:dyDescent="0.25">
      <c r="B183" s="1">
        <f t="shared" si="39"/>
        <v>7.82</v>
      </c>
      <c r="C183" s="2">
        <f t="shared" si="40"/>
        <v>-12.21875</v>
      </c>
      <c r="D183" s="2">
        <f t="shared" si="41"/>
        <v>-12.819672131147541</v>
      </c>
      <c r="E183">
        <v>245</v>
      </c>
      <c r="F183" t="s">
        <v>34</v>
      </c>
      <c r="G183" s="3" t="s">
        <v>35</v>
      </c>
      <c r="H183" s="3">
        <v>43188</v>
      </c>
      <c r="I183" s="1">
        <v>9.9</v>
      </c>
      <c r="L183" s="5">
        <f t="shared" si="42"/>
        <v>-8.5062510000000007</v>
      </c>
      <c r="M183" s="1">
        <v>-0.64</v>
      </c>
      <c r="N183" s="1">
        <v>-0.61</v>
      </c>
      <c r="P183" s="3">
        <v>43189</v>
      </c>
      <c r="Q183" s="6">
        <v>29.08</v>
      </c>
      <c r="R183" s="1">
        <v>6.24</v>
      </c>
      <c r="S183" s="7">
        <v>1.5</v>
      </c>
      <c r="U183" s="8">
        <v>-1.2753000000000001</v>
      </c>
      <c r="V183" s="9">
        <v>2.69</v>
      </c>
      <c r="W183" s="1">
        <v>6.67</v>
      </c>
      <c r="Y183" s="1">
        <f>9850/461.87</f>
        <v>21.326347240565529</v>
      </c>
      <c r="Z183" s="8">
        <f t="shared" si="43"/>
        <v>0.68296003616013379</v>
      </c>
    </row>
    <row r="184" spans="2:26" x14ac:dyDescent="0.25">
      <c r="B184" s="1">
        <f t="shared" si="39"/>
        <v>11.641140939597316</v>
      </c>
      <c r="C184" s="2">
        <f t="shared" si="40"/>
        <v>-13.079933639996984</v>
      </c>
      <c r="D184" s="2">
        <f t="shared" si="41"/>
        <v>-19.083837605897241</v>
      </c>
      <c r="E184">
        <v>246</v>
      </c>
      <c r="F184" t="s">
        <v>34</v>
      </c>
      <c r="G184" s="3" t="s">
        <v>35</v>
      </c>
      <c r="H184" s="3">
        <v>43280</v>
      </c>
      <c r="I184" s="1">
        <v>13.44</v>
      </c>
      <c r="J184" s="4">
        <v>12.78</v>
      </c>
      <c r="L184" s="5">
        <f t="shared" si="42"/>
        <v>-6.832014</v>
      </c>
      <c r="M184" s="1">
        <v>-0.89</v>
      </c>
      <c r="N184" s="1">
        <v>-0.61</v>
      </c>
      <c r="P184" s="3">
        <v>43280</v>
      </c>
      <c r="Q184" s="6">
        <v>26.76</v>
      </c>
      <c r="R184" s="1">
        <v>5.47</v>
      </c>
      <c r="S184" s="7">
        <v>1.49</v>
      </c>
      <c r="U184" s="8">
        <v>-1.0383</v>
      </c>
      <c r="V184" s="9">
        <v>2.77</v>
      </c>
      <c r="W184" s="1">
        <v>6.58</v>
      </c>
      <c r="Y184" s="1">
        <f>9630/461.87</f>
        <v>20.850022733669647</v>
      </c>
      <c r="Z184" s="8">
        <f t="shared" si="43"/>
        <v>0.60804925373224805</v>
      </c>
    </row>
    <row r="185" spans="2:26" x14ac:dyDescent="0.25">
      <c r="B185" s="1">
        <f t="shared" si="39"/>
        <v>10.58012987012987</v>
      </c>
      <c r="C185" s="2">
        <f t="shared" si="40"/>
        <v>-12.747144421843217</v>
      </c>
      <c r="D185" s="2">
        <f t="shared" si="41"/>
        <v>-17.932423508694697</v>
      </c>
      <c r="E185">
        <v>247</v>
      </c>
      <c r="F185" t="s">
        <v>34</v>
      </c>
      <c r="G185" s="3" t="s">
        <v>35</v>
      </c>
      <c r="H185" s="3">
        <v>43371</v>
      </c>
      <c r="I185" s="1">
        <v>13.95</v>
      </c>
      <c r="J185" s="4">
        <v>13.9</v>
      </c>
      <c r="L185" s="5">
        <f t="shared" si="42"/>
        <v>-4.2567839999999997</v>
      </c>
      <c r="M185" s="1">
        <v>-0.83</v>
      </c>
      <c r="N185" s="1">
        <v>-0.59</v>
      </c>
      <c r="P185" s="3">
        <v>43372</v>
      </c>
      <c r="Q185" s="6">
        <v>25.9</v>
      </c>
      <c r="R185" s="1">
        <v>4.99</v>
      </c>
      <c r="S185" s="7">
        <v>3.08</v>
      </c>
      <c r="U185" s="8">
        <v>-0.64890000000000003</v>
      </c>
      <c r="V185" s="9">
        <v>2.87</v>
      </c>
      <c r="W185" s="1">
        <v>6.56</v>
      </c>
      <c r="Y185" s="1">
        <f>9330/461.91</f>
        <v>20.198740014288497</v>
      </c>
      <c r="Z185" s="8">
        <f t="shared" si="43"/>
        <v>0.59149298058543165</v>
      </c>
    </row>
    <row r="186" spans="2:26" x14ac:dyDescent="0.25">
      <c r="B186" s="1">
        <f t="shared" si="39"/>
        <v>4.7062730627306273</v>
      </c>
      <c r="C186" s="2">
        <f t="shared" si="40"/>
        <v>-6.1924645562245093</v>
      </c>
      <c r="D186" s="2">
        <f t="shared" si="41"/>
        <v>-6.9209897981332746</v>
      </c>
      <c r="E186">
        <v>248</v>
      </c>
      <c r="F186" t="s">
        <v>34</v>
      </c>
      <c r="G186" s="3" t="s">
        <v>35</v>
      </c>
      <c r="H186" s="3">
        <v>43465</v>
      </c>
      <c r="I186" s="1">
        <v>6.94</v>
      </c>
      <c r="J186" s="4">
        <v>13.29</v>
      </c>
      <c r="L186" s="5">
        <f t="shared" si="42"/>
        <v>-4.2660299999999998</v>
      </c>
      <c r="M186" s="1">
        <v>-0.76</v>
      </c>
      <c r="N186" s="1">
        <v>-0.68</v>
      </c>
      <c r="P186" s="3">
        <v>43464</v>
      </c>
      <c r="Q186" s="6">
        <v>21.5</v>
      </c>
      <c r="R186" s="1">
        <v>3.54</v>
      </c>
      <c r="S186" s="7">
        <v>2.71</v>
      </c>
      <c r="U186" s="8">
        <v>-0.66139999999999999</v>
      </c>
      <c r="V186" s="9">
        <v>3.02</v>
      </c>
      <c r="W186" s="1">
        <v>6.45</v>
      </c>
      <c r="Y186" s="1">
        <f>+9980/609.36</f>
        <v>16.377839044243139</v>
      </c>
      <c r="Z186" s="8">
        <f t="shared" si="43"/>
        <v>0.7023737925786312</v>
      </c>
    </row>
    <row r="187" spans="2:26" x14ac:dyDescent="0.25">
      <c r="B187" s="1">
        <f t="shared" si="39"/>
        <v>6.8623529411764714</v>
      </c>
      <c r="C187" s="2">
        <f t="shared" si="40"/>
        <v>-8.368723098995698</v>
      </c>
      <c r="D187" s="2">
        <f t="shared" si="41"/>
        <v>-15.59625668449198</v>
      </c>
      <c r="E187">
        <v>249</v>
      </c>
      <c r="F187" t="s">
        <v>34</v>
      </c>
      <c r="G187" s="3" t="s">
        <v>35</v>
      </c>
      <c r="H187" s="3">
        <v>43551</v>
      </c>
      <c r="I187" s="1">
        <v>8.81</v>
      </c>
      <c r="L187" s="5">
        <f t="shared" si="42"/>
        <v>-3.8285760000000004</v>
      </c>
      <c r="M187" s="1">
        <v>-0.82</v>
      </c>
      <c r="N187" s="1">
        <v>-0.44</v>
      </c>
      <c r="P187" s="3">
        <v>43554</v>
      </c>
      <c r="Q187" s="6">
        <v>21.17</v>
      </c>
      <c r="R187" s="1">
        <v>3.08</v>
      </c>
      <c r="S187" s="7">
        <v>2.72</v>
      </c>
      <c r="U187" s="8">
        <v>-0.62970000000000004</v>
      </c>
      <c r="V187" s="9">
        <v>3.11</v>
      </c>
      <c r="W187" s="1">
        <v>6.08</v>
      </c>
      <c r="Y187" s="1">
        <f>10050/616.36</f>
        <v>16.305405931598415</v>
      </c>
      <c r="Z187" s="8">
        <f t="shared" si="43"/>
        <v>0.64921928699882625</v>
      </c>
    </row>
    <row r="188" spans="2:26" x14ac:dyDescent="0.25">
      <c r="E188">
        <v>250</v>
      </c>
      <c r="F188" t="s">
        <v>34</v>
      </c>
      <c r="G188" s="3" t="s">
        <v>35</v>
      </c>
      <c r="H188" s="3">
        <v>43644</v>
      </c>
      <c r="I188" s="1">
        <v>6.41</v>
      </c>
      <c r="L188" s="5">
        <f t="shared" si="42"/>
        <v>-1.8754399999999998</v>
      </c>
      <c r="M188" s="1">
        <v>-0.97</v>
      </c>
      <c r="N188" s="1">
        <v>-0.5</v>
      </c>
      <c r="P188" s="3">
        <v>43645</v>
      </c>
      <c r="Q188" s="6">
        <v>20.84</v>
      </c>
      <c r="R188" s="1">
        <v>3.67</v>
      </c>
      <c r="S188" s="7">
        <v>2.88</v>
      </c>
      <c r="U188" s="8">
        <v>-0.33489999999999998</v>
      </c>
      <c r="V188" s="9">
        <v>3.08</v>
      </c>
      <c r="W188" s="1">
        <v>5.6</v>
      </c>
      <c r="Y188" s="1">
        <f>10350/611.63</f>
        <v>16.921995323970375</v>
      </c>
      <c r="Z188" s="8">
        <f t="shared" si="43"/>
        <v>0.72526996037005809</v>
      </c>
    </row>
    <row r="189" spans="2:26" x14ac:dyDescent="0.25">
      <c r="E189">
        <v>251</v>
      </c>
      <c r="F189" t="s">
        <v>34</v>
      </c>
      <c r="G189" s="3" t="s">
        <v>35</v>
      </c>
      <c r="H189" s="3">
        <v>43738</v>
      </c>
      <c r="I189" s="1">
        <v>4.47</v>
      </c>
      <c r="L189" s="5">
        <f t="shared" si="42"/>
        <v>-2.4652500000000002</v>
      </c>
      <c r="M189" s="1">
        <v>-1.1200000000000001</v>
      </c>
      <c r="N189" s="1">
        <v>-0.66</v>
      </c>
      <c r="P189" s="3">
        <v>43737</v>
      </c>
      <c r="Q189" s="6">
        <v>19.5</v>
      </c>
      <c r="R189" s="1">
        <v>3.12</v>
      </c>
      <c r="S189" s="7">
        <v>2.5299999999999998</v>
      </c>
      <c r="U189" s="8">
        <v>-0.47499999999999998</v>
      </c>
      <c r="V189" s="9">
        <v>3.04</v>
      </c>
      <c r="W189" s="1">
        <v>5.19</v>
      </c>
      <c r="Y189" s="1">
        <f>10000/611.86</f>
        <v>16.343608014905371</v>
      </c>
      <c r="Z189" s="8">
        <f t="shared" si="43"/>
        <v>0.78523665878597926</v>
      </c>
    </row>
    <row r="190" spans="2:26" x14ac:dyDescent="0.25">
      <c r="E190">
        <v>252</v>
      </c>
      <c r="F190" t="s">
        <v>34</v>
      </c>
      <c r="G190" s="3" t="s">
        <v>35</v>
      </c>
      <c r="H190" s="3">
        <v>43830</v>
      </c>
      <c r="I190" s="1">
        <v>6.88</v>
      </c>
      <c r="L190" s="5">
        <f t="shared" si="42"/>
        <v>-2.0523199999999999</v>
      </c>
      <c r="M190" s="1">
        <v>-1.25</v>
      </c>
      <c r="N190" s="1">
        <v>-0.77</v>
      </c>
      <c r="P190" s="3">
        <v>43829</v>
      </c>
      <c r="Q190" s="6">
        <v>19.39</v>
      </c>
      <c r="R190" s="1">
        <v>2.92</v>
      </c>
      <c r="S190" s="7">
        <v>2.11</v>
      </c>
      <c r="U190" s="8">
        <v>-0.40639999999999998</v>
      </c>
      <c r="V190" s="9">
        <v>3.09</v>
      </c>
      <c r="W190" s="1">
        <v>5.05</v>
      </c>
      <c r="Y190" s="1">
        <f>9870/611.86</f>
        <v>16.131141110711599</v>
      </c>
      <c r="Z190" s="8">
        <f t="shared" si="43"/>
        <v>0.70101439268488142</v>
      </c>
    </row>
    <row r="191" spans="2:26" x14ac:dyDescent="0.25">
      <c r="E191">
        <v>253</v>
      </c>
      <c r="F191" t="s">
        <v>34</v>
      </c>
      <c r="G191" s="3" t="s">
        <v>35</v>
      </c>
      <c r="H191" s="3">
        <v>43921</v>
      </c>
      <c r="I191" s="1">
        <v>1.1599999999999999</v>
      </c>
      <c r="J191" s="4">
        <v>4.7</v>
      </c>
      <c r="L191" s="5">
        <f t="shared" si="42"/>
        <v>-2.4098600000000001</v>
      </c>
      <c r="M191" s="1">
        <v>-0.84</v>
      </c>
      <c r="N191" s="1">
        <v>-0.66</v>
      </c>
      <c r="P191" s="3">
        <v>43921</v>
      </c>
      <c r="Q191" s="6">
        <v>18.66</v>
      </c>
      <c r="R191" s="1">
        <v>2.41</v>
      </c>
      <c r="S191" s="7">
        <v>2.0699999999999998</v>
      </c>
      <c r="U191" s="8">
        <v>-0.47720000000000001</v>
      </c>
      <c r="V191" s="9">
        <v>3.09</v>
      </c>
      <c r="W191" s="1">
        <v>5.05</v>
      </c>
      <c r="Y191" s="1">
        <f>9160/639.67</f>
        <v>14.319883690027671</v>
      </c>
      <c r="Z191" s="8">
        <f t="shared" si="43"/>
        <v>0.92506403644703827</v>
      </c>
    </row>
    <row r="192" spans="2:26" x14ac:dyDescent="0.25">
      <c r="E192">
        <v>254</v>
      </c>
      <c r="F192" t="s">
        <v>34</v>
      </c>
      <c r="G192" s="3" t="s">
        <v>35</v>
      </c>
      <c r="H192" s="3">
        <v>44012</v>
      </c>
      <c r="I192" s="1">
        <v>1.83</v>
      </c>
      <c r="J192" s="4">
        <v>2.78</v>
      </c>
      <c r="L192" s="5">
        <f t="shared" si="42"/>
        <v>2.8759920000000001</v>
      </c>
      <c r="M192" s="1">
        <v>-0.99</v>
      </c>
      <c r="N192" s="1">
        <v>-1.1499999999999999</v>
      </c>
      <c r="P192" s="3">
        <v>47299</v>
      </c>
      <c r="Q192" s="6">
        <v>17.87</v>
      </c>
      <c r="R192" s="1">
        <v>2.46</v>
      </c>
      <c r="S192" s="7">
        <v>2.0699999999999998</v>
      </c>
      <c r="U192" s="8">
        <v>0.54059999999999997</v>
      </c>
      <c r="V192" s="9">
        <v>3.26</v>
      </c>
      <c r="W192" s="1">
        <v>5.32</v>
      </c>
      <c r="Y192" s="1">
        <f>9060/614.61</f>
        <v>14.741055303363108</v>
      </c>
      <c r="Z192" s="8">
        <f t="shared" si="43"/>
        <v>0.88956647802457089</v>
      </c>
    </row>
    <row r="193" spans="2:32" x14ac:dyDescent="0.25">
      <c r="E193">
        <v>255</v>
      </c>
      <c r="F193" t="s">
        <v>34</v>
      </c>
      <c r="G193" s="3" t="s">
        <v>35</v>
      </c>
      <c r="H193" s="3">
        <v>44104</v>
      </c>
      <c r="I193" s="1">
        <v>0.80689999999999995</v>
      </c>
      <c r="L193" s="5">
        <f t="shared" si="42"/>
        <v>-0.94604999999999995</v>
      </c>
      <c r="M193" s="1">
        <v>-0.85</v>
      </c>
      <c r="N193" s="1">
        <v>-1.0900000000000001</v>
      </c>
      <c r="P193" s="3">
        <v>44104</v>
      </c>
      <c r="Q193" s="6">
        <v>18.54</v>
      </c>
      <c r="R193" s="1">
        <v>2.25</v>
      </c>
      <c r="S193" s="7">
        <v>2.0499999999999998</v>
      </c>
      <c r="U193" s="8">
        <v>-0.17849999999999999</v>
      </c>
      <c r="V193" s="9">
        <v>3.25</v>
      </c>
      <c r="W193" s="1">
        <v>5.3</v>
      </c>
      <c r="Y193" s="1">
        <f>8430/614.61</f>
        <v>13.716015033923952</v>
      </c>
      <c r="Z193" s="8">
        <f t="shared" si="43"/>
        <v>0.94443952897092842</v>
      </c>
      <c r="AB193" s="1">
        <f>267/614.61</f>
        <v>0.43442182847659488</v>
      </c>
      <c r="AC193" s="1">
        <f>322.62/614.61</f>
        <v>0.52491824083565186</v>
      </c>
    </row>
    <row r="194" spans="2:32" x14ac:dyDescent="0.25">
      <c r="E194">
        <v>256</v>
      </c>
      <c r="F194" t="s">
        <v>34</v>
      </c>
      <c r="G194" s="3" t="s">
        <v>35</v>
      </c>
      <c r="H194" s="3">
        <v>44196</v>
      </c>
      <c r="I194" s="1">
        <v>2.31</v>
      </c>
      <c r="J194" s="4">
        <v>2.19</v>
      </c>
      <c r="L194" s="5">
        <f t="shared" si="42"/>
        <v>-0.92108800000000002</v>
      </c>
      <c r="M194" s="1">
        <v>-0.66</v>
      </c>
      <c r="N194" s="1">
        <v>-0.67</v>
      </c>
      <c r="P194" s="3">
        <v>44196</v>
      </c>
      <c r="Q194" s="6">
        <v>18.579999999999998</v>
      </c>
      <c r="R194" s="1">
        <v>1.87</v>
      </c>
      <c r="S194" s="7">
        <v>1.98</v>
      </c>
      <c r="U194" s="8">
        <v>-0.1799</v>
      </c>
      <c r="V194" s="9">
        <v>3.15</v>
      </c>
      <c r="W194" s="1">
        <v>5.12</v>
      </c>
      <c r="Y194" s="1">
        <f>8370/616.03</f>
        <v>13.587000633086051</v>
      </c>
      <c r="Z194" s="8">
        <f t="shared" si="43"/>
        <v>0.85468956985557065</v>
      </c>
      <c r="AB194" s="1">
        <f>398/616.03</f>
        <v>0.64607243153742511</v>
      </c>
      <c r="AC194" s="1">
        <f>552.75/616.03</f>
        <v>0.89727772998068278</v>
      </c>
    </row>
    <row r="195" spans="2:32" x14ac:dyDescent="0.25">
      <c r="E195">
        <v>257</v>
      </c>
      <c r="F195" t="s">
        <v>34</v>
      </c>
      <c r="G195" s="3" t="s">
        <v>35</v>
      </c>
      <c r="H195" s="3">
        <v>44286</v>
      </c>
      <c r="I195" s="1">
        <v>3.55</v>
      </c>
      <c r="J195" s="4">
        <v>2.77</v>
      </c>
      <c r="L195" s="5">
        <f t="shared" si="42"/>
        <v>-0.44500499999999998</v>
      </c>
      <c r="M195" s="1">
        <v>-0.59</v>
      </c>
      <c r="N195" s="1">
        <v>-0.7</v>
      </c>
      <c r="P195" s="3">
        <v>44286</v>
      </c>
      <c r="Q195" s="6">
        <v>18.36</v>
      </c>
      <c r="R195" s="1">
        <v>1.73</v>
      </c>
      <c r="S195" s="7">
        <v>1.96</v>
      </c>
      <c r="U195" s="8">
        <v>-8.9899999999999994E-2</v>
      </c>
      <c r="V195" s="9">
        <v>3.05</v>
      </c>
      <c r="W195" s="1">
        <v>4.95</v>
      </c>
      <c r="Y195" s="1">
        <f>7620/617.3</f>
        <v>12.344079053944599</v>
      </c>
      <c r="Z195" s="8">
        <f t="shared" si="43"/>
        <v>0.7766463858678897</v>
      </c>
      <c r="AB195" s="1">
        <f>542/617.3</f>
        <v>0.87801717155353964</v>
      </c>
      <c r="AC195" s="1">
        <f>726.5/617.3</f>
        <v>1.1768994006155842</v>
      </c>
    </row>
    <row r="196" spans="2:32" x14ac:dyDescent="0.25">
      <c r="E196">
        <v>258</v>
      </c>
      <c r="F196" t="s">
        <v>34</v>
      </c>
      <c r="G196" s="3" t="s">
        <v>35</v>
      </c>
      <c r="H196" s="3">
        <v>44377</v>
      </c>
      <c r="I196" s="1">
        <v>4.5199999999999996</v>
      </c>
      <c r="J196" s="4">
        <v>2.5</v>
      </c>
      <c r="L196" s="5">
        <f t="shared" si="42"/>
        <v>0.19441700000000001</v>
      </c>
      <c r="M196" s="1">
        <v>-0.61</v>
      </c>
      <c r="N196" s="1">
        <v>-0.74</v>
      </c>
      <c r="P196" s="3">
        <v>44377</v>
      </c>
      <c r="Q196" s="6">
        <v>17.82</v>
      </c>
      <c r="R196" s="1">
        <v>1.52</v>
      </c>
      <c r="S196" s="7">
        <v>1.99</v>
      </c>
      <c r="U196" s="8">
        <v>4.3299999999999998E-2</v>
      </c>
      <c r="V196" s="9">
        <v>2.77</v>
      </c>
      <c r="W196" s="1">
        <v>4.49</v>
      </c>
      <c r="Y196" s="1">
        <f>7530/651.14</f>
        <v>11.56433332309488</v>
      </c>
      <c r="Z196" s="8">
        <f t="shared" si="43"/>
        <v>0.71898120306236724</v>
      </c>
      <c r="AB196" s="1">
        <f>608/651.14</f>
        <v>0.93374696685812575</v>
      </c>
      <c r="AC196" s="1">
        <f>470.5/651.14</f>
        <v>0.72257886168873053</v>
      </c>
    </row>
    <row r="197" spans="2:32" x14ac:dyDescent="0.25">
      <c r="E197">
        <v>259</v>
      </c>
      <c r="F197" t="s">
        <v>34</v>
      </c>
      <c r="G197" s="3" t="s">
        <v>35</v>
      </c>
      <c r="H197" s="3">
        <v>44469</v>
      </c>
      <c r="I197" s="1">
        <v>3.79</v>
      </c>
      <c r="J197" s="28">
        <v>2.56</v>
      </c>
      <c r="L197" s="5">
        <f t="shared" si="42"/>
        <v>-0.58911400000000003</v>
      </c>
      <c r="M197" s="1">
        <v>-0.75</v>
      </c>
      <c r="N197" s="1">
        <v>-0.75</v>
      </c>
      <c r="P197" s="3">
        <v>44469</v>
      </c>
      <c r="Q197" s="6">
        <v>17.3</v>
      </c>
      <c r="R197" s="1">
        <v>1.37</v>
      </c>
      <c r="S197" s="7">
        <v>1.91</v>
      </c>
      <c r="U197" s="8">
        <v>-0.1406</v>
      </c>
      <c r="V197" s="9">
        <v>2.62</v>
      </c>
      <c r="W197" s="1">
        <v>4.1900000000000004</v>
      </c>
      <c r="Y197" s="1">
        <f>7350/655.51</f>
        <v>11.212643590486797</v>
      </c>
      <c r="Z197" s="8">
        <f t="shared" si="43"/>
        <v>0.74737785529989886</v>
      </c>
      <c r="AB197" s="1">
        <f>668/655.51</f>
        <v>1.0190538664551265</v>
      </c>
      <c r="AC197" s="1">
        <f>533.75/655.51</f>
        <v>0.81425149883296977</v>
      </c>
    </row>
    <row r="198" spans="2:32" x14ac:dyDescent="0.25">
      <c r="E198">
        <v>260</v>
      </c>
      <c r="F198" t="s">
        <v>34</v>
      </c>
      <c r="G198" s="3" t="s">
        <v>35</v>
      </c>
      <c r="H198" s="3">
        <f>VLOOKUP(G198,oil,3,FALSE)</f>
        <v>44519</v>
      </c>
      <c r="I198" s="1">
        <f>VLOOKUP(G198,oil,2,FALSE)</f>
        <v>2.98</v>
      </c>
    </row>
    <row r="199" spans="2:32" x14ac:dyDescent="0.25">
      <c r="E199">
        <v>261</v>
      </c>
      <c r="F199" t="s">
        <v>34</v>
      </c>
      <c r="G199" s="3" t="s">
        <v>35</v>
      </c>
      <c r="H199" s="3">
        <v>44651</v>
      </c>
    </row>
    <row r="200" spans="2:32" x14ac:dyDescent="0.25">
      <c r="E200">
        <v>262</v>
      </c>
      <c r="F200" t="s">
        <v>34</v>
      </c>
      <c r="G200" s="3" t="s">
        <v>35</v>
      </c>
      <c r="H200" s="3">
        <v>44742</v>
      </c>
    </row>
    <row r="201" spans="2:32" x14ac:dyDescent="0.25">
      <c r="E201">
        <v>263</v>
      </c>
      <c r="F201" t="s">
        <v>34</v>
      </c>
      <c r="G201" s="3" t="s">
        <v>35</v>
      </c>
      <c r="H201" s="3">
        <v>44834</v>
      </c>
    </row>
    <row r="202" spans="2:32" s="15" customFormat="1" x14ac:dyDescent="0.25">
      <c r="B202" s="16"/>
      <c r="C202" s="17"/>
      <c r="E202" s="15">
        <v>264</v>
      </c>
      <c r="F202" s="15" t="s">
        <v>34</v>
      </c>
      <c r="G202" s="18" t="s">
        <v>35</v>
      </c>
      <c r="H202" s="18">
        <v>44926</v>
      </c>
      <c r="I202" s="16"/>
      <c r="J202" s="19"/>
      <c r="L202" s="20"/>
      <c r="M202" s="16"/>
      <c r="N202" s="16"/>
      <c r="P202" s="18"/>
      <c r="Q202" s="21"/>
      <c r="R202" s="16"/>
      <c r="S202" s="22"/>
      <c r="U202" s="23"/>
      <c r="V202" s="24"/>
      <c r="W202" s="16"/>
      <c r="Y202" s="16"/>
      <c r="Z202" s="23"/>
      <c r="AA202" s="23"/>
      <c r="AB202" s="16"/>
      <c r="AC202" s="16"/>
      <c r="AE202" s="16"/>
      <c r="AF202" s="25"/>
    </row>
    <row r="203" spans="2:32" x14ac:dyDescent="0.25">
      <c r="B203" s="1" t="e">
        <f t="shared" ref="B203:B215" si="44">+I203-(-R203/S203+R203)</f>
        <v>#DIV/0!</v>
      </c>
      <c r="C203" s="2" t="e">
        <f t="shared" ref="C203:C215" si="45">B203/M203</f>
        <v>#DIV/0!</v>
      </c>
      <c r="D203" s="2" t="e">
        <f t="shared" ref="D203:D215" si="46">B203/N203</f>
        <v>#DIV/0!</v>
      </c>
      <c r="E203">
        <v>265</v>
      </c>
      <c r="F203" t="s">
        <v>36</v>
      </c>
      <c r="G203" s="3" t="s">
        <v>37</v>
      </c>
      <c r="H203" s="3">
        <v>40178</v>
      </c>
      <c r="I203" s="1">
        <v>49.85</v>
      </c>
    </row>
    <row r="204" spans="2:32" x14ac:dyDescent="0.25">
      <c r="B204" s="1" t="e">
        <f t="shared" si="44"/>
        <v>#DIV/0!</v>
      </c>
      <c r="C204" s="2" t="e">
        <f t="shared" si="45"/>
        <v>#DIV/0!</v>
      </c>
      <c r="D204" s="2" t="e">
        <f t="shared" si="46"/>
        <v>#DIV/0!</v>
      </c>
      <c r="E204">
        <v>266</v>
      </c>
      <c r="F204" t="s">
        <v>36</v>
      </c>
      <c r="G204" s="3" t="s">
        <v>37</v>
      </c>
      <c r="H204" s="3">
        <v>40543</v>
      </c>
      <c r="I204" s="1">
        <v>44.98</v>
      </c>
    </row>
    <row r="205" spans="2:32" x14ac:dyDescent="0.25">
      <c r="B205" s="1" t="e">
        <f t="shared" si="44"/>
        <v>#DIV/0!</v>
      </c>
      <c r="C205" s="2" t="e">
        <f t="shared" si="45"/>
        <v>#DIV/0!</v>
      </c>
      <c r="D205" s="2" t="e">
        <f t="shared" si="46"/>
        <v>#DIV/0!</v>
      </c>
      <c r="E205">
        <v>267</v>
      </c>
      <c r="F205" t="s">
        <v>36</v>
      </c>
      <c r="G205" s="3" t="s">
        <v>37</v>
      </c>
      <c r="H205" s="3">
        <v>40907</v>
      </c>
      <c r="I205" s="1">
        <v>61.94</v>
      </c>
    </row>
    <row r="206" spans="2:32" x14ac:dyDescent="0.25">
      <c r="B206" s="1" t="e">
        <f t="shared" si="44"/>
        <v>#DIV/0!</v>
      </c>
      <c r="C206" s="2" t="e">
        <f t="shared" si="45"/>
        <v>#DIV/0!</v>
      </c>
      <c r="D206" s="2" t="e">
        <f t="shared" si="46"/>
        <v>#DIV/0!</v>
      </c>
      <c r="E206">
        <v>268</v>
      </c>
      <c r="F206" t="s">
        <v>36</v>
      </c>
      <c r="G206" s="3" t="s">
        <v>37</v>
      </c>
      <c r="H206" s="3">
        <v>41274</v>
      </c>
      <c r="I206" s="1">
        <v>62.83</v>
      </c>
    </row>
    <row r="207" spans="2:32" x14ac:dyDescent="0.25">
      <c r="B207" s="1" t="e">
        <f t="shared" si="44"/>
        <v>#DIV/0!</v>
      </c>
      <c r="C207" s="2" t="e">
        <f t="shared" si="45"/>
        <v>#DIV/0!</v>
      </c>
      <c r="D207" s="2" t="e">
        <f t="shared" si="46"/>
        <v>#DIV/0!</v>
      </c>
      <c r="E207">
        <v>269</v>
      </c>
      <c r="F207" t="s">
        <v>36</v>
      </c>
      <c r="G207" s="3" t="s">
        <v>37</v>
      </c>
      <c r="H207" s="3">
        <v>41639</v>
      </c>
      <c r="I207" s="1">
        <v>84.31</v>
      </c>
    </row>
    <row r="208" spans="2:32" x14ac:dyDescent="0.25">
      <c r="B208" s="1" t="e">
        <f t="shared" si="44"/>
        <v>#DIV/0!</v>
      </c>
      <c r="C208" s="2" t="e">
        <f t="shared" si="45"/>
        <v>#DIV/0!</v>
      </c>
      <c r="D208" s="2" t="e">
        <f t="shared" si="46"/>
        <v>#DIV/0!</v>
      </c>
      <c r="E208">
        <v>270</v>
      </c>
      <c r="F208" t="s">
        <v>36</v>
      </c>
      <c r="G208" s="3" t="s">
        <v>37</v>
      </c>
      <c r="H208" s="3">
        <v>42004</v>
      </c>
      <c r="I208" s="1">
        <v>53.45</v>
      </c>
    </row>
    <row r="209" spans="2:32" x14ac:dyDescent="0.25">
      <c r="B209" s="1" t="e">
        <f t="shared" si="44"/>
        <v>#DIV/0!</v>
      </c>
      <c r="C209" s="2" t="e">
        <f t="shared" si="45"/>
        <v>#DIV/0!</v>
      </c>
      <c r="D209" s="2" t="e">
        <f t="shared" si="46"/>
        <v>#DIV/0!</v>
      </c>
      <c r="E209">
        <v>271</v>
      </c>
      <c r="F209" t="s">
        <v>36</v>
      </c>
      <c r="G209" s="3" t="s">
        <v>37</v>
      </c>
      <c r="H209" s="3">
        <v>42369</v>
      </c>
      <c r="I209" s="1">
        <v>24.61</v>
      </c>
    </row>
    <row r="210" spans="2:32" x14ac:dyDescent="0.25">
      <c r="B210" s="1">
        <f t="shared" si="44"/>
        <v>43.14</v>
      </c>
      <c r="C210" s="2">
        <f t="shared" si="45"/>
        <v>-84.588235294117652</v>
      </c>
      <c r="D210" s="2">
        <f t="shared" si="46"/>
        <v>-187.56521739130434</v>
      </c>
      <c r="E210">
        <v>272</v>
      </c>
      <c r="F210" t="s">
        <v>36</v>
      </c>
      <c r="G210" s="3" t="s">
        <v>37</v>
      </c>
      <c r="H210" s="3">
        <v>42551</v>
      </c>
      <c r="I210" s="1">
        <v>43.14</v>
      </c>
      <c r="J210" s="4">
        <v>46.34</v>
      </c>
      <c r="L210" s="5">
        <f t="shared" ref="L210:L215" si="47">+U210*W210</f>
        <v>-5.6378240000000002</v>
      </c>
      <c r="M210" s="1">
        <v>-0.51</v>
      </c>
      <c r="N210" s="1">
        <v>-0.23</v>
      </c>
      <c r="P210" s="3">
        <v>42551</v>
      </c>
      <c r="Q210" s="6">
        <v>14.79</v>
      </c>
      <c r="R210" s="1">
        <v>0</v>
      </c>
      <c r="S210" s="7">
        <v>0.43</v>
      </c>
      <c r="U210" s="8">
        <v>-0.87680000000000002</v>
      </c>
      <c r="V210" s="9">
        <v>1.07</v>
      </c>
      <c r="W210" s="1">
        <v>6.43</v>
      </c>
      <c r="Y210" s="1">
        <f>2570/166.69</f>
        <v>15.417841502189694</v>
      </c>
      <c r="Z210" s="8">
        <f t="shared" ref="Z210:Z230" si="48">Y210/(Y210+I210)</f>
        <v>0.26329251739262216</v>
      </c>
      <c r="AE210" s="1">
        <v>0.08</v>
      </c>
      <c r="AF210" s="10">
        <f t="shared" ref="AF210:AF223" si="49">AE210/I210</f>
        <v>1.8544274455261937E-3</v>
      </c>
    </row>
    <row r="211" spans="2:32" x14ac:dyDescent="0.25">
      <c r="B211" s="1">
        <f t="shared" si="44"/>
        <v>34.36</v>
      </c>
      <c r="C211" s="2">
        <f t="shared" si="45"/>
        <v>-190.88888888888889</v>
      </c>
      <c r="D211" s="2">
        <f t="shared" si="46"/>
        <v>70.122448979591837</v>
      </c>
      <c r="E211">
        <v>273</v>
      </c>
      <c r="F211" t="s">
        <v>36</v>
      </c>
      <c r="G211" s="3" t="s">
        <v>37</v>
      </c>
      <c r="H211" s="3">
        <v>42734</v>
      </c>
      <c r="I211" s="1">
        <v>34.36</v>
      </c>
      <c r="J211" s="4">
        <v>47.69</v>
      </c>
      <c r="L211" s="5">
        <f t="shared" si="47"/>
        <v>-2.7461099999999998</v>
      </c>
      <c r="M211" s="1">
        <v>-0.18</v>
      </c>
      <c r="N211" s="1">
        <v>0.49</v>
      </c>
      <c r="P211" s="3">
        <v>42735</v>
      </c>
      <c r="Q211" s="6">
        <v>22.16</v>
      </c>
      <c r="R211" s="1">
        <v>0</v>
      </c>
      <c r="S211" s="7">
        <v>0.4</v>
      </c>
      <c r="U211" s="8">
        <v>-0.38300000000000001</v>
      </c>
      <c r="V211" s="9">
        <v>1.36</v>
      </c>
      <c r="W211" s="1">
        <v>7.17</v>
      </c>
      <c r="Y211" s="1">
        <f>3770/244.36</f>
        <v>15.428056965133409</v>
      </c>
      <c r="Z211" s="8">
        <f t="shared" si="48"/>
        <v>0.30987465479799065</v>
      </c>
      <c r="AE211" s="1">
        <v>0.08</v>
      </c>
      <c r="AF211" s="10">
        <f t="shared" si="49"/>
        <v>2.3282887077997671E-3</v>
      </c>
    </row>
    <row r="212" spans="2:32" x14ac:dyDescent="0.25">
      <c r="B212" s="1">
        <f t="shared" si="44"/>
        <v>29.1</v>
      </c>
      <c r="C212" s="2">
        <f t="shared" si="45"/>
        <v>38.800000000000004</v>
      </c>
      <c r="D212" s="2">
        <f t="shared" si="46"/>
        <v>25.982142857142858</v>
      </c>
      <c r="E212">
        <v>274</v>
      </c>
      <c r="F212" t="s">
        <v>36</v>
      </c>
      <c r="G212" s="3" t="s">
        <v>37</v>
      </c>
      <c r="H212" s="3">
        <v>42825</v>
      </c>
      <c r="I212" s="1">
        <v>29.1</v>
      </c>
      <c r="J212" s="4">
        <v>44.44</v>
      </c>
      <c r="L212" s="5">
        <f t="shared" si="47"/>
        <v>-1.2307399999999999</v>
      </c>
      <c r="M212" s="1">
        <v>0.75</v>
      </c>
      <c r="N212" s="1">
        <v>1.1200000000000001</v>
      </c>
      <c r="P212" s="3">
        <v>42825</v>
      </c>
      <c r="Q212" s="6">
        <v>22.93</v>
      </c>
      <c r="R212" s="1">
        <v>0</v>
      </c>
      <c r="S212" s="7">
        <v>0.47</v>
      </c>
      <c r="U212" s="8">
        <v>-0.14899999999999999</v>
      </c>
      <c r="V212" s="9">
        <v>1.73</v>
      </c>
      <c r="W212" s="1">
        <v>8.26</v>
      </c>
      <c r="Y212" s="1">
        <f>3740/243.44</f>
        <v>15.363128491620111</v>
      </c>
      <c r="Z212" s="8">
        <f t="shared" si="48"/>
        <v>0.34552513538303031</v>
      </c>
      <c r="AE212" s="1">
        <v>0.08</v>
      </c>
      <c r="AF212" s="10">
        <f t="shared" si="49"/>
        <v>2.7491408934707902E-3</v>
      </c>
    </row>
    <row r="213" spans="2:32" x14ac:dyDescent="0.25">
      <c r="B213" s="1">
        <f t="shared" si="44"/>
        <v>23.17</v>
      </c>
      <c r="C213" s="2">
        <f t="shared" si="45"/>
        <v>30.893333333333334</v>
      </c>
      <c r="D213" s="2">
        <f t="shared" si="46"/>
        <v>21.256880733944953</v>
      </c>
      <c r="E213">
        <v>275</v>
      </c>
      <c r="F213" t="s">
        <v>36</v>
      </c>
      <c r="G213" s="3" t="s">
        <v>37</v>
      </c>
      <c r="H213" s="3">
        <v>42916</v>
      </c>
      <c r="I213" s="1">
        <v>23.17</v>
      </c>
      <c r="J213" s="4">
        <v>40.31</v>
      </c>
      <c r="L213" s="5">
        <f t="shared" si="47"/>
        <v>0.16195499999999999</v>
      </c>
      <c r="M213" s="1">
        <v>0.75</v>
      </c>
      <c r="N213" s="1">
        <v>1.0900000000000001</v>
      </c>
      <c r="P213" s="3">
        <v>42916</v>
      </c>
      <c r="Q213" s="6">
        <v>22.93</v>
      </c>
      <c r="R213" s="1">
        <v>0</v>
      </c>
      <c r="S213" s="7">
        <v>0.6</v>
      </c>
      <c r="U213" s="8">
        <v>1.83E-2</v>
      </c>
      <c r="V213" s="9">
        <v>2.0299999999999998</v>
      </c>
      <c r="W213" s="1">
        <v>8.85</v>
      </c>
      <c r="Y213" s="1">
        <f>3850/244.03</f>
        <v>15.776748760398311</v>
      </c>
      <c r="Z213" s="8">
        <f t="shared" si="48"/>
        <v>0.40508512937645685</v>
      </c>
      <c r="AE213" s="1">
        <v>0.08</v>
      </c>
      <c r="AF213" s="10">
        <f t="shared" si="49"/>
        <v>3.4527406128614588E-3</v>
      </c>
    </row>
    <row r="214" spans="2:32" x14ac:dyDescent="0.25">
      <c r="B214" s="1">
        <f t="shared" si="44"/>
        <v>19.57</v>
      </c>
      <c r="C214" s="2">
        <f t="shared" si="45"/>
        <v>39.14</v>
      </c>
      <c r="D214" s="2">
        <f t="shared" si="46"/>
        <v>29.208955223880597</v>
      </c>
      <c r="E214">
        <v>276</v>
      </c>
      <c r="F214" t="s">
        <v>36</v>
      </c>
      <c r="G214" s="3" t="s">
        <v>37</v>
      </c>
      <c r="H214" s="3">
        <v>43007</v>
      </c>
      <c r="I214" s="1">
        <v>19.57</v>
      </c>
      <c r="J214" s="4">
        <v>29.67</v>
      </c>
      <c r="L214" s="5">
        <f t="shared" si="47"/>
        <v>-0.198989</v>
      </c>
      <c r="M214" s="1">
        <v>0.5</v>
      </c>
      <c r="N214" s="1">
        <v>0.67</v>
      </c>
      <c r="P214" s="3">
        <v>43008</v>
      </c>
      <c r="Q214" s="6">
        <v>22.67</v>
      </c>
      <c r="R214" s="1">
        <v>0</v>
      </c>
      <c r="S214" s="7">
        <v>0.5</v>
      </c>
      <c r="U214" s="8">
        <v>-2.1700000000000001E-2</v>
      </c>
      <c r="V214" s="9">
        <v>2.25</v>
      </c>
      <c r="W214" s="1">
        <v>9.17</v>
      </c>
      <c r="Y214" s="1">
        <f>3980/244.21</f>
        <v>16.297448916915769</v>
      </c>
      <c r="Z214" s="8">
        <f t="shared" si="48"/>
        <v>0.45437992968687502</v>
      </c>
      <c r="AE214" s="1">
        <v>0.08</v>
      </c>
      <c r="AF214" s="10">
        <f t="shared" si="49"/>
        <v>4.087889626980072E-3</v>
      </c>
    </row>
    <row r="215" spans="2:32" x14ac:dyDescent="0.25">
      <c r="B215" s="1">
        <f t="shared" si="44"/>
        <v>17.059999999999999</v>
      </c>
      <c r="C215" s="2">
        <f t="shared" si="45"/>
        <v>33.450980392156858</v>
      </c>
      <c r="D215" s="2">
        <f t="shared" si="46"/>
        <v>25.462686567164177</v>
      </c>
      <c r="E215">
        <v>277</v>
      </c>
      <c r="F215" t="s">
        <v>36</v>
      </c>
      <c r="G215" s="3" t="s">
        <v>37</v>
      </c>
      <c r="H215" s="3">
        <v>43098</v>
      </c>
      <c r="I215" s="1">
        <v>17.059999999999999</v>
      </c>
      <c r="J215" s="4">
        <v>28.53</v>
      </c>
      <c r="L215" s="5">
        <f t="shared" si="47"/>
        <v>1.3594200000000001</v>
      </c>
      <c r="M215" s="1">
        <v>0.51</v>
      </c>
      <c r="N215" s="1">
        <v>0.67</v>
      </c>
      <c r="P215" s="3">
        <v>43100</v>
      </c>
      <c r="Q215" s="6">
        <v>23.63</v>
      </c>
      <c r="R215" s="1">
        <v>0</v>
      </c>
      <c r="S215" s="7">
        <v>0.56999999999999995</v>
      </c>
      <c r="U215" s="8">
        <v>0.13900000000000001</v>
      </c>
      <c r="V215" s="9">
        <v>2.4</v>
      </c>
      <c r="W215" s="1">
        <v>9.7799999999999994</v>
      </c>
      <c r="Y215" s="1">
        <f>4110/244.79</f>
        <v>16.78990154826586</v>
      </c>
      <c r="Z215" s="8">
        <f t="shared" si="48"/>
        <v>0.49601035099985424</v>
      </c>
      <c r="AE215" s="1">
        <v>0.08</v>
      </c>
      <c r="AF215" s="10">
        <f t="shared" si="49"/>
        <v>4.6893317702227438E-3</v>
      </c>
    </row>
    <row r="216" spans="2:32" x14ac:dyDescent="0.25">
      <c r="E216">
        <v>278</v>
      </c>
      <c r="F216" t="s">
        <v>36</v>
      </c>
      <c r="G216" s="3" t="s">
        <v>37</v>
      </c>
      <c r="H216" s="3">
        <v>43188</v>
      </c>
      <c r="I216" s="1">
        <v>14.54</v>
      </c>
      <c r="M216" s="1">
        <v>1.01</v>
      </c>
      <c r="N216" s="1">
        <v>1.1399999999999999</v>
      </c>
      <c r="Z216" s="8">
        <f t="shared" si="48"/>
        <v>0</v>
      </c>
      <c r="AE216" s="1">
        <v>0.08</v>
      </c>
      <c r="AF216" s="10">
        <f t="shared" si="49"/>
        <v>5.5020632737276479E-3</v>
      </c>
    </row>
    <row r="217" spans="2:32" x14ac:dyDescent="0.25">
      <c r="B217" s="1">
        <f t="shared" ref="B217:B230" si="50">+I217-(-R217/S217+R217)</f>
        <v>16.73</v>
      </c>
      <c r="C217" s="2">
        <f t="shared" ref="C217:C230" si="51">B217/M217</f>
        <v>17.989247311827956</v>
      </c>
      <c r="D217" s="2">
        <f t="shared" ref="D217:D230" si="52">B217/N217</f>
        <v>18.184782608695652</v>
      </c>
      <c r="E217">
        <v>279</v>
      </c>
      <c r="F217" t="s">
        <v>36</v>
      </c>
      <c r="G217" s="3" t="s">
        <v>37</v>
      </c>
      <c r="H217" s="3">
        <v>43280</v>
      </c>
      <c r="I217" s="1">
        <v>16.73</v>
      </c>
      <c r="J217" s="4">
        <v>21.3</v>
      </c>
      <c r="L217" s="5">
        <f t="shared" ref="L217:L230" si="53">+U217*W217</f>
        <v>0.25668000000000002</v>
      </c>
      <c r="M217" s="1">
        <v>0.93</v>
      </c>
      <c r="N217" s="1">
        <v>0.92</v>
      </c>
      <c r="P217" s="3">
        <v>43280</v>
      </c>
      <c r="Q217" s="6">
        <v>23.59</v>
      </c>
      <c r="R217" s="1">
        <v>0</v>
      </c>
      <c r="S217" s="7">
        <v>0.52</v>
      </c>
      <c r="U217" s="8">
        <v>2.3E-2</v>
      </c>
      <c r="V217" s="9">
        <v>2.74</v>
      </c>
      <c r="W217" s="1">
        <v>11.16</v>
      </c>
      <c r="Y217" s="1">
        <f>4210/244.37</f>
        <v>17.227973973892048</v>
      </c>
      <c r="Z217" s="8">
        <f t="shared" si="48"/>
        <v>0.50733220972303739</v>
      </c>
      <c r="AE217" s="1">
        <v>0.08</v>
      </c>
      <c r="AF217" s="10">
        <f t="shared" si="49"/>
        <v>4.781829049611476E-3</v>
      </c>
    </row>
    <row r="218" spans="2:32" x14ac:dyDescent="0.25">
      <c r="B218" s="1">
        <f t="shared" si="50"/>
        <v>16.989999999999998</v>
      </c>
      <c r="C218" s="2">
        <f t="shared" si="51"/>
        <v>16.33653846153846</v>
      </c>
      <c r="D218" s="2">
        <f t="shared" si="52"/>
        <v>16.49514563106796</v>
      </c>
      <c r="E218">
        <v>280</v>
      </c>
      <c r="F218" t="s">
        <v>36</v>
      </c>
      <c r="G218" s="3" t="s">
        <v>37</v>
      </c>
      <c r="H218" s="3">
        <v>43371</v>
      </c>
      <c r="I218" s="1">
        <v>16.989999999999998</v>
      </c>
      <c r="J218" s="4">
        <v>20.83</v>
      </c>
      <c r="L218" s="5">
        <f t="shared" si="53"/>
        <v>0.97301099999999996</v>
      </c>
      <c r="M218" s="1">
        <v>1.04</v>
      </c>
      <c r="N218" s="1">
        <v>1.03</v>
      </c>
      <c r="P218" s="3">
        <v>43372</v>
      </c>
      <c r="Q218" s="6">
        <v>23.75</v>
      </c>
      <c r="R218" s="1">
        <v>0</v>
      </c>
      <c r="S218" s="7">
        <v>0.56000000000000005</v>
      </c>
      <c r="U218" s="8">
        <v>7.9299999999999995E-2</v>
      </c>
      <c r="V218" s="9">
        <v>3.02</v>
      </c>
      <c r="W218" s="1">
        <v>12.27</v>
      </c>
      <c r="Y218" s="1">
        <f>4160/244.93</f>
        <v>16.984444535173314</v>
      </c>
      <c r="Z218" s="8">
        <f t="shared" si="48"/>
        <v>0.49991824053486827</v>
      </c>
      <c r="AE218" s="1">
        <v>0.08</v>
      </c>
      <c r="AF218" s="10">
        <f t="shared" si="49"/>
        <v>4.7086521483225433E-3</v>
      </c>
    </row>
    <row r="219" spans="2:32" x14ac:dyDescent="0.25">
      <c r="B219" s="1">
        <f t="shared" si="50"/>
        <v>9.57</v>
      </c>
      <c r="C219" s="2">
        <f t="shared" si="51"/>
        <v>8.6999999999999993</v>
      </c>
      <c r="D219" s="2">
        <f t="shared" si="52"/>
        <v>8.7798165137614674</v>
      </c>
      <c r="E219">
        <v>281</v>
      </c>
      <c r="F219" t="s">
        <v>36</v>
      </c>
      <c r="G219" s="3" t="s">
        <v>37</v>
      </c>
      <c r="H219" s="3">
        <v>43465</v>
      </c>
      <c r="I219" s="1">
        <v>9.57</v>
      </c>
      <c r="J219" s="4">
        <v>20.05</v>
      </c>
      <c r="L219" s="5">
        <f t="shared" si="53"/>
        <v>-7.0936060000000003</v>
      </c>
      <c r="M219" s="1">
        <v>1.1000000000000001</v>
      </c>
      <c r="N219" s="1">
        <v>1.0900000000000001</v>
      </c>
      <c r="P219" s="3">
        <v>43464</v>
      </c>
      <c r="Q219" s="6">
        <v>16.53</v>
      </c>
      <c r="R219" s="1">
        <v>0</v>
      </c>
      <c r="S219" s="7">
        <v>0.8</v>
      </c>
      <c r="U219" s="8">
        <v>-0.52390000000000003</v>
      </c>
      <c r="V219" s="9">
        <v>3.33</v>
      </c>
      <c r="W219" s="1">
        <v>13.54</v>
      </c>
      <c r="Y219" s="1">
        <f>3840/246.17</f>
        <v>15.598976317179186</v>
      </c>
      <c r="Z219" s="8">
        <f t="shared" si="48"/>
        <v>0.6197699946394738</v>
      </c>
      <c r="AE219" s="1">
        <v>0.08</v>
      </c>
      <c r="AF219" s="10">
        <f t="shared" si="49"/>
        <v>8.3594566353187034E-3</v>
      </c>
    </row>
    <row r="220" spans="2:32" x14ac:dyDescent="0.25">
      <c r="B220" s="1">
        <f t="shared" si="50"/>
        <v>10.77</v>
      </c>
      <c r="C220" s="2">
        <f t="shared" si="51"/>
        <v>21.54</v>
      </c>
      <c r="D220" s="2">
        <f t="shared" si="52"/>
        <v>12.975903614457831</v>
      </c>
      <c r="E220">
        <v>282</v>
      </c>
      <c r="F220" t="s">
        <v>36</v>
      </c>
      <c r="G220" s="3" t="s">
        <v>37</v>
      </c>
      <c r="H220" s="3">
        <v>43551</v>
      </c>
      <c r="I220" s="1">
        <v>10.77</v>
      </c>
      <c r="L220" s="5">
        <f t="shared" si="53"/>
        <v>-7.2727809999999993</v>
      </c>
      <c r="M220" s="1">
        <v>0.5</v>
      </c>
      <c r="N220" s="1">
        <v>0.83</v>
      </c>
      <c r="P220" s="3">
        <v>43554</v>
      </c>
      <c r="Q220" s="6">
        <v>16.649999999999999</v>
      </c>
      <c r="R220" s="1">
        <v>0</v>
      </c>
      <c r="S220" s="7">
        <v>0.57999999999999996</v>
      </c>
      <c r="U220" s="8">
        <v>-0.52969999999999995</v>
      </c>
      <c r="V220" s="9">
        <v>3.39</v>
      </c>
      <c r="W220" s="1">
        <v>13.73</v>
      </c>
      <c r="Y220" s="1">
        <f>3850/244.01</f>
        <v>15.778041883529363</v>
      </c>
      <c r="Z220" s="8">
        <f t="shared" si="48"/>
        <v>0.59432036278796885</v>
      </c>
      <c r="AE220" s="1">
        <v>0.08</v>
      </c>
      <c r="AF220" s="10">
        <f t="shared" si="49"/>
        <v>7.4280408542246983E-3</v>
      </c>
    </row>
    <row r="221" spans="2:32" x14ac:dyDescent="0.25">
      <c r="B221" s="1">
        <f t="shared" si="50"/>
        <v>6.41</v>
      </c>
      <c r="C221" s="2">
        <f t="shared" si="51"/>
        <v>9.861538461538462</v>
      </c>
      <c r="D221" s="2">
        <f t="shared" si="52"/>
        <v>9.0281690140845079</v>
      </c>
      <c r="E221">
        <v>283</v>
      </c>
      <c r="F221" t="s">
        <v>36</v>
      </c>
      <c r="G221" s="3" t="s">
        <v>37</v>
      </c>
      <c r="H221" s="3">
        <v>43644</v>
      </c>
      <c r="I221" s="1">
        <v>6.41</v>
      </c>
      <c r="L221" s="5">
        <f t="shared" si="53"/>
        <v>-6.4722299999999997</v>
      </c>
      <c r="M221" s="1">
        <v>0.65</v>
      </c>
      <c r="N221" s="1">
        <v>0.71</v>
      </c>
      <c r="P221" s="3">
        <v>43645</v>
      </c>
      <c r="Q221" s="6">
        <v>17.07</v>
      </c>
      <c r="R221" s="1">
        <v>0</v>
      </c>
      <c r="S221" s="7">
        <v>0.75</v>
      </c>
      <c r="U221" s="8">
        <v>-0.48699999999999999</v>
      </c>
      <c r="V221" s="9">
        <v>3.28</v>
      </c>
      <c r="W221" s="1">
        <v>13.29</v>
      </c>
      <c r="Y221" s="1">
        <f>3850/251.14</f>
        <v>15.330094767858565</v>
      </c>
      <c r="Z221" s="8">
        <f t="shared" si="48"/>
        <v>0.70515307920935089</v>
      </c>
      <c r="AE221" s="1">
        <v>0.08</v>
      </c>
      <c r="AF221" s="10">
        <f t="shared" si="49"/>
        <v>1.2480499219968799E-2</v>
      </c>
    </row>
    <row r="222" spans="2:32" x14ac:dyDescent="0.25">
      <c r="B222" s="1">
        <f t="shared" si="50"/>
        <v>3.82</v>
      </c>
      <c r="C222" s="2">
        <f t="shared" si="51"/>
        <v>9.3170731707317067</v>
      </c>
      <c r="D222" s="2">
        <f t="shared" si="52"/>
        <v>12.733333333333333</v>
      </c>
      <c r="E222">
        <v>284</v>
      </c>
      <c r="F222" t="s">
        <v>36</v>
      </c>
      <c r="G222" s="3" t="s">
        <v>37</v>
      </c>
      <c r="H222" s="3">
        <v>43738</v>
      </c>
      <c r="I222" s="1">
        <v>3.82</v>
      </c>
      <c r="L222" s="5">
        <f t="shared" si="53"/>
        <v>-6.7668660000000012</v>
      </c>
      <c r="M222" s="1">
        <v>0.41</v>
      </c>
      <c r="N222" s="1">
        <v>0.3</v>
      </c>
      <c r="P222" s="3">
        <v>43737</v>
      </c>
      <c r="Q222" s="6">
        <v>16.88</v>
      </c>
      <c r="R222" s="1">
        <v>0</v>
      </c>
      <c r="S222" s="7">
        <v>0.74</v>
      </c>
      <c r="U222" s="8">
        <v>-0.56110000000000004</v>
      </c>
      <c r="V222" s="9">
        <v>2.99</v>
      </c>
      <c r="W222" s="1">
        <v>12.06</v>
      </c>
      <c r="Y222" s="1">
        <f>3190/251.43</f>
        <v>12.687427912341407</v>
      </c>
      <c r="Z222" s="8">
        <f t="shared" si="48"/>
        <v>0.76858902426924658</v>
      </c>
      <c r="AE222" s="1">
        <v>0.08</v>
      </c>
      <c r="AF222" s="10">
        <f t="shared" si="49"/>
        <v>2.0942408376963352E-2</v>
      </c>
    </row>
    <row r="223" spans="2:32" x14ac:dyDescent="0.25">
      <c r="B223" s="1">
        <f t="shared" si="50"/>
        <v>4.8499999999999996</v>
      </c>
      <c r="C223" s="2">
        <f t="shared" si="51"/>
        <v>15.64516129032258</v>
      </c>
      <c r="D223" s="2">
        <f t="shared" si="52"/>
        <v>242.49999999999997</v>
      </c>
      <c r="E223">
        <v>285</v>
      </c>
      <c r="F223" t="s">
        <v>36</v>
      </c>
      <c r="G223" s="3" t="s">
        <v>37</v>
      </c>
      <c r="H223" s="3">
        <v>43830</v>
      </c>
      <c r="I223" s="1">
        <v>4.8499999999999996</v>
      </c>
      <c r="L223" s="5">
        <f t="shared" si="53"/>
        <v>-6.9223510000000008</v>
      </c>
      <c r="M223" s="1">
        <v>0.31</v>
      </c>
      <c r="N223" s="1">
        <v>0.02</v>
      </c>
      <c r="P223" s="3">
        <v>43830</v>
      </c>
      <c r="Q223" s="6">
        <v>9.6</v>
      </c>
      <c r="R223" s="1">
        <v>0</v>
      </c>
      <c r="S223" s="7">
        <v>0.75</v>
      </c>
      <c r="U223" s="8">
        <v>-0.65990000000000004</v>
      </c>
      <c r="V223" s="9">
        <v>2.6</v>
      </c>
      <c r="W223" s="1">
        <v>10.49</v>
      </c>
      <c r="Y223" s="1">
        <f>3240/251.43</f>
        <v>12.886290418804439</v>
      </c>
      <c r="Z223" s="8">
        <f t="shared" si="48"/>
        <v>0.72654935809700583</v>
      </c>
      <c r="AE223" s="1">
        <v>0</v>
      </c>
      <c r="AF223" s="10">
        <f t="shared" si="49"/>
        <v>0</v>
      </c>
    </row>
    <row r="224" spans="2:32" x14ac:dyDescent="0.25">
      <c r="B224" s="1">
        <f t="shared" si="50"/>
        <v>2.2799999999999998</v>
      </c>
      <c r="C224" s="2">
        <f t="shared" si="51"/>
        <v>-8.7692307692307683</v>
      </c>
      <c r="D224" s="2">
        <f t="shared" si="52"/>
        <v>-25.333333333333332</v>
      </c>
      <c r="E224">
        <v>286</v>
      </c>
      <c r="F224" t="s">
        <v>36</v>
      </c>
      <c r="G224" s="3" t="s">
        <v>37</v>
      </c>
      <c r="H224" s="3">
        <v>43921</v>
      </c>
      <c r="I224" s="1">
        <v>2.2799999999999998</v>
      </c>
      <c r="J224" s="4">
        <v>3.74</v>
      </c>
      <c r="L224" s="5">
        <f t="shared" si="53"/>
        <v>-6.3554399999999998</v>
      </c>
      <c r="M224" s="1">
        <v>-0.26</v>
      </c>
      <c r="N224" s="1">
        <v>-0.09</v>
      </c>
      <c r="P224" s="3">
        <v>43921</v>
      </c>
      <c r="Q224" s="6">
        <v>10.58</v>
      </c>
      <c r="R224" s="1">
        <v>0</v>
      </c>
      <c r="S224" s="7">
        <v>0.95</v>
      </c>
      <c r="U224" s="8">
        <v>-0.69840000000000002</v>
      </c>
      <c r="V224" s="9">
        <v>2.25</v>
      </c>
      <c r="W224" s="1">
        <v>9.1</v>
      </c>
      <c r="Y224" s="1">
        <f>3220/255.75</f>
        <v>12.590420332355816</v>
      </c>
      <c r="Z224" s="8">
        <f t="shared" si="48"/>
        <v>0.8466754840117694</v>
      </c>
    </row>
    <row r="225" spans="2:32" x14ac:dyDescent="0.25">
      <c r="B225" s="1">
        <f t="shared" si="50"/>
        <v>5.63</v>
      </c>
      <c r="C225" s="2">
        <f t="shared" si="51"/>
        <v>-18.766666666666666</v>
      </c>
      <c r="D225" s="2">
        <f t="shared" si="52"/>
        <v>56.3</v>
      </c>
      <c r="E225">
        <v>287</v>
      </c>
      <c r="F225" t="s">
        <v>36</v>
      </c>
      <c r="G225" s="3" t="s">
        <v>37</v>
      </c>
      <c r="H225" s="3">
        <v>44012</v>
      </c>
      <c r="I225" s="1">
        <v>5.63</v>
      </c>
      <c r="J225" s="4">
        <v>5.27</v>
      </c>
      <c r="L225" s="5">
        <f t="shared" si="53"/>
        <v>-7.4732320000000003</v>
      </c>
      <c r="M225" s="1">
        <v>-0.3</v>
      </c>
      <c r="N225" s="1">
        <v>0.1</v>
      </c>
      <c r="P225" s="3">
        <v>44012</v>
      </c>
      <c r="Q225" s="6">
        <v>9.9700000000000006</v>
      </c>
      <c r="R225" s="1">
        <v>0</v>
      </c>
      <c r="S225" s="7">
        <v>0.63</v>
      </c>
      <c r="U225" s="8">
        <v>-0.92720000000000002</v>
      </c>
      <c r="V225" s="9">
        <v>1.98</v>
      </c>
      <c r="W225" s="1">
        <v>8.06</v>
      </c>
      <c r="Y225" s="1">
        <f>3260/256.08</f>
        <v>12.730396751015309</v>
      </c>
      <c r="Z225" s="8">
        <f t="shared" si="48"/>
        <v>0.69336174613499746</v>
      </c>
    </row>
    <row r="226" spans="2:32" x14ac:dyDescent="0.25">
      <c r="B226" s="1">
        <f t="shared" si="50"/>
        <v>6.62</v>
      </c>
      <c r="C226" s="2">
        <f t="shared" si="51"/>
        <v>331</v>
      </c>
      <c r="D226" s="2">
        <f t="shared" si="52"/>
        <v>8.9459459459459456</v>
      </c>
      <c r="E226">
        <v>288</v>
      </c>
      <c r="F226" t="s">
        <v>36</v>
      </c>
      <c r="G226" s="3" t="s">
        <v>37</v>
      </c>
      <c r="H226" s="3">
        <v>44104</v>
      </c>
      <c r="I226" s="1">
        <v>6.62</v>
      </c>
      <c r="L226" s="5">
        <f t="shared" si="53"/>
        <v>-10.217658</v>
      </c>
      <c r="M226" s="1">
        <v>0.02</v>
      </c>
      <c r="N226" s="1">
        <v>0.74</v>
      </c>
      <c r="P226" s="3">
        <v>44104</v>
      </c>
      <c r="Q226" s="6">
        <v>7.05</v>
      </c>
      <c r="R226" s="1">
        <v>0</v>
      </c>
      <c r="S226" s="7">
        <v>0.33</v>
      </c>
      <c r="U226" s="8">
        <v>-1.3409</v>
      </c>
      <c r="V226" s="9">
        <v>1.85</v>
      </c>
      <c r="W226" s="1">
        <v>7.62</v>
      </c>
      <c r="Y226" s="1">
        <f>3120/256.33</f>
        <v>12.171809776460032</v>
      </c>
      <c r="Z226" s="8">
        <f t="shared" si="48"/>
        <v>0.64771886908451537</v>
      </c>
      <c r="AB226" s="1">
        <f>311.39/256.33</f>
        <v>1.2148012327858619</v>
      </c>
      <c r="AC226" s="1">
        <f>963.95/256.33</f>
        <v>3.7605820621854646</v>
      </c>
    </row>
    <row r="227" spans="2:32" x14ac:dyDescent="0.25">
      <c r="B227" s="1">
        <f t="shared" si="50"/>
        <v>6.7</v>
      </c>
      <c r="C227" s="2">
        <f t="shared" si="51"/>
        <v>-223.33333333333334</v>
      </c>
      <c r="D227" s="2">
        <f t="shared" si="52"/>
        <v>7.882352941176471</v>
      </c>
      <c r="E227">
        <v>289</v>
      </c>
      <c r="F227" t="s">
        <v>36</v>
      </c>
      <c r="G227" s="3" t="s">
        <v>37</v>
      </c>
      <c r="H227" s="3">
        <v>44196</v>
      </c>
      <c r="I227" s="1">
        <v>6.7</v>
      </c>
      <c r="J227" s="4">
        <v>8.67</v>
      </c>
      <c r="L227" s="5">
        <f t="shared" si="53"/>
        <v>-2.9055059999999999</v>
      </c>
      <c r="M227" s="1">
        <v>-0.03</v>
      </c>
      <c r="N227" s="1">
        <v>0.85</v>
      </c>
      <c r="P227" s="3">
        <v>44196</v>
      </c>
      <c r="Q227" s="6">
        <v>6.9</v>
      </c>
      <c r="R227" s="1">
        <v>0</v>
      </c>
      <c r="S227" s="7">
        <v>0.41</v>
      </c>
      <c r="U227" s="8">
        <v>-0.39369999999999999</v>
      </c>
      <c r="V227" s="9">
        <v>1.78</v>
      </c>
      <c r="W227" s="1">
        <v>7.38</v>
      </c>
      <c r="Y227" s="1">
        <f>3150/258.57</f>
        <v>12.182387747998607</v>
      </c>
      <c r="Z227" s="8">
        <f t="shared" si="48"/>
        <v>0.64517199363676081</v>
      </c>
      <c r="AB227" s="1">
        <f>268.68/258.57</f>
        <v>1.0390996635340528</v>
      </c>
      <c r="AC227" s="1">
        <f>158.83/258.57</f>
        <v>0.61426306222686322</v>
      </c>
    </row>
    <row r="228" spans="2:32" x14ac:dyDescent="0.25">
      <c r="B228" s="1">
        <f t="shared" si="50"/>
        <v>10.33</v>
      </c>
      <c r="C228" s="2">
        <f t="shared" si="51"/>
        <v>8.905172413793105</v>
      </c>
      <c r="D228" s="2">
        <f t="shared" si="52"/>
        <v>9.7452830188679247</v>
      </c>
      <c r="E228">
        <v>290</v>
      </c>
      <c r="F228" t="s">
        <v>36</v>
      </c>
      <c r="G228" s="3" t="s">
        <v>37</v>
      </c>
      <c r="H228" s="3">
        <v>44286</v>
      </c>
      <c r="I228" s="1">
        <v>10.33</v>
      </c>
      <c r="J228" s="4">
        <v>11.26</v>
      </c>
      <c r="L228" s="5">
        <f t="shared" si="53"/>
        <v>-3.54033</v>
      </c>
      <c r="M228" s="1">
        <v>1.1599999999999999</v>
      </c>
      <c r="N228" s="1">
        <v>1.06</v>
      </c>
      <c r="P228" s="3">
        <v>44286</v>
      </c>
      <c r="Q228" s="6">
        <v>6.99</v>
      </c>
      <c r="R228" s="1">
        <v>0</v>
      </c>
      <c r="S228" s="7">
        <v>0.44</v>
      </c>
      <c r="U228" s="8">
        <v>-0.42449999999999999</v>
      </c>
      <c r="V228" s="9">
        <v>2</v>
      </c>
      <c r="W228" s="1">
        <v>8.34</v>
      </c>
      <c r="Y228" s="1">
        <f>3140/249.59</f>
        <v>12.580632236868464</v>
      </c>
      <c r="Z228" s="8">
        <f t="shared" si="48"/>
        <v>0.54911763703418626</v>
      </c>
      <c r="AB228" s="1">
        <f>253.43/249.59</f>
        <v>1.0153852317801193</v>
      </c>
      <c r="AC228" s="1">
        <f>194.75/249.59</f>
        <v>0.7802796586401699</v>
      </c>
    </row>
    <row r="229" spans="2:32" x14ac:dyDescent="0.25">
      <c r="B229" s="1">
        <f t="shared" si="50"/>
        <v>16.760000000000002</v>
      </c>
      <c r="C229" s="2">
        <f t="shared" si="51"/>
        <v>13.093750000000002</v>
      </c>
      <c r="D229" s="2">
        <f t="shared" si="52"/>
        <v>12.057553956834534</v>
      </c>
      <c r="E229">
        <v>291</v>
      </c>
      <c r="F229" t="s">
        <v>36</v>
      </c>
      <c r="G229" s="3" t="s">
        <v>37</v>
      </c>
      <c r="H229" s="3">
        <v>44377</v>
      </c>
      <c r="I229" s="1">
        <v>16.760000000000002</v>
      </c>
      <c r="J229" s="4">
        <v>13.77</v>
      </c>
      <c r="L229" s="5">
        <f t="shared" si="53"/>
        <v>-3.4817520000000006</v>
      </c>
      <c r="M229" s="1">
        <v>1.28</v>
      </c>
      <c r="N229" s="1">
        <v>1.39</v>
      </c>
      <c r="P229" s="3">
        <v>44377</v>
      </c>
      <c r="Q229" s="6">
        <v>6.38</v>
      </c>
      <c r="R229" s="1">
        <v>0</v>
      </c>
      <c r="S229" s="7">
        <v>0.37</v>
      </c>
      <c r="U229" s="8">
        <v>-0.36420000000000002</v>
      </c>
      <c r="V229" s="9">
        <v>2.31</v>
      </c>
      <c r="W229" s="1">
        <v>9.56</v>
      </c>
      <c r="Y229" s="1">
        <f>3070/249.77</f>
        <v>12.291308003363094</v>
      </c>
      <c r="Z229" s="8">
        <f t="shared" si="48"/>
        <v>0.42308965923118513</v>
      </c>
      <c r="AB229" s="1">
        <f>348.85/249.77</f>
        <v>1.3966849501541418</v>
      </c>
      <c r="AC229" s="1">
        <f>344.18/249.77</f>
        <v>1.3779877487288306</v>
      </c>
    </row>
    <row r="230" spans="2:32" x14ac:dyDescent="0.25">
      <c r="B230" s="1">
        <f t="shared" si="50"/>
        <v>22.63</v>
      </c>
      <c r="C230" s="2">
        <f t="shared" si="51"/>
        <v>13.23391812865497</v>
      </c>
      <c r="D230" s="2">
        <f t="shared" si="52"/>
        <v>9.9691629955947132</v>
      </c>
      <c r="E230">
        <v>292</v>
      </c>
      <c r="F230" t="s">
        <v>36</v>
      </c>
      <c r="G230" s="3" t="s">
        <v>37</v>
      </c>
      <c r="H230" s="3">
        <v>44469</v>
      </c>
      <c r="I230" s="1">
        <v>22.63</v>
      </c>
      <c r="J230" s="4">
        <v>17.68</v>
      </c>
      <c r="L230" s="5">
        <f t="shared" si="53"/>
        <v>-1.8224600000000002</v>
      </c>
      <c r="M230" s="1">
        <v>1.71</v>
      </c>
      <c r="N230" s="1">
        <v>2.27</v>
      </c>
      <c r="P230" s="3">
        <v>44469</v>
      </c>
      <c r="Q230" s="6">
        <v>4.92</v>
      </c>
      <c r="R230" s="1">
        <v>0</v>
      </c>
      <c r="S230" s="7">
        <v>0.25</v>
      </c>
      <c r="U230" s="8">
        <v>-0.1555</v>
      </c>
      <c r="V230" s="9">
        <v>2.84</v>
      </c>
      <c r="W230" s="1">
        <v>11.72</v>
      </c>
      <c r="Y230" s="1">
        <f>2980/259.8</f>
        <v>11.470361816782139</v>
      </c>
      <c r="Z230" s="8">
        <f t="shared" si="48"/>
        <v>0.3363706777778856</v>
      </c>
      <c r="AB230" s="1">
        <f>565/259.8</f>
        <v>2.1747498075442646</v>
      </c>
      <c r="AC230" s="1">
        <f>437.39/259.8</f>
        <v>1.6835642802155504</v>
      </c>
    </row>
    <row r="231" spans="2:32" x14ac:dyDescent="0.25">
      <c r="E231">
        <v>293</v>
      </c>
      <c r="F231" t="s">
        <v>36</v>
      </c>
      <c r="G231" s="3" t="s">
        <v>37</v>
      </c>
      <c r="H231" s="3">
        <f>VLOOKUP(G231,oil,3,FALSE)</f>
        <v>44519</v>
      </c>
      <c r="I231" s="1">
        <f>VLOOKUP(G231,oil,2,FALSE)</f>
        <v>20.61</v>
      </c>
    </row>
    <row r="232" spans="2:32" x14ac:dyDescent="0.25">
      <c r="E232">
        <v>294</v>
      </c>
      <c r="F232" t="s">
        <v>36</v>
      </c>
      <c r="G232" s="3" t="s">
        <v>37</v>
      </c>
      <c r="H232" s="3">
        <v>44651</v>
      </c>
    </row>
    <row r="233" spans="2:32" x14ac:dyDescent="0.25">
      <c r="E233">
        <v>295</v>
      </c>
      <c r="F233" t="s">
        <v>36</v>
      </c>
      <c r="G233" s="3" t="s">
        <v>37</v>
      </c>
      <c r="H233" s="3">
        <v>44742</v>
      </c>
    </row>
    <row r="234" spans="2:32" x14ac:dyDescent="0.25">
      <c r="E234">
        <v>296</v>
      </c>
      <c r="F234" t="s">
        <v>36</v>
      </c>
      <c r="G234" s="3" t="s">
        <v>37</v>
      </c>
      <c r="H234" s="3">
        <v>44834</v>
      </c>
    </row>
    <row r="235" spans="2:32" s="15" customFormat="1" x14ac:dyDescent="0.25">
      <c r="B235" s="16"/>
      <c r="C235" s="17"/>
      <c r="E235" s="15">
        <v>297</v>
      </c>
      <c r="F235" s="15" t="s">
        <v>36</v>
      </c>
      <c r="G235" s="18" t="s">
        <v>37</v>
      </c>
      <c r="H235" s="18">
        <v>44926</v>
      </c>
      <c r="I235" s="16"/>
      <c r="J235" s="19"/>
      <c r="L235" s="20"/>
      <c r="M235" s="16"/>
      <c r="N235" s="16"/>
      <c r="P235" s="18"/>
      <c r="Q235" s="21"/>
      <c r="R235" s="16"/>
      <c r="S235" s="22"/>
      <c r="U235" s="23"/>
      <c r="V235" s="24"/>
      <c r="W235" s="16"/>
      <c r="Y235" s="16"/>
      <c r="Z235" s="23"/>
      <c r="AA235" s="23"/>
      <c r="AB235" s="16"/>
      <c r="AC235" s="16"/>
      <c r="AE235" s="16"/>
      <c r="AF235" s="25"/>
    </row>
    <row r="236" spans="2:32" x14ac:dyDescent="0.25">
      <c r="B236" s="1">
        <f t="shared" ref="B236:B251" si="54">+I236-(-R236/S236+R236)</f>
        <v>35.284321100917431</v>
      </c>
      <c r="C236" s="2">
        <f t="shared" ref="C236:C251" si="55">B236/M236</f>
        <v>36.375588763832404</v>
      </c>
      <c r="D236" s="2">
        <f t="shared" ref="D236:D251" si="56">B236/N236</f>
        <v>14.701800458715597</v>
      </c>
      <c r="E236">
        <v>298</v>
      </c>
      <c r="F236" t="s">
        <v>38</v>
      </c>
      <c r="G236" t="s">
        <v>39</v>
      </c>
      <c r="H236" s="3">
        <v>40178</v>
      </c>
      <c r="I236" s="1">
        <v>35.31</v>
      </c>
      <c r="L236" s="5">
        <f t="shared" ref="L236:L251" si="57">+U236*W236</f>
        <v>0.92016780000000009</v>
      </c>
      <c r="M236" s="1">
        <v>0.97</v>
      </c>
      <c r="N236" s="1">
        <v>2.4</v>
      </c>
      <c r="P236" s="3">
        <v>40178</v>
      </c>
      <c r="R236" s="1">
        <v>0.311</v>
      </c>
      <c r="S236" s="7">
        <v>1.0900000000000001</v>
      </c>
      <c r="U236" s="8">
        <v>4.58E-2</v>
      </c>
      <c r="V236" s="9">
        <v>24.07</v>
      </c>
      <c r="W236" s="1">
        <v>20.091000000000001</v>
      </c>
    </row>
    <row r="237" spans="2:32" x14ac:dyDescent="0.25">
      <c r="B237" s="1">
        <f t="shared" si="54"/>
        <v>38.155365853658537</v>
      </c>
      <c r="C237" s="2">
        <f t="shared" si="55"/>
        <v>25.607628089703717</v>
      </c>
      <c r="D237" s="2">
        <f t="shared" si="56"/>
        <v>16.446278385197648</v>
      </c>
      <c r="E237">
        <v>299</v>
      </c>
      <c r="F237" t="s">
        <v>38</v>
      </c>
      <c r="G237" t="s">
        <v>39</v>
      </c>
      <c r="H237" s="3">
        <v>40543</v>
      </c>
      <c r="I237" s="1">
        <v>38.29</v>
      </c>
      <c r="L237" s="5">
        <f t="shared" si="57"/>
        <v>2.350168</v>
      </c>
      <c r="M237" s="1">
        <v>1.49</v>
      </c>
      <c r="N237" s="1">
        <v>2.3199999999999998</v>
      </c>
      <c r="P237" s="3">
        <v>40543</v>
      </c>
      <c r="R237" s="1">
        <v>0.72</v>
      </c>
      <c r="S237" s="7">
        <v>1.23</v>
      </c>
      <c r="U237" s="8">
        <v>0.1052</v>
      </c>
      <c r="V237" s="9">
        <v>34.89</v>
      </c>
      <c r="W237" s="1">
        <v>22.34</v>
      </c>
    </row>
    <row r="238" spans="2:32" x14ac:dyDescent="0.25">
      <c r="B238" s="1">
        <f t="shared" si="54"/>
        <v>28.165620437956203</v>
      </c>
      <c r="C238" s="2">
        <f t="shared" si="55"/>
        <v>8.4581442756625229</v>
      </c>
      <c r="D238" s="2">
        <f t="shared" si="56"/>
        <v>8.613339583472845</v>
      </c>
      <c r="E238">
        <v>300</v>
      </c>
      <c r="F238" t="s">
        <v>38</v>
      </c>
      <c r="G238" t="s">
        <v>39</v>
      </c>
      <c r="H238" s="3">
        <v>40907</v>
      </c>
      <c r="I238" s="1">
        <v>28.83</v>
      </c>
      <c r="J238" s="4">
        <v>42.08</v>
      </c>
      <c r="L238" s="5">
        <f t="shared" si="57"/>
        <v>2.7568799999999998</v>
      </c>
      <c r="M238" s="1">
        <v>3.33</v>
      </c>
      <c r="N238" s="1">
        <v>3.27</v>
      </c>
      <c r="P238" s="3">
        <v>40908</v>
      </c>
      <c r="R238" s="1">
        <v>2.46</v>
      </c>
      <c r="S238" s="7">
        <v>1.37</v>
      </c>
      <c r="U238" s="8">
        <v>0.1094</v>
      </c>
      <c r="V238" s="9">
        <v>39.590000000000003</v>
      </c>
      <c r="W238" s="1">
        <v>25.2</v>
      </c>
      <c r="Y238" s="1">
        <f>10850/1560</f>
        <v>6.9551282051282053</v>
      </c>
      <c r="Z238" s="8">
        <f t="shared" ref="Z238:Z263" si="58">+Y238/(Y238+I238)</f>
        <v>0.19435806308307421</v>
      </c>
    </row>
    <row r="239" spans="2:32" x14ac:dyDescent="0.25">
      <c r="B239" s="1">
        <f t="shared" si="54"/>
        <v>32.023243243243243</v>
      </c>
      <c r="C239" s="2">
        <f t="shared" si="55"/>
        <v>9.7335085845724141</v>
      </c>
      <c r="D239" s="2">
        <f t="shared" si="56"/>
        <v>9.6455551937479651</v>
      </c>
      <c r="E239">
        <v>301</v>
      </c>
      <c r="F239" t="s">
        <v>38</v>
      </c>
      <c r="G239" t="s">
        <v>39</v>
      </c>
      <c r="H239" s="3">
        <v>41274</v>
      </c>
      <c r="I239" s="1">
        <v>32.979999999999997</v>
      </c>
      <c r="J239" s="4">
        <v>41.57</v>
      </c>
      <c r="L239" s="5">
        <f t="shared" si="57"/>
        <v>1.8349449999999998</v>
      </c>
      <c r="M239" s="1">
        <v>3.29</v>
      </c>
      <c r="N239" s="1">
        <v>3.32</v>
      </c>
      <c r="P239" s="3">
        <v>41274</v>
      </c>
      <c r="R239" s="1">
        <v>2.95</v>
      </c>
      <c r="S239" s="7">
        <v>1.48</v>
      </c>
      <c r="U239" s="8">
        <v>7.2099999999999997E-2</v>
      </c>
      <c r="V239" s="9">
        <v>39.36</v>
      </c>
      <c r="W239" s="1">
        <v>25.45</v>
      </c>
      <c r="Y239" s="1">
        <f>11240/1520</f>
        <v>7.3947368421052628</v>
      </c>
      <c r="Z239" s="8">
        <f t="shared" si="58"/>
        <v>0.18315257065387425</v>
      </c>
      <c r="AE239" s="1">
        <v>0.52</v>
      </c>
      <c r="AF239" s="10">
        <f>+AE239/I239</f>
        <v>1.5767131594906007E-2</v>
      </c>
    </row>
    <row r="240" spans="2:32" x14ac:dyDescent="0.25">
      <c r="B240" s="1">
        <f t="shared" si="54"/>
        <v>34.042733812949635</v>
      </c>
      <c r="C240" s="2">
        <f t="shared" si="55"/>
        <v>10.378882260045621</v>
      </c>
      <c r="D240" s="2">
        <f t="shared" si="56"/>
        <v>10.539546072120631</v>
      </c>
      <c r="E240">
        <v>302</v>
      </c>
      <c r="F240" t="s">
        <v>38</v>
      </c>
      <c r="G240" t="s">
        <v>39</v>
      </c>
      <c r="H240" s="3">
        <v>41639</v>
      </c>
      <c r="I240" s="1">
        <v>35.049999999999997</v>
      </c>
      <c r="J240" s="4">
        <v>44.67</v>
      </c>
      <c r="L240" s="5">
        <f t="shared" si="57"/>
        <v>2.661511</v>
      </c>
      <c r="M240" s="1">
        <v>3.28</v>
      </c>
      <c r="N240" s="1">
        <v>3.23</v>
      </c>
      <c r="P240" s="3">
        <v>41639</v>
      </c>
      <c r="R240" s="1">
        <v>3.59</v>
      </c>
      <c r="S240" s="7">
        <v>1.39</v>
      </c>
      <c r="U240" s="8">
        <v>9.7100000000000006E-2</v>
      </c>
      <c r="V240" s="9">
        <v>41.07</v>
      </c>
      <c r="W240" s="1">
        <v>27.41</v>
      </c>
      <c r="Y240" s="1">
        <f>11680/1480</f>
        <v>7.8918918918918921</v>
      </c>
      <c r="Z240" s="8">
        <f t="shared" si="58"/>
        <v>0.1837807219057809</v>
      </c>
      <c r="AE240" s="1">
        <v>0.76</v>
      </c>
      <c r="AF240" s="10">
        <f>+AE240/I240</f>
        <v>2.1683309557774609E-2</v>
      </c>
    </row>
    <row r="241" spans="2:32" x14ac:dyDescent="0.25">
      <c r="B241" s="1">
        <f t="shared" si="54"/>
        <v>30.560359281437126</v>
      </c>
      <c r="C241" s="2">
        <f t="shared" si="55"/>
        <v>8.9357775676716749</v>
      </c>
      <c r="D241" s="2">
        <f t="shared" si="56"/>
        <v>11.575893667211032</v>
      </c>
      <c r="E241">
        <v>303</v>
      </c>
      <c r="F241" t="s">
        <v>38</v>
      </c>
      <c r="G241" t="s">
        <v>39</v>
      </c>
      <c r="H241" s="3">
        <v>42004</v>
      </c>
      <c r="I241" s="1">
        <v>31.78</v>
      </c>
      <c r="J241" s="4">
        <v>45.1</v>
      </c>
      <c r="L241" s="5">
        <f t="shared" si="57"/>
        <v>1.4738289999999998</v>
      </c>
      <c r="M241" s="1">
        <v>3.42</v>
      </c>
      <c r="N241" s="1">
        <v>2.64</v>
      </c>
      <c r="P241" s="3">
        <v>42004</v>
      </c>
      <c r="R241" s="1">
        <v>3.04</v>
      </c>
      <c r="S241" s="7">
        <v>1.67</v>
      </c>
      <c r="U241" s="8">
        <v>6.7699999999999996E-2</v>
      </c>
      <c r="V241" s="9">
        <v>31.83</v>
      </c>
      <c r="W241" s="1">
        <v>21.77</v>
      </c>
      <c r="Y241" s="1">
        <f>10640/1440</f>
        <v>7.3888888888888893</v>
      </c>
      <c r="Z241" s="8">
        <f t="shared" si="58"/>
        <v>0.18864177918983321</v>
      </c>
      <c r="AE241" s="1">
        <v>0.89</v>
      </c>
      <c r="AF241" s="10">
        <f>+AE241/I241</f>
        <v>2.8005034612964129E-2</v>
      </c>
    </row>
    <row r="242" spans="2:32" x14ac:dyDescent="0.25">
      <c r="B242" s="1">
        <f t="shared" si="54"/>
        <v>25.160410958904109</v>
      </c>
      <c r="C242" s="2">
        <f t="shared" si="55"/>
        <v>22.464652641878665</v>
      </c>
      <c r="D242" s="2">
        <f t="shared" si="56"/>
        <v>21.878618225134009</v>
      </c>
      <c r="E242">
        <v>304</v>
      </c>
      <c r="F242" t="s">
        <v>38</v>
      </c>
      <c r="G242" t="s">
        <v>39</v>
      </c>
      <c r="H242" s="3">
        <v>42369</v>
      </c>
      <c r="I242" s="1">
        <v>25.8</v>
      </c>
      <c r="J242" s="4">
        <v>31.78</v>
      </c>
      <c r="L242" s="5">
        <f t="shared" si="57"/>
        <v>-0.99766499999999991</v>
      </c>
      <c r="M242" s="1">
        <v>1.1200000000000001</v>
      </c>
      <c r="N242" s="1">
        <v>1.1499999999999999</v>
      </c>
      <c r="P242" s="3">
        <v>42369</v>
      </c>
      <c r="Q242" s="6">
        <v>19.53</v>
      </c>
      <c r="R242" s="1">
        <v>2.0299999999999998</v>
      </c>
      <c r="S242" s="7">
        <v>1.46</v>
      </c>
      <c r="U242" s="8">
        <v>-6.8099999999999994E-2</v>
      </c>
      <c r="V242" s="9">
        <v>21.18</v>
      </c>
      <c r="W242" s="1">
        <v>14.65</v>
      </c>
      <c r="Y242" s="1">
        <f>11070/1450</f>
        <v>7.63448275862069</v>
      </c>
      <c r="Z242" s="8">
        <f t="shared" si="58"/>
        <v>0.22834158415841585</v>
      </c>
      <c r="AE242" s="1">
        <v>0.84</v>
      </c>
      <c r="AF242" s="10">
        <f>+AE242/I242</f>
        <v>3.255813953488372E-2</v>
      </c>
    </row>
    <row r="243" spans="2:32" x14ac:dyDescent="0.25">
      <c r="B243" s="1">
        <f t="shared" si="54"/>
        <v>27.525128205128205</v>
      </c>
      <c r="C243" s="2">
        <f t="shared" si="55"/>
        <v>-131.07203907203908</v>
      </c>
      <c r="D243" s="2">
        <f t="shared" si="56"/>
        <v>27.252602183295252</v>
      </c>
      <c r="E243">
        <v>305</v>
      </c>
      <c r="F243" t="s">
        <v>38</v>
      </c>
      <c r="G243" t="s">
        <v>39</v>
      </c>
      <c r="H243" s="3">
        <v>42551</v>
      </c>
      <c r="I243" s="1">
        <v>27.73</v>
      </c>
      <c r="J243" s="4">
        <v>32</v>
      </c>
      <c r="L243" s="5">
        <f t="shared" si="57"/>
        <v>-1.4971680000000001</v>
      </c>
      <c r="M243" s="1">
        <v>-0.21</v>
      </c>
      <c r="N243" s="1">
        <v>1.01</v>
      </c>
      <c r="P243" s="3">
        <v>42551</v>
      </c>
      <c r="Q243" s="6">
        <v>20.89</v>
      </c>
      <c r="R243" s="1">
        <v>1.41</v>
      </c>
      <c r="S243" s="7">
        <v>1.17</v>
      </c>
      <c r="U243" s="8">
        <v>-0.1124</v>
      </c>
      <c r="V243" s="9">
        <v>19.97</v>
      </c>
      <c r="W243" s="1">
        <v>13.32</v>
      </c>
      <c r="Y243" s="1">
        <f>13730/1660</f>
        <v>8.2710843373493983</v>
      </c>
      <c r="Z243" s="8">
        <f t="shared" si="58"/>
        <v>0.22974542266129871</v>
      </c>
      <c r="AE243" s="1">
        <v>0.9</v>
      </c>
      <c r="AF243" s="10">
        <f>+AE243/I243</f>
        <v>3.2455824017309773E-2</v>
      </c>
    </row>
    <row r="244" spans="2:32" x14ac:dyDescent="0.25">
      <c r="B244" s="1">
        <f t="shared" si="54"/>
        <v>32.335294117647059</v>
      </c>
      <c r="C244" s="2">
        <f t="shared" si="55"/>
        <v>-293.95721925133688</v>
      </c>
      <c r="D244" s="2">
        <f t="shared" si="56"/>
        <v>24.312251216275982</v>
      </c>
      <c r="E244">
        <v>306</v>
      </c>
      <c r="F244" t="s">
        <v>38</v>
      </c>
      <c r="G244" t="s">
        <v>39</v>
      </c>
      <c r="H244" s="3">
        <v>42734</v>
      </c>
      <c r="I244" s="1">
        <v>32.69</v>
      </c>
      <c r="J244" s="4">
        <v>35.29</v>
      </c>
      <c r="L244" s="5">
        <f t="shared" si="57"/>
        <v>0.20055600000000001</v>
      </c>
      <c r="M244" s="1">
        <v>-0.11</v>
      </c>
      <c r="N244" s="1">
        <v>1.33</v>
      </c>
      <c r="P244" s="3">
        <v>42735</v>
      </c>
      <c r="Q244" s="6">
        <v>19.89</v>
      </c>
      <c r="R244" s="1">
        <v>1.34</v>
      </c>
      <c r="S244" s="7">
        <v>1.36</v>
      </c>
      <c r="U244" s="8">
        <v>1.6199999999999999E-2</v>
      </c>
      <c r="V244" s="9">
        <v>19.920000000000002</v>
      </c>
      <c r="W244" s="1">
        <v>12.38</v>
      </c>
      <c r="Y244" s="1">
        <f>12950/1670</f>
        <v>7.7544910179640718</v>
      </c>
      <c r="Z244" s="8">
        <f t="shared" si="58"/>
        <v>0.19173169998652698</v>
      </c>
    </row>
    <row r="245" spans="2:32" x14ac:dyDescent="0.25">
      <c r="B245" s="1">
        <f t="shared" si="54"/>
        <v>30.219735099337747</v>
      </c>
      <c r="C245" s="2">
        <f t="shared" si="55"/>
        <v>21.740816618228596</v>
      </c>
      <c r="D245" s="2">
        <f t="shared" si="56"/>
        <v>19.623204609959576</v>
      </c>
      <c r="E245">
        <v>307</v>
      </c>
      <c r="F245" t="s">
        <v>38</v>
      </c>
      <c r="G245" t="s">
        <v>39</v>
      </c>
      <c r="H245" s="3">
        <v>42825</v>
      </c>
      <c r="I245" s="1">
        <v>30.75</v>
      </c>
      <c r="J245" s="4">
        <v>36.75</v>
      </c>
      <c r="L245" s="5">
        <f t="shared" si="57"/>
        <v>0.68552100000000005</v>
      </c>
      <c r="M245" s="1">
        <v>1.39</v>
      </c>
      <c r="N245" s="1">
        <v>1.54</v>
      </c>
      <c r="P245" s="3">
        <v>42825</v>
      </c>
      <c r="Q245" s="6">
        <v>20.22</v>
      </c>
      <c r="R245" s="1">
        <v>1.57</v>
      </c>
      <c r="S245" s="7">
        <v>1.51</v>
      </c>
      <c r="U245" s="8">
        <v>5.3100000000000001E-2</v>
      </c>
      <c r="V245" s="9">
        <v>21.28</v>
      </c>
      <c r="W245" s="1">
        <v>12.91</v>
      </c>
      <c r="Y245" s="1">
        <f>12330/1670</f>
        <v>7.3832335329341321</v>
      </c>
      <c r="Z245" s="8">
        <f t="shared" si="58"/>
        <v>0.19361677069838651</v>
      </c>
    </row>
    <row r="246" spans="2:32" x14ac:dyDescent="0.25">
      <c r="B246" s="1">
        <f t="shared" si="54"/>
        <v>29.334444444444443</v>
      </c>
      <c r="C246" s="2">
        <f t="shared" si="55"/>
        <v>20.658059467918623</v>
      </c>
      <c r="D246" s="2">
        <f t="shared" si="56"/>
        <v>17.565535595475716</v>
      </c>
      <c r="E246">
        <v>308</v>
      </c>
      <c r="F246" t="s">
        <v>38</v>
      </c>
      <c r="G246" t="s">
        <v>39</v>
      </c>
      <c r="H246" s="3">
        <v>42916</v>
      </c>
      <c r="I246" s="1">
        <v>29.21</v>
      </c>
      <c r="J246" s="4">
        <v>38.700000000000003</v>
      </c>
      <c r="L246" s="5">
        <f t="shared" si="57"/>
        <v>1.2900419999999999</v>
      </c>
      <c r="M246" s="1">
        <v>1.42</v>
      </c>
      <c r="N246" s="1">
        <v>1.67</v>
      </c>
      <c r="P246" s="3">
        <v>42916</v>
      </c>
      <c r="Q246" s="6">
        <v>20.97</v>
      </c>
      <c r="R246" s="1">
        <v>1.1200000000000001</v>
      </c>
      <c r="S246" s="7">
        <v>0.9</v>
      </c>
      <c r="U246" s="8">
        <v>8.9399999999999993E-2</v>
      </c>
      <c r="V246" s="9">
        <v>24.06</v>
      </c>
      <c r="W246" s="1">
        <v>14.43</v>
      </c>
      <c r="Y246" s="1">
        <f>12810/1660</f>
        <v>7.7168674698795181</v>
      </c>
      <c r="Z246" s="8">
        <f t="shared" si="58"/>
        <v>0.20897704025866823</v>
      </c>
    </row>
    <row r="247" spans="2:32" x14ac:dyDescent="0.25">
      <c r="B247" s="1">
        <f t="shared" si="54"/>
        <v>35.157582417582418</v>
      </c>
      <c r="C247" s="2">
        <f t="shared" si="55"/>
        <v>32.254662768424232</v>
      </c>
      <c r="D247" s="2">
        <f t="shared" si="56"/>
        <v>27.683135761875921</v>
      </c>
      <c r="E247">
        <v>309</v>
      </c>
      <c r="F247" t="s">
        <v>38</v>
      </c>
      <c r="G247" s="3" t="s">
        <v>39</v>
      </c>
      <c r="H247" s="3">
        <v>43007</v>
      </c>
      <c r="I247" s="1">
        <v>35.03</v>
      </c>
      <c r="J247" s="4">
        <v>38.04</v>
      </c>
      <c r="L247" s="5">
        <f t="shared" si="57"/>
        <v>1.6830880000000001</v>
      </c>
      <c r="M247" s="1">
        <v>1.0900000000000001</v>
      </c>
      <c r="N247" s="1">
        <v>1.27</v>
      </c>
      <c r="P247" s="3">
        <v>43008</v>
      </c>
      <c r="Q247" s="6">
        <v>21.28</v>
      </c>
      <c r="R247" s="1">
        <v>1.29</v>
      </c>
      <c r="S247" s="7">
        <v>0.91</v>
      </c>
      <c r="U247" s="8">
        <v>0.1168</v>
      </c>
      <c r="V247" s="9">
        <v>24</v>
      </c>
      <c r="W247" s="1">
        <v>14.41</v>
      </c>
      <c r="Y247" s="1">
        <f>12310/1660</f>
        <v>7.4156626506024095</v>
      </c>
      <c r="Z247" s="8">
        <f t="shared" si="58"/>
        <v>0.1747095506941547</v>
      </c>
      <c r="AE247" s="1">
        <v>1.01</v>
      </c>
      <c r="AF247" s="10">
        <f t="shared" ref="AF247:AF263" si="59">+AE247/I247</f>
        <v>2.883242934627462E-2</v>
      </c>
    </row>
    <row r="248" spans="2:32" x14ac:dyDescent="0.25">
      <c r="B248" s="1">
        <f t="shared" si="54"/>
        <v>36.72</v>
      </c>
      <c r="C248" s="2">
        <f t="shared" si="55"/>
        <v>26.228571428571428</v>
      </c>
      <c r="D248" s="2">
        <f t="shared" si="56"/>
        <v>30.857142857142858</v>
      </c>
      <c r="E248">
        <v>310</v>
      </c>
      <c r="F248" t="s">
        <v>38</v>
      </c>
      <c r="G248" s="3" t="s">
        <v>39</v>
      </c>
      <c r="H248" s="3">
        <v>43098</v>
      </c>
      <c r="I248" s="1">
        <v>36.72</v>
      </c>
      <c r="J248" s="4">
        <v>40.159999999999997</v>
      </c>
      <c r="L248" s="5">
        <f t="shared" si="57"/>
        <v>2.1504860000000003</v>
      </c>
      <c r="M248" s="1">
        <v>1.4</v>
      </c>
      <c r="N248" s="1">
        <v>1.19</v>
      </c>
      <c r="P248" s="3">
        <v>43100</v>
      </c>
      <c r="Q248" s="6">
        <v>21.95</v>
      </c>
      <c r="R248" s="1">
        <v>1.3</v>
      </c>
      <c r="S248" s="7">
        <v>1</v>
      </c>
      <c r="U248" s="8">
        <v>0.1391</v>
      </c>
      <c r="V248" s="9">
        <v>25.67</v>
      </c>
      <c r="W248" s="1">
        <v>15.46</v>
      </c>
      <c r="Y248" s="1">
        <f>12480/1660</f>
        <v>7.5180722891566267</v>
      </c>
      <c r="Z248" s="8">
        <f t="shared" si="58"/>
        <v>0.16994574808811033</v>
      </c>
      <c r="AE248" s="1">
        <v>1.1499999999999999</v>
      </c>
      <c r="AF248" s="10">
        <f t="shared" si="59"/>
        <v>3.1318082788671021E-2</v>
      </c>
    </row>
    <row r="249" spans="2:32" x14ac:dyDescent="0.25">
      <c r="B249" s="1">
        <f t="shared" si="54"/>
        <v>34.658651685393259</v>
      </c>
      <c r="C249" s="2">
        <f t="shared" si="55"/>
        <v>19.804943820224718</v>
      </c>
      <c r="D249" s="2">
        <f t="shared" si="56"/>
        <v>17.32932584269663</v>
      </c>
      <c r="E249">
        <v>311</v>
      </c>
      <c r="F249" t="s">
        <v>38</v>
      </c>
      <c r="G249" s="3" t="s">
        <v>39</v>
      </c>
      <c r="H249" s="3">
        <v>43188</v>
      </c>
      <c r="I249" s="1">
        <v>34.54</v>
      </c>
      <c r="L249" s="5">
        <f t="shared" si="57"/>
        <v>1.7705340000000001</v>
      </c>
      <c r="M249" s="1">
        <v>1.75</v>
      </c>
      <c r="N249" s="1">
        <v>2</v>
      </c>
      <c r="P249" s="3">
        <v>43189</v>
      </c>
      <c r="Q249" s="6">
        <v>21.43</v>
      </c>
      <c r="R249" s="1">
        <v>0.96</v>
      </c>
      <c r="S249" s="7">
        <v>0.89</v>
      </c>
      <c r="U249" s="8">
        <v>0.1178</v>
      </c>
      <c r="V249" s="9">
        <v>24.86</v>
      </c>
      <c r="W249" s="1">
        <v>15.03</v>
      </c>
      <c r="Y249" s="1">
        <f>13290/1660</f>
        <v>8.0060240963855414</v>
      </c>
      <c r="Z249" s="8">
        <f t="shared" si="58"/>
        <v>0.18817326099022463</v>
      </c>
      <c r="AE249" s="1">
        <v>1.1200000000000001</v>
      </c>
      <c r="AF249" s="10">
        <f t="shared" si="59"/>
        <v>3.2426172553561096E-2</v>
      </c>
    </row>
    <row r="250" spans="2:32" x14ac:dyDescent="0.25">
      <c r="B250" s="1">
        <f t="shared" si="54"/>
        <v>40.793707865168543</v>
      </c>
      <c r="C250" s="2">
        <f t="shared" si="55"/>
        <v>23.31069020866774</v>
      </c>
      <c r="D250" s="2">
        <f t="shared" si="56"/>
        <v>20.396853932584271</v>
      </c>
      <c r="E250">
        <v>312</v>
      </c>
      <c r="F250" t="s">
        <v>38</v>
      </c>
      <c r="G250" s="3" t="s">
        <v>39</v>
      </c>
      <c r="H250" s="3">
        <v>43280</v>
      </c>
      <c r="I250" s="1">
        <v>40.68</v>
      </c>
      <c r="J250" s="4">
        <v>42.83</v>
      </c>
      <c r="L250" s="5">
        <f t="shared" si="57"/>
        <v>2.0249250000000001</v>
      </c>
      <c r="M250" s="1">
        <v>1.75</v>
      </c>
      <c r="N250" s="1">
        <v>2</v>
      </c>
      <c r="P250" s="3">
        <v>43280</v>
      </c>
      <c r="Q250" s="6">
        <v>21.04</v>
      </c>
      <c r="R250" s="1">
        <v>0.92</v>
      </c>
      <c r="S250" s="7">
        <v>0.89</v>
      </c>
      <c r="U250" s="8">
        <v>0.1225</v>
      </c>
      <c r="V250" s="9">
        <v>27.19</v>
      </c>
      <c r="W250" s="1">
        <v>16.53</v>
      </c>
      <c r="Y250" s="1">
        <f>13640/1630</f>
        <v>8.3680981595092021</v>
      </c>
      <c r="Z250" s="8">
        <f t="shared" si="58"/>
        <v>0.17061004347804334</v>
      </c>
      <c r="AE250" s="1">
        <v>1.0900000000000001</v>
      </c>
      <c r="AF250" s="10">
        <f t="shared" si="59"/>
        <v>2.6794493608652901E-2</v>
      </c>
    </row>
    <row r="251" spans="2:32" x14ac:dyDescent="0.25">
      <c r="B251" s="1">
        <f t="shared" si="54"/>
        <v>38.772043010752682</v>
      </c>
      <c r="C251" s="2">
        <f t="shared" si="55"/>
        <v>22.155453149001534</v>
      </c>
      <c r="D251" s="2">
        <f t="shared" si="56"/>
        <v>19.386021505376341</v>
      </c>
      <c r="E251">
        <v>313</v>
      </c>
      <c r="F251" t="s">
        <v>38</v>
      </c>
      <c r="G251" s="3" t="s">
        <v>39</v>
      </c>
      <c r="H251" s="3">
        <v>43371</v>
      </c>
      <c r="I251" s="1">
        <v>38.69</v>
      </c>
      <c r="J251" s="4">
        <v>42.83</v>
      </c>
      <c r="L251" s="5">
        <f t="shared" si="57"/>
        <v>2.2778550000000002</v>
      </c>
      <c r="M251" s="1">
        <v>1.75</v>
      </c>
      <c r="N251" s="1">
        <v>2</v>
      </c>
      <c r="P251" s="3">
        <v>43372</v>
      </c>
      <c r="Q251" s="6">
        <v>21.37</v>
      </c>
      <c r="R251" s="1">
        <v>1.0900000000000001</v>
      </c>
      <c r="S251" s="7">
        <v>0.93</v>
      </c>
      <c r="U251" s="8">
        <v>0.12690000000000001</v>
      </c>
      <c r="V251" s="9">
        <v>29.36</v>
      </c>
      <c r="W251" s="1">
        <v>17.95</v>
      </c>
      <c r="Y251" s="1">
        <f>12540/1620</f>
        <v>7.7407407407407405</v>
      </c>
      <c r="Z251" s="8">
        <f t="shared" si="58"/>
        <v>0.16671585715083398</v>
      </c>
      <c r="AE251" s="1">
        <v>1.0900000000000001</v>
      </c>
      <c r="AF251" s="10">
        <f t="shared" si="59"/>
        <v>2.8172654432669943E-2</v>
      </c>
    </row>
    <row r="252" spans="2:32" x14ac:dyDescent="0.25">
      <c r="E252">
        <v>314</v>
      </c>
      <c r="F252" t="s">
        <v>38</v>
      </c>
      <c r="G252" s="3" t="s">
        <v>39</v>
      </c>
      <c r="H252" s="3">
        <v>43465</v>
      </c>
      <c r="I252" s="1">
        <v>27.97</v>
      </c>
      <c r="J252" s="4">
        <v>42.83</v>
      </c>
      <c r="M252" s="1">
        <v>1.75</v>
      </c>
      <c r="N252" s="1">
        <v>2</v>
      </c>
      <c r="P252" s="3">
        <v>43464</v>
      </c>
      <c r="Q252" s="6">
        <v>21.37</v>
      </c>
      <c r="R252" s="1" t="s">
        <v>40</v>
      </c>
      <c r="S252" s="7">
        <v>0.84</v>
      </c>
      <c r="U252" s="8">
        <v>8.5400000000000004E-2</v>
      </c>
      <c r="V252" s="9" t="s">
        <v>40</v>
      </c>
      <c r="W252" s="1" t="s">
        <v>40</v>
      </c>
      <c r="Y252" s="1" t="s">
        <v>40</v>
      </c>
      <c r="Z252" s="8" t="e">
        <f t="shared" si="58"/>
        <v>#VALUE!</v>
      </c>
      <c r="AE252" s="1">
        <v>1.26</v>
      </c>
      <c r="AF252" s="10">
        <f t="shared" si="59"/>
        <v>4.504826599928495E-2</v>
      </c>
    </row>
    <row r="253" spans="2:32" x14ac:dyDescent="0.25">
      <c r="E253">
        <v>315</v>
      </c>
      <c r="F253" t="s">
        <v>38</v>
      </c>
      <c r="G253" s="3" t="s">
        <v>39</v>
      </c>
      <c r="H253" s="3">
        <v>43551</v>
      </c>
      <c r="I253" s="1">
        <v>32.44</v>
      </c>
      <c r="M253" s="1">
        <v>1.75</v>
      </c>
      <c r="N253" s="1">
        <v>2</v>
      </c>
      <c r="P253" s="3">
        <v>43555</v>
      </c>
      <c r="Q253" s="6">
        <v>21.37</v>
      </c>
      <c r="R253" s="1" t="s">
        <v>40</v>
      </c>
      <c r="S253" s="7">
        <v>0.88</v>
      </c>
      <c r="U253" s="8">
        <v>0.1026</v>
      </c>
      <c r="V253" s="9" t="s">
        <v>40</v>
      </c>
      <c r="W253" s="1" t="s">
        <v>40</v>
      </c>
      <c r="Y253" s="1" t="s">
        <v>40</v>
      </c>
      <c r="Z253" s="8" t="e">
        <f t="shared" si="58"/>
        <v>#VALUE!</v>
      </c>
      <c r="AE253" s="1">
        <v>1.26</v>
      </c>
      <c r="AF253" s="10">
        <f t="shared" si="59"/>
        <v>3.8840937114673249E-2</v>
      </c>
    </row>
    <row r="254" spans="2:32" x14ac:dyDescent="0.25">
      <c r="E254">
        <v>316</v>
      </c>
      <c r="F254" t="s">
        <v>38</v>
      </c>
      <c r="G254" s="3" t="s">
        <v>39</v>
      </c>
      <c r="H254" s="3">
        <v>43644</v>
      </c>
      <c r="I254" s="1">
        <v>31.16</v>
      </c>
      <c r="M254" s="1">
        <v>1.75</v>
      </c>
      <c r="N254" s="1">
        <v>2</v>
      </c>
      <c r="P254" s="3">
        <v>43645</v>
      </c>
      <c r="Q254" s="6">
        <v>21.37</v>
      </c>
      <c r="R254" s="1" t="s">
        <v>40</v>
      </c>
      <c r="S254" s="7">
        <v>0.98</v>
      </c>
      <c r="U254" s="8">
        <v>0.14899999999999999</v>
      </c>
      <c r="V254" s="9" t="s">
        <v>40</v>
      </c>
      <c r="W254" s="1" t="s">
        <v>40</v>
      </c>
      <c r="Y254" s="1" t="s">
        <v>40</v>
      </c>
      <c r="Z254" s="8" t="e">
        <f t="shared" si="58"/>
        <v>#VALUE!</v>
      </c>
      <c r="AE254" s="1">
        <v>1.28</v>
      </c>
      <c r="AF254" s="10">
        <f t="shared" si="59"/>
        <v>4.1078305519897308E-2</v>
      </c>
    </row>
    <row r="255" spans="2:32" x14ac:dyDescent="0.25">
      <c r="E255">
        <v>317</v>
      </c>
      <c r="F255" t="s">
        <v>38</v>
      </c>
      <c r="G255" s="3" t="s">
        <v>39</v>
      </c>
      <c r="H255" s="3">
        <v>43738</v>
      </c>
      <c r="I255" s="1">
        <v>31.58</v>
      </c>
      <c r="M255" s="1">
        <v>1.75</v>
      </c>
      <c r="N255" s="1">
        <v>2</v>
      </c>
      <c r="P255" s="3">
        <v>43737</v>
      </c>
      <c r="Q255" s="6">
        <v>21.37</v>
      </c>
      <c r="R255" s="1" t="s">
        <v>40</v>
      </c>
      <c r="S255" s="7">
        <v>0.96</v>
      </c>
      <c r="U255" s="8">
        <v>0.13239999999999999</v>
      </c>
      <c r="V255" s="9" t="s">
        <v>40</v>
      </c>
      <c r="W255" s="1" t="s">
        <v>40</v>
      </c>
      <c r="Y255" s="1" t="s">
        <v>40</v>
      </c>
      <c r="Z255" s="8" t="e">
        <f t="shared" si="58"/>
        <v>#VALUE!</v>
      </c>
      <c r="AE255" s="1">
        <v>1.27</v>
      </c>
      <c r="AF255" s="10">
        <f t="shared" si="59"/>
        <v>4.021532615579481E-2</v>
      </c>
    </row>
    <row r="256" spans="2:32" x14ac:dyDescent="0.25">
      <c r="E256">
        <v>318</v>
      </c>
      <c r="F256" t="s">
        <v>38</v>
      </c>
      <c r="G256" s="3" t="s">
        <v>39</v>
      </c>
      <c r="H256" s="3">
        <v>43830</v>
      </c>
      <c r="I256" s="1">
        <v>32.799999999999997</v>
      </c>
      <c r="M256" s="1">
        <v>1.75</v>
      </c>
      <c r="N256" s="1">
        <v>2</v>
      </c>
      <c r="P256" s="3">
        <v>43830</v>
      </c>
      <c r="Q256" s="6">
        <v>21.37</v>
      </c>
      <c r="R256" s="1" t="s">
        <v>40</v>
      </c>
      <c r="S256" s="7">
        <v>0.94</v>
      </c>
      <c r="U256" s="8">
        <v>7.4300000000000005E-2</v>
      </c>
      <c r="V256" s="9" t="s">
        <v>40</v>
      </c>
      <c r="W256" s="1" t="s">
        <v>40</v>
      </c>
      <c r="Y256" s="1" t="s">
        <v>40</v>
      </c>
      <c r="Z256" s="8" t="e">
        <f t="shared" si="58"/>
        <v>#VALUE!</v>
      </c>
      <c r="AE256" s="1">
        <v>1.4</v>
      </c>
      <c r="AF256" s="10">
        <f t="shared" si="59"/>
        <v>4.2682926829268296E-2</v>
      </c>
    </row>
    <row r="257" spans="2:32" x14ac:dyDescent="0.25">
      <c r="E257">
        <v>319</v>
      </c>
      <c r="F257" t="s">
        <v>38</v>
      </c>
      <c r="G257" s="3" t="s">
        <v>39</v>
      </c>
      <c r="H257" s="3">
        <v>43921</v>
      </c>
      <c r="I257" s="1">
        <v>15.8</v>
      </c>
      <c r="J257" s="4">
        <v>42.83</v>
      </c>
      <c r="M257" s="1">
        <v>1.75</v>
      </c>
      <c r="N257" s="1">
        <v>2</v>
      </c>
      <c r="P257" s="3">
        <v>43920</v>
      </c>
      <c r="Q257" s="6">
        <v>21.37</v>
      </c>
      <c r="R257" s="1" t="s">
        <v>40</v>
      </c>
      <c r="S257" s="7">
        <v>0.81</v>
      </c>
      <c r="U257" s="8">
        <v>-5.7000000000000002E-2</v>
      </c>
      <c r="V257" s="9" t="s">
        <v>40</v>
      </c>
      <c r="W257" s="1" t="s">
        <v>40</v>
      </c>
      <c r="Y257" s="1" t="s">
        <v>40</v>
      </c>
      <c r="Z257" s="8" t="e">
        <f t="shared" si="58"/>
        <v>#VALUE!</v>
      </c>
      <c r="AE257" s="1">
        <v>0.6</v>
      </c>
      <c r="AF257" s="10">
        <f t="shared" si="59"/>
        <v>3.7974683544303792E-2</v>
      </c>
    </row>
    <row r="258" spans="2:32" x14ac:dyDescent="0.25">
      <c r="E258">
        <v>320</v>
      </c>
      <c r="F258" t="s">
        <v>38</v>
      </c>
      <c r="G258" s="3" t="s">
        <v>39</v>
      </c>
      <c r="H258" s="3">
        <v>44012</v>
      </c>
      <c r="I258" s="1">
        <v>16.86</v>
      </c>
      <c r="J258" s="4">
        <v>42.83</v>
      </c>
      <c r="M258" s="1">
        <v>1.75</v>
      </c>
      <c r="N258" s="1">
        <v>2</v>
      </c>
      <c r="P258" s="3">
        <v>44012</v>
      </c>
      <c r="Q258" s="6">
        <v>21.37</v>
      </c>
      <c r="R258" s="1" t="s">
        <v>40</v>
      </c>
      <c r="S258" s="7">
        <v>1.02</v>
      </c>
      <c r="U258" s="8">
        <v>-0.17599999999999999</v>
      </c>
      <c r="V258" s="9" t="s">
        <v>40</v>
      </c>
      <c r="W258" s="1" t="s">
        <v>40</v>
      </c>
      <c r="Y258" s="1" t="s">
        <v>40</v>
      </c>
      <c r="Z258" s="8" t="e">
        <f t="shared" si="58"/>
        <v>#VALUE!</v>
      </c>
      <c r="AE258" s="1">
        <v>0.62</v>
      </c>
      <c r="AF258" s="10">
        <f t="shared" si="59"/>
        <v>3.6773428232502965E-2</v>
      </c>
    </row>
    <row r="259" spans="2:32" x14ac:dyDescent="0.25">
      <c r="E259">
        <v>321</v>
      </c>
      <c r="F259" t="s">
        <v>38</v>
      </c>
      <c r="G259" s="3" t="s">
        <v>39</v>
      </c>
      <c r="H259" s="3">
        <v>44104</v>
      </c>
      <c r="I259" s="1">
        <v>12.23</v>
      </c>
      <c r="M259" s="1">
        <v>1.75</v>
      </c>
      <c r="N259" s="1">
        <v>2</v>
      </c>
      <c r="P259" s="3">
        <v>44104</v>
      </c>
      <c r="Q259" s="6">
        <v>21.37</v>
      </c>
      <c r="R259" s="1" t="s">
        <v>40</v>
      </c>
      <c r="S259" s="7">
        <v>0.98</v>
      </c>
      <c r="U259" s="8">
        <v>-0.2356</v>
      </c>
      <c r="V259" s="9" t="s">
        <v>40</v>
      </c>
      <c r="W259" s="1" t="s">
        <v>40</v>
      </c>
      <c r="Y259" s="1" t="s">
        <v>40</v>
      </c>
      <c r="Z259" s="8" t="e">
        <f t="shared" si="58"/>
        <v>#VALUE!</v>
      </c>
      <c r="AE259" s="1">
        <v>0.63</v>
      </c>
      <c r="AF259" s="10">
        <f t="shared" si="59"/>
        <v>5.1512673753066229E-2</v>
      </c>
    </row>
    <row r="260" spans="2:32" x14ac:dyDescent="0.25">
      <c r="E260">
        <v>322</v>
      </c>
      <c r="F260" t="s">
        <v>38</v>
      </c>
      <c r="G260" s="3" t="s">
        <v>39</v>
      </c>
      <c r="H260" s="3">
        <v>44196</v>
      </c>
      <c r="I260" s="1">
        <v>16.78</v>
      </c>
      <c r="J260" s="4">
        <v>42.83</v>
      </c>
      <c r="M260" s="1">
        <v>1.75</v>
      </c>
      <c r="N260" s="1">
        <v>2</v>
      </c>
      <c r="P260" s="3">
        <v>44196</v>
      </c>
      <c r="Q260" s="6">
        <v>21.37</v>
      </c>
      <c r="R260" s="1" t="s">
        <v>40</v>
      </c>
      <c r="S260" s="7">
        <v>0.89</v>
      </c>
      <c r="U260" s="8">
        <v>-0.17510000000000001</v>
      </c>
      <c r="V260" s="9" t="s">
        <v>40</v>
      </c>
      <c r="W260" s="1" t="s">
        <v>40</v>
      </c>
      <c r="Y260" s="1" t="s">
        <v>40</v>
      </c>
      <c r="Z260" s="8" t="e">
        <f t="shared" si="58"/>
        <v>#VALUE!</v>
      </c>
      <c r="AB260" s="1" t="s">
        <v>40</v>
      </c>
      <c r="AC260" s="1" t="s">
        <v>40</v>
      </c>
      <c r="AE260" s="1">
        <v>0.66</v>
      </c>
      <c r="AF260" s="10">
        <f t="shared" si="59"/>
        <v>3.9332538736591177E-2</v>
      </c>
    </row>
    <row r="261" spans="2:32" x14ac:dyDescent="0.25">
      <c r="E261">
        <v>323</v>
      </c>
      <c r="F261" t="s">
        <v>38</v>
      </c>
      <c r="G261" s="3" t="s">
        <v>39</v>
      </c>
      <c r="H261" s="3">
        <v>44286</v>
      </c>
      <c r="I261" s="1">
        <v>20.9</v>
      </c>
      <c r="J261" s="4">
        <v>42.83</v>
      </c>
      <c r="M261" s="1">
        <v>1.75</v>
      </c>
      <c r="N261" s="1">
        <v>2</v>
      </c>
      <c r="P261" s="3">
        <v>44286</v>
      </c>
      <c r="Q261" s="6">
        <v>24.01</v>
      </c>
      <c r="R261" s="1">
        <v>1.17</v>
      </c>
      <c r="S261" s="7">
        <v>1.0900000000000001</v>
      </c>
      <c r="U261" s="8">
        <v>1E-3</v>
      </c>
      <c r="V261" s="9">
        <v>25.95</v>
      </c>
      <c r="W261" s="1">
        <v>17.02</v>
      </c>
      <c r="Y261" s="1">
        <f>20590/1510</f>
        <v>13.635761589403973</v>
      </c>
      <c r="Z261" s="8">
        <f t="shared" si="58"/>
        <v>0.3948301980862528</v>
      </c>
      <c r="AB261" s="1">
        <f>3640/1510</f>
        <v>2.4105960264900661</v>
      </c>
      <c r="AC261" s="1">
        <f>-129/1510</f>
        <v>-8.5430463576158938E-2</v>
      </c>
      <c r="AE261" s="1">
        <v>0.68</v>
      </c>
      <c r="AF261" s="10">
        <f t="shared" si="59"/>
        <v>3.2535885167464119E-2</v>
      </c>
    </row>
    <row r="262" spans="2:32" x14ac:dyDescent="0.25">
      <c r="E262">
        <v>324</v>
      </c>
      <c r="F262" t="s">
        <v>38</v>
      </c>
      <c r="G262" s="3" t="s">
        <v>39</v>
      </c>
      <c r="H262" s="3">
        <v>44377</v>
      </c>
      <c r="I262" s="1">
        <v>23.97</v>
      </c>
      <c r="J262" s="4">
        <v>42.83</v>
      </c>
      <c r="M262" s="1">
        <v>1.75</v>
      </c>
      <c r="N262" s="1">
        <v>2</v>
      </c>
      <c r="P262" s="3">
        <v>44377</v>
      </c>
      <c r="Q262" s="6">
        <v>24.3</v>
      </c>
      <c r="R262" s="1">
        <v>1.37</v>
      </c>
      <c r="S262" s="7">
        <v>1.04</v>
      </c>
      <c r="U262" s="8">
        <v>4.8899999999999999E-2</v>
      </c>
      <c r="V262" s="9">
        <v>30.88</v>
      </c>
      <c r="W262" s="1">
        <v>20.34</v>
      </c>
      <c r="Y262" s="1">
        <f>20720/1480</f>
        <v>14</v>
      </c>
      <c r="Z262" s="8">
        <f t="shared" si="58"/>
        <v>0.36871214116407691</v>
      </c>
      <c r="AB262" s="1">
        <f>6490/1480</f>
        <v>4.3851351351351351</v>
      </c>
      <c r="AC262" s="1">
        <f>2780/1480</f>
        <v>1.8783783783783783</v>
      </c>
      <c r="AE262" s="1">
        <v>0.67</v>
      </c>
      <c r="AF262" s="10">
        <f t="shared" si="59"/>
        <v>2.7951606174384649E-2</v>
      </c>
    </row>
    <row r="263" spans="2:32" x14ac:dyDescent="0.25">
      <c r="E263">
        <v>325</v>
      </c>
      <c r="F263" t="s">
        <v>38</v>
      </c>
      <c r="G263" s="3" t="s">
        <v>39</v>
      </c>
      <c r="H263" s="3">
        <v>44469</v>
      </c>
      <c r="I263" s="1">
        <v>20.74</v>
      </c>
      <c r="J263" s="4">
        <v>27.03</v>
      </c>
      <c r="M263" s="1">
        <v>2.17</v>
      </c>
      <c r="N263" s="1">
        <v>2.68</v>
      </c>
      <c r="P263" s="3">
        <v>44469</v>
      </c>
      <c r="Q263" s="6">
        <v>24.83</v>
      </c>
      <c r="R263" s="1">
        <v>1.59</v>
      </c>
      <c r="S263" s="7">
        <v>0.99</v>
      </c>
      <c r="U263" s="8">
        <v>6.93E-2</v>
      </c>
      <c r="V263" s="9">
        <v>34.6</v>
      </c>
      <c r="W263" s="1">
        <v>22.95</v>
      </c>
      <c r="Y263" s="1">
        <f>18980/1460</f>
        <v>13</v>
      </c>
      <c r="Z263" s="8">
        <f t="shared" si="58"/>
        <v>0.38529934795494969</v>
      </c>
      <c r="AB263" s="1">
        <f>9960/1460</f>
        <v>6.8219178082191778</v>
      </c>
      <c r="AC263" s="1">
        <f>5260/1460</f>
        <v>3.6027397260273974</v>
      </c>
      <c r="AE263" s="1">
        <v>1.36</v>
      </c>
      <c r="AF263" s="10">
        <f t="shared" si="59"/>
        <v>6.5573770491803282E-2</v>
      </c>
    </row>
    <row r="264" spans="2:32" x14ac:dyDescent="0.25">
      <c r="E264">
        <v>326</v>
      </c>
      <c r="F264" t="s">
        <v>38</v>
      </c>
      <c r="G264" s="3" t="s">
        <v>39</v>
      </c>
      <c r="H264" s="3">
        <f>VLOOKUP(G264,oil,3,FALSE)</f>
        <v>44519</v>
      </c>
      <c r="I264" s="1">
        <f>VLOOKUP(G264,oil,2,FALSE)</f>
        <v>25.03</v>
      </c>
    </row>
    <row r="265" spans="2:32" x14ac:dyDescent="0.25">
      <c r="E265">
        <v>327</v>
      </c>
      <c r="F265" t="s">
        <v>38</v>
      </c>
      <c r="G265" s="3" t="s">
        <v>39</v>
      </c>
      <c r="H265" s="3">
        <v>44651</v>
      </c>
    </row>
    <row r="266" spans="2:32" x14ac:dyDescent="0.25">
      <c r="E266">
        <v>328</v>
      </c>
      <c r="F266" t="s">
        <v>38</v>
      </c>
      <c r="G266" s="3" t="s">
        <v>39</v>
      </c>
      <c r="H266" s="3">
        <v>44742</v>
      </c>
    </row>
    <row r="267" spans="2:32" x14ac:dyDescent="0.25">
      <c r="E267">
        <v>329</v>
      </c>
      <c r="F267" t="s">
        <v>38</v>
      </c>
      <c r="G267" s="3" t="s">
        <v>39</v>
      </c>
      <c r="H267" s="3">
        <v>44834</v>
      </c>
    </row>
    <row r="268" spans="2:32" s="15" customFormat="1" x14ac:dyDescent="0.25">
      <c r="B268" s="16"/>
      <c r="C268" s="17"/>
      <c r="E268" s="15">
        <v>330</v>
      </c>
      <c r="F268" s="15" t="s">
        <v>38</v>
      </c>
      <c r="G268" s="18" t="s">
        <v>39</v>
      </c>
      <c r="H268" s="18">
        <v>44926</v>
      </c>
      <c r="I268" s="16"/>
      <c r="J268" s="19"/>
      <c r="L268" s="20"/>
      <c r="M268" s="16"/>
      <c r="N268" s="16"/>
      <c r="P268" s="18"/>
      <c r="Q268" s="21"/>
      <c r="R268" s="16"/>
      <c r="S268" s="22"/>
      <c r="U268" s="23"/>
      <c r="V268" s="24"/>
      <c r="W268" s="16"/>
      <c r="Y268" s="16"/>
      <c r="Z268" s="23"/>
      <c r="AA268" s="23"/>
      <c r="AB268" s="16"/>
      <c r="AC268" s="16"/>
      <c r="AE268" s="16"/>
      <c r="AF268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Archer</dc:creator>
  <cp:lastModifiedBy>Doug Archer</cp:lastModifiedBy>
  <dcterms:created xsi:type="dcterms:W3CDTF">2021-12-29T20:15:09Z</dcterms:created>
  <dcterms:modified xsi:type="dcterms:W3CDTF">2021-12-29T20:15:37Z</dcterms:modified>
</cp:coreProperties>
</file>