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tateofwa.sharepoint.com/sites/DFW-TeamFPCrustyAll/Shared Documents/Recreational Fisheries/Catch Memos/CRC Data Analysis/GitHub/Estimate Output/All Year Summary/"/>
    </mc:Choice>
  </mc:AlternateContent>
  <xr:revisionPtr revIDLastSave="1487" documentId="11_321E9A31DF85FEED433F3DD56FC1933699500642" xr6:coauthVersionLast="47" xr6:coauthVersionMax="47" xr10:uidLastSave="{AE2EE0F3-C684-44B0-86F5-4F32F1FA2C77}"/>
  <bookViews>
    <workbookView xWindow="-110" yWindow="-110" windowWidth="19420" windowHeight="10300" activeTab="1" xr2:uid="{00000000-000D-0000-FFFF-FFFF00000000}"/>
  </bookViews>
  <sheets>
    <sheet name="CRC Census Table 1" sheetId="1" r:id="rId1"/>
    <sheet name="CRC Census Table 2" sheetId="2" r:id="rId2"/>
    <sheet name="NR information" sheetId="7" r:id="rId3"/>
    <sheet name="NR_Total_Resprop" sheetId="12" r:id="rId4"/>
    <sheet name="Memo Table1" sheetId="14" r:id="rId5"/>
    <sheet name="Other Tables" sheetId="1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2" l="1"/>
  <c r="B6" i="14"/>
  <c r="F13" i="12" l="1"/>
  <c r="F12" i="12" l="1"/>
  <c r="G12" i="12" s="1"/>
  <c r="H12" i="12" s="1"/>
  <c r="I12" i="12" s="1"/>
  <c r="F11" i="12"/>
  <c r="G11" i="12" s="1"/>
  <c r="H11" i="12" s="1"/>
  <c r="I11" i="12" s="1"/>
  <c r="F10" i="12"/>
  <c r="G10" i="12" s="1"/>
  <c r="H10" i="12" s="1"/>
  <c r="I10" i="12" s="1"/>
  <c r="F9" i="12"/>
  <c r="G9" i="12" s="1"/>
  <c r="H9" i="12" s="1"/>
  <c r="I9" i="12" s="1"/>
  <c r="F8" i="12"/>
  <c r="G8" i="12" s="1"/>
  <c r="H8" i="12" s="1"/>
  <c r="I8" i="12" s="1"/>
  <c r="F7" i="12"/>
  <c r="G7" i="12" s="1"/>
  <c r="H7" i="12" s="1"/>
  <c r="I7" i="12" s="1"/>
  <c r="F6" i="12"/>
  <c r="G6" i="12" s="1"/>
  <c r="H6" i="12" s="1"/>
  <c r="I6" i="12" s="1"/>
  <c r="F5" i="12"/>
  <c r="G5" i="12" s="1"/>
  <c r="H5" i="12" s="1"/>
  <c r="I5" i="12" s="1"/>
  <c r="F4" i="12"/>
  <c r="G4" i="12" s="1"/>
  <c r="H4" i="12" s="1"/>
  <c r="I4" i="12" s="1"/>
  <c r="F3" i="12"/>
  <c r="G13" i="12"/>
  <c r="H13" i="12" s="1"/>
  <c r="F14" i="12" l="1"/>
  <c r="G3" i="12"/>
  <c r="H3" i="12" s="1"/>
  <c r="I3" i="12" s="1"/>
  <c r="D3" i="7"/>
  <c r="G14" i="12" l="1"/>
  <c r="H14" i="12" s="1"/>
  <c r="I14" i="12" s="1"/>
  <c r="E3" i="7"/>
  <c r="H3" i="7"/>
  <c r="C23" i="17" l="1"/>
  <c r="D23" i="17" s="1"/>
  <c r="C28" i="17"/>
  <c r="C21" i="17"/>
  <c r="D21" i="17" s="1"/>
  <c r="E21" i="17" s="1"/>
  <c r="C26" i="17"/>
  <c r="D26" i="17" s="1"/>
  <c r="C22" i="17"/>
  <c r="D22" i="17"/>
  <c r="C20" i="17"/>
  <c r="D20" i="17" s="1"/>
  <c r="E20" i="17" s="1"/>
  <c r="C24" i="17"/>
  <c r="C25" i="17"/>
  <c r="C19" i="17"/>
  <c r="D19" i="17"/>
  <c r="C27" i="17"/>
  <c r="D27" i="17" s="1"/>
  <c r="C18" i="17"/>
  <c r="C29" i="17" l="1"/>
  <c r="E22" i="17"/>
  <c r="E26" i="17"/>
  <c r="E19" i="17"/>
  <c r="D25" i="17"/>
  <c r="E25" i="17" s="1"/>
  <c r="D28" i="17"/>
  <c r="E28" i="17" s="1"/>
  <c r="E23" i="17"/>
  <c r="D24" i="17"/>
  <c r="E24" i="17" s="1"/>
  <c r="E27" i="17"/>
  <c r="D18" i="17"/>
  <c r="D29" i="17" l="1"/>
  <c r="E29" i="17" s="1"/>
  <c r="E18" i="17"/>
</calcChain>
</file>

<file path=xl/sharedStrings.xml><?xml version="1.0" encoding="utf-8"?>
<sst xmlns="http://schemas.openxmlformats.org/spreadsheetml/2006/main" count="112" uniqueCount="62">
  <si>
    <t>Marine Area</t>
  </si>
  <si>
    <t>In-Season</t>
  </si>
  <si>
    <t>Out of Season</t>
  </si>
  <si>
    <t>Unknown Date</t>
  </si>
  <si>
    <t>Total Crab</t>
  </si>
  <si>
    <t>Pounds (lbs.)</t>
  </si>
  <si>
    <t>4</t>
  </si>
  <si>
    <t>5</t>
  </si>
  <si>
    <t>6</t>
  </si>
  <si>
    <t>7</t>
  </si>
  <si>
    <t>8</t>
  </si>
  <si>
    <t>81</t>
  </si>
  <si>
    <t>82</t>
  </si>
  <si>
    <t>9</t>
  </si>
  <si>
    <t>10</t>
  </si>
  <si>
    <t>11</t>
  </si>
  <si>
    <t>12</t>
  </si>
  <si>
    <t>13</t>
  </si>
  <si>
    <t>192</t>
  </si>
  <si>
    <t>Total</t>
  </si>
  <si>
    <t>9 (non-25C)</t>
  </si>
  <si>
    <t>Year</t>
  </si>
  <si>
    <t xml:space="preserve"># Crabbers </t>
  </si>
  <si>
    <t># Reported</t>
  </si>
  <si>
    <t># NR</t>
  </si>
  <si>
    <t>% NR</t>
  </si>
  <si>
    <t>Mean catch per repondent</t>
  </si>
  <si>
    <t>Total estimated NR crabs (all non-respondents)</t>
  </si>
  <si>
    <t>*Catch %</t>
  </si>
  <si>
    <t>NR Catch (Crab)</t>
  </si>
  <si>
    <t>Total Catch</t>
  </si>
  <si>
    <t>Total Catch Lbs</t>
  </si>
  <si>
    <t>NR Catch</t>
  </si>
  <si>
    <t>RM Data/Triba Proposal</t>
  </si>
  <si>
    <t>Mean Catch per NR *</t>
  </si>
  <si>
    <t>* Crab kept per non-respondent crabber determined using data from telephone/email surveys and applying data processing rules agreed-to by the JTWG</t>
  </si>
  <si>
    <t>* catch is proportionally distributed across areas by known catches from respondents.</t>
  </si>
  <si>
    <t>Number of non-respondents surveyed</t>
  </si>
  <si>
    <t>Number of surveyed crabbers retaining crab</t>
  </si>
  <si>
    <t>Number of crabs retained by surveyed crabbers</t>
  </si>
  <si>
    <t xml:space="preserve">Average catch per surveyed non-respondent crabber </t>
  </si>
  <si>
    <t>Total number non-respondents in summer 2024</t>
  </si>
  <si>
    <t>Total number of crabs caught by non-resondents in 2024</t>
  </si>
  <si>
    <t>Details for Estimating Catch of Non-Respondents</t>
  </si>
  <si>
    <t>Catch Proportion</t>
  </si>
  <si>
    <t>NR Catch (# Crab)</t>
  </si>
  <si>
    <t>Total Combined Catch (# Crab)</t>
  </si>
  <si>
    <t>Total Catch (lbs.)</t>
  </si>
  <si>
    <t>Total Census Crab (# Crab)</t>
  </si>
  <si>
    <t>2E</t>
  </si>
  <si>
    <t>2W</t>
  </si>
  <si>
    <t>-</t>
  </si>
  <si>
    <t>Crab Management Region</t>
  </si>
  <si>
    <t>3-4</t>
  </si>
  <si>
    <t>3-3</t>
  </si>
  <si>
    <t>3-1</t>
  </si>
  <si>
    <t>3-2</t>
  </si>
  <si>
    <t>4, 5</t>
  </si>
  <si>
    <t>8-1, 8-2</t>
  </si>
  <si>
    <t>12 (include 25C)</t>
  </si>
  <si>
    <t>Total Estimated Crab Catch</t>
  </si>
  <si>
    <t xml:space="preserve">Estimated Unreported Catch (EUC)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</si>
</sst>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1">
    <xf numFmtId="0" fontId="0" fillId="0" borderId="0" xfId="0"/>
    <xf numFmtId="0" fontId="1" fillId="0" borderId="0" xfId="0" applyFont="1" applyAlignment="1">
      <alignment horizontal="center"/>
    </xf>
    <xf numFmtId="1" fontId="0" fillId="0" borderId="0" xfId="0" applyNumberFormat="1"/>
    <xf numFmtId="0" fontId="1" fillId="0" borderId="0" xfId="0" applyFont="1"/>
    <xf numFmtId="0" fontId="0" fillId="0" borderId="0" xfId="0" applyFill="1"/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" fontId="1" fillId="3" borderId="0" xfId="0" applyNumberFormat="1" applyFont="1" applyFill="1"/>
    <xf numFmtId="2" fontId="0" fillId="0" borderId="5" xfId="0" applyNumberFormat="1" applyFill="1" applyBorder="1" applyAlignment="1">
      <alignment horizontal="left"/>
    </xf>
    <xf numFmtId="0" fontId="0" fillId="0" borderId="11" xfId="0" applyBorder="1" applyAlignment="1">
      <alignment horizontal="left" vertical="top" wrapText="1"/>
    </xf>
    <xf numFmtId="164" fontId="0" fillId="2" borderId="0" xfId="0" applyNumberFormat="1" applyFill="1" applyAlignment="1">
      <alignment horizontal="right"/>
    </xf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1" fontId="0" fillId="0" borderId="4" xfId="0" applyNumberFormat="1" applyBorder="1"/>
    <xf numFmtId="1" fontId="0" fillId="0" borderId="7" xfId="0" applyNumberFormat="1" applyBorder="1"/>
    <xf numFmtId="0" fontId="1" fillId="0" borderId="8" xfId="0" applyFont="1" applyBorder="1" applyAlignment="1">
      <alignment horizontal="right"/>
    </xf>
    <xf numFmtId="0" fontId="1" fillId="0" borderId="9" xfId="0" applyFont="1" applyBorder="1" applyAlignment="1">
      <alignment horizontal="right"/>
    </xf>
    <xf numFmtId="1" fontId="0" fillId="0" borderId="3" xfId="0" applyNumberFormat="1" applyBorder="1"/>
    <xf numFmtId="1" fontId="0" fillId="0" borderId="5" xfId="0" applyNumberFormat="1" applyBorder="1"/>
    <xf numFmtId="1" fontId="1" fillId="0" borderId="12" xfId="0" applyNumberFormat="1" applyFont="1" applyFill="1" applyBorder="1" applyAlignment="1">
      <alignment horizontal="left"/>
    </xf>
    <xf numFmtId="0" fontId="0" fillId="0" borderId="6" xfId="0" applyBorder="1" applyAlignment="1">
      <alignment horizontal="left"/>
    </xf>
    <xf numFmtId="1" fontId="0" fillId="0" borderId="7" xfId="0" applyNumberFormat="1" applyBorder="1" applyAlignment="1">
      <alignment horizontal="left"/>
    </xf>
    <xf numFmtId="0" fontId="0" fillId="0" borderId="1" xfId="0" applyBorder="1" applyAlignment="1">
      <alignment horizontal="center" vertical="top" wrapText="1"/>
    </xf>
    <xf numFmtId="0" fontId="0" fillId="0" borderId="13" xfId="0" applyBorder="1" applyAlignment="1">
      <alignment horizontal="left" vertical="top" wrapText="1"/>
    </xf>
    <xf numFmtId="0" fontId="0" fillId="0" borderId="5" xfId="0" applyBorder="1" applyAlignment="1">
      <alignment horizontal="left"/>
    </xf>
    <xf numFmtId="0" fontId="0" fillId="0" borderId="10" xfId="0" applyBorder="1"/>
    <xf numFmtId="1" fontId="1" fillId="0" borderId="10" xfId="0" applyNumberFormat="1" applyFont="1" applyBorder="1"/>
    <xf numFmtId="165" fontId="0" fillId="0" borderId="10" xfId="1" applyNumberFormat="1" applyFont="1" applyBorder="1"/>
    <xf numFmtId="164" fontId="0" fillId="0" borderId="10" xfId="0" applyNumberFormat="1" applyBorder="1"/>
    <xf numFmtId="0" fontId="0" fillId="4" borderId="10" xfId="0" applyFill="1" applyBorder="1" applyAlignment="1">
      <alignment vertical="top" wrapText="1"/>
    </xf>
    <xf numFmtId="0" fontId="1" fillId="4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16" fontId="0" fillId="0" borderId="10" xfId="0" quotePrefix="1" applyNumberForma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0" xfId="0" quotePrefix="1" applyFont="1" applyBorder="1" applyAlignment="1">
      <alignment horizontal="center"/>
    </xf>
    <xf numFmtId="165" fontId="0" fillId="0" borderId="10" xfId="1" applyNumberFormat="1" applyFont="1" applyBorder="1" applyAlignment="1">
      <alignment horizontal="center"/>
    </xf>
    <xf numFmtId="165" fontId="1" fillId="0" borderId="10" xfId="1" applyNumberFormat="1" applyFont="1" applyBorder="1" applyAlignment="1">
      <alignment horizontal="center"/>
    </xf>
    <xf numFmtId="0" fontId="0" fillId="0" borderId="10" xfId="0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166" fontId="1" fillId="0" borderId="6" xfId="0" applyNumberFormat="1" applyFont="1" applyFill="1" applyBorder="1" applyAlignment="1">
      <alignment horizontal="left"/>
    </xf>
    <xf numFmtId="166" fontId="0" fillId="0" borderId="10" xfId="0" applyNumberFormat="1" applyBorder="1"/>
    <xf numFmtId="0" fontId="0" fillId="0" borderId="10" xfId="0" applyBorder="1" applyAlignment="1">
      <alignment horizontal="right"/>
    </xf>
    <xf numFmtId="165" fontId="0" fillId="0" borderId="3" xfId="1" applyNumberFormat="1" applyFont="1" applyFill="1" applyBorder="1"/>
    <xf numFmtId="0" fontId="0" fillId="0" borderId="0" xfId="0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workbookViewId="0">
      <selection activeCell="H8" sqref="H8"/>
    </sheetView>
  </sheetViews>
  <sheetFormatPr defaultRowHeight="15" x14ac:dyDescent="0.25"/>
  <cols>
    <col min="1" max="1" width="13.5703125" customWidth="1"/>
    <col min="2" max="2" width="12.42578125" customWidth="1"/>
    <col min="3" max="3" width="15" customWidth="1"/>
    <col min="4" max="4" width="15.28515625" customWidth="1"/>
    <col min="5" max="5" width="12.5703125" customWidth="1"/>
    <col min="6" max="6" width="15.28515625" customWidth="1"/>
  </cols>
  <sheetData>
    <row r="1" spans="1:6" s="1" customFormat="1" x14ac:dyDescent="0.25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</row>
    <row r="2" spans="1:6" x14ac:dyDescent="0.25">
      <c r="A2" s="42" t="s">
        <v>6</v>
      </c>
      <c r="B2" s="42">
        <v>98</v>
      </c>
      <c r="C2" s="42">
        <v>0</v>
      </c>
      <c r="D2" s="42">
        <v>0</v>
      </c>
      <c r="E2" s="42">
        <v>98</v>
      </c>
      <c r="F2" s="42">
        <v>176</v>
      </c>
    </row>
    <row r="3" spans="1:6" x14ac:dyDescent="0.25">
      <c r="A3" s="42" t="s">
        <v>7</v>
      </c>
      <c r="B3" s="42">
        <v>303</v>
      </c>
      <c r="C3" s="42">
        <v>8</v>
      </c>
      <c r="D3" s="42">
        <v>0</v>
      </c>
      <c r="E3" s="42">
        <v>311</v>
      </c>
      <c r="F3" s="42">
        <v>560</v>
      </c>
    </row>
    <row r="4" spans="1:6" x14ac:dyDescent="0.25">
      <c r="A4" s="42" t="s">
        <v>8</v>
      </c>
      <c r="B4" s="42">
        <v>7939</v>
      </c>
      <c r="C4" s="42">
        <v>117</v>
      </c>
      <c r="D4" s="42">
        <v>0</v>
      </c>
      <c r="E4" s="42">
        <v>8056</v>
      </c>
      <c r="F4" s="42">
        <v>14501</v>
      </c>
    </row>
    <row r="5" spans="1:6" x14ac:dyDescent="0.25">
      <c r="A5" s="42" t="s">
        <v>9</v>
      </c>
      <c r="B5" s="42">
        <v>20855</v>
      </c>
      <c r="C5" s="42">
        <v>269</v>
      </c>
      <c r="D5" s="42">
        <v>15</v>
      </c>
      <c r="E5" s="42">
        <v>21139</v>
      </c>
      <c r="F5" s="42">
        <v>38050</v>
      </c>
    </row>
    <row r="6" spans="1:6" x14ac:dyDescent="0.25">
      <c r="A6" s="42" t="s">
        <v>10</v>
      </c>
      <c r="B6" s="42">
        <v>129</v>
      </c>
      <c r="C6" s="42">
        <v>15</v>
      </c>
      <c r="D6" s="42">
        <v>0</v>
      </c>
      <c r="E6" s="42">
        <v>144</v>
      </c>
      <c r="F6" s="42">
        <v>259</v>
      </c>
    </row>
    <row r="7" spans="1:6" x14ac:dyDescent="0.25">
      <c r="A7" s="42" t="s">
        <v>11</v>
      </c>
      <c r="B7" s="42">
        <v>7637</v>
      </c>
      <c r="C7" s="42">
        <v>99</v>
      </c>
      <c r="D7" s="42">
        <v>0</v>
      </c>
      <c r="E7" s="42">
        <v>7736</v>
      </c>
      <c r="F7" s="42">
        <v>13925</v>
      </c>
    </row>
    <row r="8" spans="1:6" x14ac:dyDescent="0.25">
      <c r="A8" s="42" t="s">
        <v>12</v>
      </c>
      <c r="B8" s="42">
        <v>11983</v>
      </c>
      <c r="C8" s="42">
        <v>161</v>
      </c>
      <c r="D8" s="42">
        <v>6</v>
      </c>
      <c r="E8" s="42">
        <v>12150</v>
      </c>
      <c r="F8" s="42">
        <v>21870</v>
      </c>
    </row>
    <row r="9" spans="1:6" x14ac:dyDescent="0.25">
      <c r="A9" s="42" t="s">
        <v>13</v>
      </c>
      <c r="B9" s="42">
        <v>14063</v>
      </c>
      <c r="C9" s="42">
        <v>133</v>
      </c>
      <c r="D9" s="42">
        <v>0</v>
      </c>
      <c r="E9" s="42">
        <v>14196</v>
      </c>
      <c r="F9" s="42">
        <v>25553</v>
      </c>
    </row>
    <row r="10" spans="1:6" x14ac:dyDescent="0.25">
      <c r="A10" s="42" t="s">
        <v>14</v>
      </c>
      <c r="B10" s="42">
        <v>5418</v>
      </c>
      <c r="C10" s="42">
        <v>297</v>
      </c>
      <c r="D10" s="42">
        <v>0</v>
      </c>
      <c r="E10" s="42">
        <v>5715</v>
      </c>
      <c r="F10" s="42">
        <v>10287</v>
      </c>
    </row>
    <row r="11" spans="1:6" x14ac:dyDescent="0.25">
      <c r="A11" s="42" t="s">
        <v>15</v>
      </c>
      <c r="B11" s="42">
        <v>11620</v>
      </c>
      <c r="C11" s="42">
        <v>112</v>
      </c>
      <c r="D11" s="42">
        <v>0</v>
      </c>
      <c r="E11" s="42">
        <v>11732</v>
      </c>
      <c r="F11" s="42">
        <v>21118</v>
      </c>
    </row>
    <row r="12" spans="1:6" x14ac:dyDescent="0.25">
      <c r="A12" s="42" t="s">
        <v>16</v>
      </c>
      <c r="B12" s="42">
        <v>4917</v>
      </c>
      <c r="C12" s="42">
        <v>40</v>
      </c>
      <c r="D12" s="42">
        <v>0</v>
      </c>
      <c r="E12" s="42">
        <v>4957</v>
      </c>
      <c r="F12" s="42">
        <v>8923</v>
      </c>
    </row>
    <row r="13" spans="1:6" x14ac:dyDescent="0.25">
      <c r="A13" s="42" t="s">
        <v>17</v>
      </c>
      <c r="B13" s="42">
        <v>0</v>
      </c>
      <c r="C13" s="42">
        <v>8</v>
      </c>
      <c r="D13" s="42">
        <v>0</v>
      </c>
      <c r="E13" s="42">
        <v>8</v>
      </c>
      <c r="F13" s="42">
        <v>14</v>
      </c>
    </row>
    <row r="14" spans="1:6" x14ac:dyDescent="0.25">
      <c r="A14" s="42" t="s">
        <v>18</v>
      </c>
      <c r="B14" s="42">
        <v>17</v>
      </c>
      <c r="C14" s="42">
        <v>37</v>
      </c>
      <c r="D14" s="42">
        <v>0</v>
      </c>
      <c r="E14" s="42">
        <v>54</v>
      </c>
      <c r="F14" s="42">
        <v>97</v>
      </c>
    </row>
    <row r="15" spans="1:6" x14ac:dyDescent="0.25">
      <c r="A15" s="42" t="s">
        <v>19</v>
      </c>
      <c r="B15" s="42">
        <v>84979</v>
      </c>
      <c r="C15" s="42">
        <v>1296</v>
      </c>
      <c r="D15" s="42">
        <v>21</v>
      </c>
      <c r="E15" s="42">
        <v>86296</v>
      </c>
      <c r="F15" s="42">
        <v>155333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tabSelected="1" workbookViewId="0">
      <selection activeCell="I7" sqref="I7"/>
    </sheetView>
  </sheetViews>
  <sheetFormatPr defaultRowHeight="15" x14ac:dyDescent="0.25"/>
  <cols>
    <col min="1" max="1" width="13.42578125" customWidth="1"/>
    <col min="2" max="2" width="14.140625" customWidth="1"/>
    <col min="3" max="3" width="14.85546875" customWidth="1"/>
    <col min="4" max="4" width="14.5703125" customWidth="1"/>
    <col min="5" max="5" width="13.28515625" customWidth="1"/>
    <col min="6" max="6" width="17.140625" customWidth="1"/>
  </cols>
  <sheetData>
    <row r="1" spans="1:6" s="1" customFormat="1" x14ac:dyDescent="0.25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</row>
    <row r="2" spans="1:6" x14ac:dyDescent="0.25">
      <c r="A2" s="42" t="s">
        <v>6</v>
      </c>
      <c r="B2" s="42">
        <v>98</v>
      </c>
      <c r="C2" s="42">
        <v>0</v>
      </c>
      <c r="D2" s="42">
        <v>0</v>
      </c>
      <c r="E2" s="42">
        <v>98</v>
      </c>
      <c r="F2" s="42">
        <v>176</v>
      </c>
    </row>
    <row r="3" spans="1:6" x14ac:dyDescent="0.25">
      <c r="A3" s="42" t="s">
        <v>7</v>
      </c>
      <c r="B3" s="42">
        <v>303</v>
      </c>
      <c r="C3" s="42">
        <v>8</v>
      </c>
      <c r="D3" s="42">
        <v>0</v>
      </c>
      <c r="E3" s="42">
        <v>311</v>
      </c>
      <c r="F3" s="42">
        <v>560</v>
      </c>
    </row>
    <row r="4" spans="1:6" x14ac:dyDescent="0.25">
      <c r="A4" s="42" t="s">
        <v>8</v>
      </c>
      <c r="B4" s="42">
        <v>7941</v>
      </c>
      <c r="C4" s="42">
        <v>120</v>
      </c>
      <c r="D4" s="42">
        <v>0</v>
      </c>
      <c r="E4" s="42">
        <v>8061</v>
      </c>
      <c r="F4" s="42">
        <v>14510</v>
      </c>
    </row>
    <row r="5" spans="1:6" x14ac:dyDescent="0.25">
      <c r="A5" s="42" t="s">
        <v>9</v>
      </c>
      <c r="B5" s="42">
        <v>20859</v>
      </c>
      <c r="C5" s="42">
        <v>277</v>
      </c>
      <c r="D5" s="42">
        <v>15</v>
      </c>
      <c r="E5" s="42">
        <v>21151</v>
      </c>
      <c r="F5" s="42">
        <v>38072</v>
      </c>
    </row>
    <row r="6" spans="1:6" x14ac:dyDescent="0.25">
      <c r="A6" s="42" t="s">
        <v>11</v>
      </c>
      <c r="B6" s="42">
        <v>7689</v>
      </c>
      <c r="C6" s="42">
        <v>108</v>
      </c>
      <c r="D6" s="42">
        <v>0</v>
      </c>
      <c r="E6" s="42">
        <v>7797</v>
      </c>
      <c r="F6" s="42">
        <v>14035</v>
      </c>
    </row>
    <row r="7" spans="1:6" x14ac:dyDescent="0.25">
      <c r="A7" s="42" t="s">
        <v>12</v>
      </c>
      <c r="B7" s="42">
        <v>12064</v>
      </c>
      <c r="C7" s="42">
        <v>175</v>
      </c>
      <c r="D7" s="42">
        <v>6</v>
      </c>
      <c r="E7" s="42">
        <v>12245</v>
      </c>
      <c r="F7" s="42">
        <v>22041</v>
      </c>
    </row>
    <row r="8" spans="1:6" x14ac:dyDescent="0.25">
      <c r="A8" s="42" t="s">
        <v>13</v>
      </c>
      <c r="B8" s="42">
        <v>14066</v>
      </c>
      <c r="C8" s="42">
        <v>137</v>
      </c>
      <c r="D8" s="42">
        <v>0</v>
      </c>
      <c r="E8" s="42">
        <v>14203</v>
      </c>
      <c r="F8" s="42">
        <v>25565</v>
      </c>
    </row>
    <row r="9" spans="1:6" x14ac:dyDescent="0.25">
      <c r="A9" s="42" t="s">
        <v>14</v>
      </c>
      <c r="B9" s="42">
        <v>5419</v>
      </c>
      <c r="C9" s="42">
        <v>306</v>
      </c>
      <c r="D9" s="42">
        <v>0</v>
      </c>
      <c r="E9" s="42">
        <v>5725</v>
      </c>
      <c r="F9" s="42">
        <v>10305</v>
      </c>
    </row>
    <row r="10" spans="1:6" x14ac:dyDescent="0.25">
      <c r="A10" s="42" t="s">
        <v>15</v>
      </c>
      <c r="B10" s="42">
        <v>11622</v>
      </c>
      <c r="C10" s="42">
        <v>115</v>
      </c>
      <c r="D10" s="42">
        <v>0</v>
      </c>
      <c r="E10" s="42">
        <v>11737</v>
      </c>
      <c r="F10" s="42">
        <v>21127</v>
      </c>
    </row>
    <row r="11" spans="1:6" x14ac:dyDescent="0.25">
      <c r="A11" s="42" t="s">
        <v>16</v>
      </c>
      <c r="B11" s="42">
        <v>4918</v>
      </c>
      <c r="C11" s="42">
        <v>41</v>
      </c>
      <c r="D11" s="42">
        <v>0</v>
      </c>
      <c r="E11" s="42">
        <v>4959</v>
      </c>
      <c r="F11" s="42">
        <v>8926</v>
      </c>
    </row>
    <row r="12" spans="1:6" x14ac:dyDescent="0.25">
      <c r="A12" s="42" t="s">
        <v>17</v>
      </c>
      <c r="B12" s="42">
        <v>0</v>
      </c>
      <c r="C12" s="42">
        <v>8</v>
      </c>
      <c r="D12" s="42">
        <v>0</v>
      </c>
      <c r="E12" s="42">
        <v>8</v>
      </c>
      <c r="F12" s="42">
        <v>14</v>
      </c>
    </row>
    <row r="13" spans="1:6" x14ac:dyDescent="0.25">
      <c r="A13" s="42" t="s">
        <v>19</v>
      </c>
      <c r="B13" s="42">
        <v>84979</v>
      </c>
      <c r="C13" s="42">
        <v>1295</v>
      </c>
      <c r="D13" s="42">
        <v>21</v>
      </c>
      <c r="E13" s="42">
        <v>86295</v>
      </c>
      <c r="F13" s="42">
        <v>155331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037CD-A8DB-4BE2-896C-841A9D610D91}">
  <dimension ref="A2:H7"/>
  <sheetViews>
    <sheetView workbookViewId="0">
      <selection activeCell="D14" sqref="D14"/>
    </sheetView>
  </sheetViews>
  <sheetFormatPr defaultRowHeight="15" x14ac:dyDescent="0.25"/>
  <cols>
    <col min="1" max="1" width="9.28515625" customWidth="1"/>
    <col min="2" max="2" width="17.5703125" customWidth="1"/>
    <col min="3" max="3" width="21.28515625" customWidth="1"/>
    <col min="4" max="5" width="11.42578125" customWidth="1"/>
    <col min="6" max="6" width="13.28515625" customWidth="1"/>
    <col min="7" max="7" width="15" customWidth="1"/>
    <col min="8" max="8" width="15.5703125" customWidth="1"/>
  </cols>
  <sheetData>
    <row r="2" spans="1:8" ht="66.75" customHeight="1" x14ac:dyDescent="0.25">
      <c r="A2" s="25" t="s">
        <v>21</v>
      </c>
      <c r="B2" s="6" t="s">
        <v>22</v>
      </c>
      <c r="C2" s="6" t="s">
        <v>23</v>
      </c>
      <c r="D2" s="6" t="s">
        <v>24</v>
      </c>
      <c r="E2" s="26" t="s">
        <v>25</v>
      </c>
      <c r="F2" s="5" t="s">
        <v>26</v>
      </c>
      <c r="G2" s="6" t="s">
        <v>34</v>
      </c>
      <c r="H2" s="11" t="s">
        <v>27</v>
      </c>
    </row>
    <row r="3" spans="1:8" x14ac:dyDescent="0.25">
      <c r="A3" s="27">
        <v>2024</v>
      </c>
      <c r="B3" s="23">
        <v>33743</v>
      </c>
      <c r="C3" s="23">
        <v>16660</v>
      </c>
      <c r="D3" s="23">
        <f t="shared" ref="D3" si="0">B3-C3</f>
        <v>17083</v>
      </c>
      <c r="E3" s="24">
        <f>(D3/B3)*100</f>
        <v>50.626796668938745</v>
      </c>
      <c r="F3" s="10">
        <v>5.18</v>
      </c>
      <c r="G3" s="44">
        <v>1.438356</v>
      </c>
      <c r="H3" s="22">
        <f>D3*G3</f>
        <v>24571.435547999998</v>
      </c>
    </row>
    <row r="4" spans="1:8" x14ac:dyDescent="0.25">
      <c r="A4" t="s">
        <v>35</v>
      </c>
      <c r="H4" s="2"/>
    </row>
    <row r="6" spans="1:8" x14ac:dyDescent="0.25">
      <c r="A6" s="42"/>
      <c r="B6" s="42"/>
      <c r="C6" s="42"/>
      <c r="D6" s="43"/>
    </row>
    <row r="7" spans="1:8" x14ac:dyDescent="0.25">
      <c r="A7" s="42"/>
      <c r="B7" s="42"/>
      <c r="C7" s="42"/>
      <c r="D7" s="4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9CD06-4E1A-499F-BB31-9CD692BB0B85}">
  <dimension ref="A1:I17"/>
  <sheetViews>
    <sheetView workbookViewId="0">
      <selection activeCell="M9" sqref="M9"/>
    </sheetView>
  </sheetViews>
  <sheetFormatPr defaultRowHeight="15" x14ac:dyDescent="0.25"/>
  <cols>
    <col min="1" max="1" width="14.28515625" customWidth="1"/>
    <col min="2" max="2" width="12" customWidth="1"/>
    <col min="3" max="3" width="13.7109375" customWidth="1"/>
    <col min="4" max="4" width="14.5703125" customWidth="1"/>
    <col min="5" max="5" width="11.42578125" customWidth="1"/>
    <col min="6" max="6" width="11.5703125" customWidth="1"/>
    <col min="7" max="7" width="15" customWidth="1"/>
    <col min="8" max="8" width="12.5703125" customWidth="1"/>
    <col min="9" max="9" width="14.28515625" bestFit="1" customWidth="1"/>
  </cols>
  <sheetData>
    <row r="1" spans="1:9" x14ac:dyDescent="0.25">
      <c r="B1" s="3"/>
      <c r="H1" s="49" t="s">
        <v>33</v>
      </c>
      <c r="I1" s="50"/>
    </row>
    <row r="2" spans="1:9" x14ac:dyDescent="0.25">
      <c r="A2" s="13" t="s">
        <v>0</v>
      </c>
      <c r="B2" s="14" t="s">
        <v>1</v>
      </c>
      <c r="C2" s="14" t="s">
        <v>2</v>
      </c>
      <c r="D2" s="14" t="s">
        <v>3</v>
      </c>
      <c r="E2" s="14" t="s">
        <v>4</v>
      </c>
      <c r="F2" s="15" t="s">
        <v>28</v>
      </c>
      <c r="G2" s="14" t="s">
        <v>29</v>
      </c>
      <c r="H2" s="18" t="s">
        <v>30</v>
      </c>
      <c r="I2" s="19" t="s">
        <v>31</v>
      </c>
    </row>
    <row r="3" spans="1:9" x14ac:dyDescent="0.25">
      <c r="A3" t="s">
        <v>6</v>
      </c>
      <c r="B3" s="7">
        <v>98</v>
      </c>
      <c r="C3" s="7">
        <v>0</v>
      </c>
      <c r="D3" s="7">
        <v>0</v>
      </c>
      <c r="E3" s="7">
        <v>98</v>
      </c>
      <c r="F3" s="12">
        <f>E3/$E$14</f>
        <v>1.1356393765571586E-3</v>
      </c>
      <c r="G3" s="8">
        <f>F3*$B$16</f>
        <v>27.903795121385944</v>
      </c>
      <c r="H3" s="20">
        <f>G3+E3</f>
        <v>125.90379512138594</v>
      </c>
      <c r="I3" s="16">
        <f>H3*1.8</f>
        <v>226.62683121849469</v>
      </c>
    </row>
    <row r="4" spans="1:9" x14ac:dyDescent="0.25">
      <c r="A4" t="s">
        <v>7</v>
      </c>
      <c r="B4" s="7">
        <v>303</v>
      </c>
      <c r="C4" s="7">
        <v>8</v>
      </c>
      <c r="D4" s="7">
        <v>0</v>
      </c>
      <c r="E4" s="7">
        <v>311</v>
      </c>
      <c r="F4" s="12">
        <f t="shared" ref="F4:F13" si="0">E4/$E$14</f>
        <v>3.6039167970334319E-3</v>
      </c>
      <c r="G4" s="8">
        <f t="shared" ref="G4:G13" si="1">F4*$B$16</f>
        <v>88.551839619908449</v>
      </c>
      <c r="H4" s="20">
        <f t="shared" ref="H4:H14" si="2">G4+E4</f>
        <v>399.55183961990843</v>
      </c>
      <c r="I4" s="16">
        <f t="shared" ref="I4:I13" si="3">H4*1.8</f>
        <v>719.19331131583522</v>
      </c>
    </row>
    <row r="5" spans="1:9" x14ac:dyDescent="0.25">
      <c r="A5" t="s">
        <v>8</v>
      </c>
      <c r="B5" s="7">
        <v>7941</v>
      </c>
      <c r="C5" s="7">
        <v>120</v>
      </c>
      <c r="D5" s="7">
        <v>0</v>
      </c>
      <c r="E5" s="7">
        <v>8061</v>
      </c>
      <c r="F5" s="12">
        <f t="shared" si="0"/>
        <v>9.3412132800278116E-2</v>
      </c>
      <c r="G5" s="8">
        <f t="shared" si="1"/>
        <v>2295.2295150356335</v>
      </c>
      <c r="H5" s="20">
        <f t="shared" si="2"/>
        <v>10356.229515035633</v>
      </c>
      <c r="I5" s="16">
        <f t="shared" si="3"/>
        <v>18641.21312706414</v>
      </c>
    </row>
    <row r="6" spans="1:9" x14ac:dyDescent="0.25">
      <c r="A6" t="s">
        <v>9</v>
      </c>
      <c r="B6" s="7">
        <v>20859</v>
      </c>
      <c r="C6" s="7">
        <v>277</v>
      </c>
      <c r="D6" s="7">
        <v>15</v>
      </c>
      <c r="E6" s="7">
        <v>21151</v>
      </c>
      <c r="F6" s="12">
        <f t="shared" si="0"/>
        <v>0.2451011066689843</v>
      </c>
      <c r="G6" s="8">
        <f t="shared" si="1"/>
        <v>6022.3792919636135</v>
      </c>
      <c r="H6" s="20">
        <f t="shared" si="2"/>
        <v>27173.379291963614</v>
      </c>
      <c r="I6" s="16">
        <f t="shared" si="3"/>
        <v>48912.082725534507</v>
      </c>
    </row>
    <row r="7" spans="1:9" x14ac:dyDescent="0.25">
      <c r="A7" t="s">
        <v>11</v>
      </c>
      <c r="B7" s="7">
        <v>7689</v>
      </c>
      <c r="C7" s="7">
        <v>108</v>
      </c>
      <c r="D7" s="7">
        <v>0</v>
      </c>
      <c r="E7" s="7">
        <v>7797</v>
      </c>
      <c r="F7" s="12">
        <f t="shared" si="0"/>
        <v>9.0352859377715977E-2</v>
      </c>
      <c r="G7" s="8">
        <f t="shared" si="1"/>
        <v>2220.0601077698593</v>
      </c>
      <c r="H7" s="20">
        <f t="shared" si="2"/>
        <v>10017.060107769859</v>
      </c>
      <c r="I7" s="16">
        <f t="shared" si="3"/>
        <v>18030.708193985749</v>
      </c>
    </row>
    <row r="8" spans="1:9" x14ac:dyDescent="0.25">
      <c r="A8" t="s">
        <v>12</v>
      </c>
      <c r="B8" s="7">
        <v>12064</v>
      </c>
      <c r="C8" s="7">
        <v>175</v>
      </c>
      <c r="D8" s="7">
        <v>6</v>
      </c>
      <c r="E8" s="7">
        <v>12245</v>
      </c>
      <c r="F8" s="12">
        <f t="shared" si="0"/>
        <v>0.14189698128512659</v>
      </c>
      <c r="G8" s="8">
        <f t="shared" si="1"/>
        <v>3486.5507271568454</v>
      </c>
      <c r="H8" s="20">
        <f t="shared" si="2"/>
        <v>15731.550727156846</v>
      </c>
      <c r="I8" s="16">
        <f t="shared" si="3"/>
        <v>28316.791308882322</v>
      </c>
    </row>
    <row r="9" spans="1:9" x14ac:dyDescent="0.25">
      <c r="A9" s="4" t="s">
        <v>13</v>
      </c>
      <c r="B9" s="7">
        <v>14066</v>
      </c>
      <c r="C9" s="7">
        <v>137</v>
      </c>
      <c r="D9" s="7">
        <v>0</v>
      </c>
      <c r="E9" s="7">
        <v>14203</v>
      </c>
      <c r="F9" s="12">
        <f t="shared" si="0"/>
        <v>0.16458659250246249</v>
      </c>
      <c r="G9" s="8">
        <f t="shared" si="1"/>
        <v>4044.0571643780058</v>
      </c>
      <c r="H9" s="20">
        <f t="shared" si="2"/>
        <v>18247.057164378006</v>
      </c>
      <c r="I9" s="16">
        <f t="shared" si="3"/>
        <v>32844.702895880415</v>
      </c>
    </row>
    <row r="10" spans="1:9" x14ac:dyDescent="0.25">
      <c r="A10" t="s">
        <v>14</v>
      </c>
      <c r="B10" s="7">
        <v>5419</v>
      </c>
      <c r="C10" s="7">
        <v>306</v>
      </c>
      <c r="D10" s="7">
        <v>0</v>
      </c>
      <c r="E10" s="7">
        <v>5725</v>
      </c>
      <c r="F10" s="12">
        <f t="shared" si="0"/>
        <v>6.6342198273364628E-2</v>
      </c>
      <c r="G10" s="8">
        <f t="shared" si="1"/>
        <v>1630.0941537748422</v>
      </c>
      <c r="H10" s="20">
        <f t="shared" si="2"/>
        <v>7355.0941537748422</v>
      </c>
      <c r="I10" s="16">
        <f t="shared" si="3"/>
        <v>13239.169476794716</v>
      </c>
    </row>
    <row r="11" spans="1:9" x14ac:dyDescent="0.25">
      <c r="A11" t="s">
        <v>15</v>
      </c>
      <c r="B11" s="7">
        <v>11622</v>
      </c>
      <c r="C11" s="7">
        <v>115</v>
      </c>
      <c r="D11" s="7">
        <v>0</v>
      </c>
      <c r="E11" s="7">
        <v>11737</v>
      </c>
      <c r="F11" s="12">
        <f t="shared" si="0"/>
        <v>0.1360101975780752</v>
      </c>
      <c r="G11" s="8">
        <f t="shared" si="1"/>
        <v>3341.9065646908857</v>
      </c>
      <c r="H11" s="20">
        <f t="shared" si="2"/>
        <v>15078.906564690886</v>
      </c>
      <c r="I11" s="16">
        <f t="shared" si="3"/>
        <v>27142.031816443596</v>
      </c>
    </row>
    <row r="12" spans="1:9" x14ac:dyDescent="0.25">
      <c r="A12" t="s">
        <v>16</v>
      </c>
      <c r="B12" s="7">
        <v>4918</v>
      </c>
      <c r="C12" s="7">
        <v>41</v>
      </c>
      <c r="D12" s="7">
        <v>0</v>
      </c>
      <c r="E12" s="7">
        <v>4959</v>
      </c>
      <c r="F12" s="12">
        <f t="shared" si="0"/>
        <v>5.7465670085172955E-2</v>
      </c>
      <c r="G12" s="8">
        <f t="shared" si="1"/>
        <v>1411.9889796627847</v>
      </c>
      <c r="H12" s="20">
        <f t="shared" si="2"/>
        <v>6370.9889796627849</v>
      </c>
      <c r="I12" s="16">
        <f t="shared" si="3"/>
        <v>11467.780163393014</v>
      </c>
    </row>
    <row r="13" spans="1:9" x14ac:dyDescent="0.25">
      <c r="A13" t="s">
        <v>17</v>
      </c>
      <c r="B13" s="7">
        <v>0</v>
      </c>
      <c r="C13" s="7">
        <v>8</v>
      </c>
      <c r="D13" s="7">
        <v>0</v>
      </c>
      <c r="E13" s="7">
        <v>8</v>
      </c>
      <c r="F13" s="12">
        <f t="shared" si="0"/>
        <v>9.2705255229155804E-5</v>
      </c>
      <c r="G13" s="8">
        <f t="shared" si="1"/>
        <v>2.2778608262355871</v>
      </c>
      <c r="H13" s="20">
        <f t="shared" si="2"/>
        <v>10.277860826235587</v>
      </c>
      <c r="I13" s="16">
        <f t="shared" si="3"/>
        <v>18.500149487224057</v>
      </c>
    </row>
    <row r="14" spans="1:9" x14ac:dyDescent="0.25">
      <c r="A14" t="s">
        <v>19</v>
      </c>
      <c r="B14" s="7">
        <v>84979</v>
      </c>
      <c r="C14" s="7">
        <v>1295</v>
      </c>
      <c r="D14" s="7">
        <v>21</v>
      </c>
      <c r="E14" s="7">
        <v>86295</v>
      </c>
      <c r="F14" s="12">
        <f>SUM(F3:F13)</f>
        <v>1</v>
      </c>
      <c r="G14" s="8">
        <f>SUM(G3:G13)</f>
        <v>24570.999999999996</v>
      </c>
      <c r="H14" s="21">
        <f t="shared" si="2"/>
        <v>110866</v>
      </c>
      <c r="I14" s="17">
        <f>H14*1.8</f>
        <v>199558.80000000002</v>
      </c>
    </row>
    <row r="16" spans="1:9" x14ac:dyDescent="0.25">
      <c r="A16" s="3" t="s">
        <v>32</v>
      </c>
      <c r="B16" s="9">
        <v>24571</v>
      </c>
    </row>
    <row r="17" spans="1:1" x14ac:dyDescent="0.25">
      <c r="A17" t="s">
        <v>36</v>
      </c>
    </row>
  </sheetData>
  <mergeCells count="1">
    <mergeCell ref="H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D9977-5E9A-44E4-AC9C-1C0DC6C76E31}">
  <dimension ref="A2:B8"/>
  <sheetViews>
    <sheetView workbookViewId="0">
      <selection activeCell="B6" sqref="B6"/>
    </sheetView>
  </sheetViews>
  <sheetFormatPr defaultRowHeight="15" x14ac:dyDescent="0.25"/>
  <cols>
    <col min="1" max="1" width="50.28515625" customWidth="1"/>
    <col min="2" max="2" width="11.42578125" customWidth="1"/>
    <col min="4" max="4" width="11.42578125" bestFit="1" customWidth="1"/>
    <col min="5" max="5" width="23.28515625" bestFit="1" customWidth="1"/>
    <col min="6" max="6" width="15.42578125" customWidth="1"/>
    <col min="7" max="7" width="15.5703125" bestFit="1" customWidth="1"/>
    <col min="8" max="8" width="26.7109375" bestFit="1" customWidth="1"/>
    <col min="9" max="9" width="15.28515625" customWidth="1"/>
  </cols>
  <sheetData>
    <row r="2" spans="1:2" x14ac:dyDescent="0.25">
      <c r="A2" s="3" t="s">
        <v>43</v>
      </c>
    </row>
    <row r="3" spans="1:2" x14ac:dyDescent="0.25">
      <c r="A3" s="28" t="s">
        <v>37</v>
      </c>
      <c r="B3" s="28">
        <v>2044</v>
      </c>
    </row>
    <row r="4" spans="1:2" x14ac:dyDescent="0.25">
      <c r="A4" s="28" t="s">
        <v>38</v>
      </c>
      <c r="B4" s="28">
        <v>403</v>
      </c>
    </row>
    <row r="5" spans="1:2" x14ac:dyDescent="0.25">
      <c r="A5" s="28" t="s">
        <v>39</v>
      </c>
      <c r="B5" s="28">
        <v>2940</v>
      </c>
    </row>
    <row r="6" spans="1:2" x14ac:dyDescent="0.25">
      <c r="A6" s="28" t="s">
        <v>40</v>
      </c>
      <c r="B6" s="45">
        <f>B5/B3</f>
        <v>1.4383561643835616</v>
      </c>
    </row>
    <row r="7" spans="1:2" x14ac:dyDescent="0.25">
      <c r="A7" s="28" t="s">
        <v>41</v>
      </c>
      <c r="B7" s="28">
        <v>17083</v>
      </c>
    </row>
    <row r="8" spans="1:2" x14ac:dyDescent="0.25">
      <c r="A8" s="28" t="s">
        <v>42</v>
      </c>
      <c r="B8" s="29">
        <v>24571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72FCF-2229-4155-94A4-AE9F3A0AB6AF}">
  <dimension ref="A2:H29"/>
  <sheetViews>
    <sheetView topLeftCell="A16" workbookViewId="0">
      <selection activeCell="H30" sqref="H30"/>
    </sheetView>
  </sheetViews>
  <sheetFormatPr defaultRowHeight="15" x14ac:dyDescent="0.25"/>
  <cols>
    <col min="1" max="1" width="14.28515625" bestFit="1" customWidth="1"/>
    <col min="2" max="2" width="15" customWidth="1"/>
    <col min="3" max="3" width="12.7109375" bestFit="1" customWidth="1"/>
    <col min="4" max="4" width="14.42578125" customWidth="1"/>
    <col min="5" max="5" width="15.7109375" customWidth="1"/>
    <col min="6" max="6" width="14.7109375" customWidth="1"/>
  </cols>
  <sheetData>
    <row r="2" spans="1:8" ht="46.15" customHeight="1" x14ac:dyDescent="0.25">
      <c r="A2" s="32" t="s">
        <v>0</v>
      </c>
      <c r="B2" s="32" t="s">
        <v>48</v>
      </c>
      <c r="C2" s="32" t="s">
        <v>44</v>
      </c>
      <c r="D2" s="32" t="s">
        <v>45</v>
      </c>
      <c r="E2" s="32" t="s">
        <v>46</v>
      </c>
      <c r="F2" s="32" t="s">
        <v>47</v>
      </c>
    </row>
    <row r="3" spans="1:8" x14ac:dyDescent="0.25">
      <c r="A3" s="28" t="s">
        <v>6</v>
      </c>
      <c r="B3" s="46">
        <v>98</v>
      </c>
      <c r="C3" s="31">
        <v>1.1356393765571586E-3</v>
      </c>
      <c r="D3" s="30">
        <v>27.903795121385944</v>
      </c>
      <c r="E3" s="30">
        <v>125.90379512138594</v>
      </c>
      <c r="F3" s="30">
        <v>226.62683121849469</v>
      </c>
    </row>
    <row r="4" spans="1:8" x14ac:dyDescent="0.25">
      <c r="A4" s="28" t="s">
        <v>7</v>
      </c>
      <c r="B4" s="46">
        <v>311</v>
      </c>
      <c r="C4" s="31">
        <v>3.6039167970334319E-3</v>
      </c>
      <c r="D4" s="30">
        <v>88.551839619908449</v>
      </c>
      <c r="E4" s="30">
        <v>399.55183961990843</v>
      </c>
      <c r="F4" s="30">
        <v>719.19331131583522</v>
      </c>
      <c r="G4" s="47"/>
      <c r="H4" s="48"/>
    </row>
    <row r="5" spans="1:8" x14ac:dyDescent="0.25">
      <c r="A5" s="28" t="s">
        <v>8</v>
      </c>
      <c r="B5" s="46">
        <v>8061</v>
      </c>
      <c r="C5" s="31">
        <v>9.3412132800278116E-2</v>
      </c>
      <c r="D5" s="30">
        <v>2295.2295150356335</v>
      </c>
      <c r="E5" s="30">
        <v>10356.229515035633</v>
      </c>
      <c r="F5" s="30">
        <v>18641.21312706414</v>
      </c>
      <c r="H5" s="48"/>
    </row>
    <row r="6" spans="1:8" x14ac:dyDescent="0.25">
      <c r="A6" s="28" t="s">
        <v>9</v>
      </c>
      <c r="B6" s="46">
        <v>21151</v>
      </c>
      <c r="C6" s="31">
        <v>0.2451011066689843</v>
      </c>
      <c r="D6" s="30">
        <v>6022.3792919636135</v>
      </c>
      <c r="E6" s="30">
        <v>27173.379291963614</v>
      </c>
      <c r="F6" s="30">
        <v>48912.082725534507</v>
      </c>
      <c r="G6" s="47"/>
      <c r="H6" s="48"/>
    </row>
    <row r="7" spans="1:8" x14ac:dyDescent="0.25">
      <c r="A7" s="28" t="s">
        <v>11</v>
      </c>
      <c r="B7" s="46">
        <v>7797</v>
      </c>
      <c r="C7" s="31">
        <v>9.0352859377715977E-2</v>
      </c>
      <c r="D7" s="30">
        <v>2220.0601077698593</v>
      </c>
      <c r="E7" s="30">
        <v>10017.060107769859</v>
      </c>
      <c r="F7" s="30">
        <v>18030.708193985749</v>
      </c>
      <c r="H7" s="48"/>
    </row>
    <row r="8" spans="1:8" x14ac:dyDescent="0.25">
      <c r="A8" s="28" t="s">
        <v>12</v>
      </c>
      <c r="B8" s="46">
        <v>12245</v>
      </c>
      <c r="C8" s="31">
        <v>0.14189698128512659</v>
      </c>
      <c r="D8" s="30">
        <v>3486.5507271568454</v>
      </c>
      <c r="E8" s="30">
        <v>15731.550727156846</v>
      </c>
      <c r="F8" s="30">
        <v>28316.791308882322</v>
      </c>
      <c r="G8" s="47"/>
      <c r="H8" s="48"/>
    </row>
    <row r="9" spans="1:8" x14ac:dyDescent="0.25">
      <c r="A9" s="40">
        <v>9</v>
      </c>
      <c r="B9" s="46">
        <v>14203</v>
      </c>
      <c r="C9" s="31">
        <v>0.16458659250246249</v>
      </c>
      <c r="D9" s="30">
        <v>4044.0571643780058</v>
      </c>
      <c r="E9" s="30">
        <v>18247.057164378006</v>
      </c>
      <c r="F9" s="30">
        <v>32844.702895880415</v>
      </c>
      <c r="H9" s="48"/>
    </row>
    <row r="10" spans="1:8" x14ac:dyDescent="0.25">
      <c r="A10" s="28" t="s">
        <v>14</v>
      </c>
      <c r="B10" s="46">
        <v>5725</v>
      </c>
      <c r="C10" s="31">
        <v>6.6342198273364628E-2</v>
      </c>
      <c r="D10" s="30">
        <v>1630.0941537748422</v>
      </c>
      <c r="E10" s="30">
        <v>7355.0941537748422</v>
      </c>
      <c r="F10" s="30">
        <v>13239.169476794716</v>
      </c>
      <c r="H10" s="48"/>
    </row>
    <row r="11" spans="1:8" x14ac:dyDescent="0.25">
      <c r="A11" s="28" t="s">
        <v>15</v>
      </c>
      <c r="B11" s="46">
        <v>11737</v>
      </c>
      <c r="C11" s="31">
        <v>0.1360101975780752</v>
      </c>
      <c r="D11" s="30">
        <v>3341.9065646908857</v>
      </c>
      <c r="E11" s="30">
        <v>15078.906564690886</v>
      </c>
      <c r="F11" s="30">
        <v>27142.031816443596</v>
      </c>
      <c r="H11" s="48"/>
    </row>
    <row r="12" spans="1:8" x14ac:dyDescent="0.25">
      <c r="A12" s="28" t="s">
        <v>16</v>
      </c>
      <c r="B12" s="46">
        <v>4959</v>
      </c>
      <c r="C12" s="31">
        <v>5.7465670085172955E-2</v>
      </c>
      <c r="D12" s="30">
        <v>1411.9889796627847</v>
      </c>
      <c r="E12" s="30">
        <v>6370.9889796627849</v>
      </c>
      <c r="F12" s="30">
        <v>11467.780163393014</v>
      </c>
      <c r="H12" s="48"/>
    </row>
    <row r="13" spans="1:8" x14ac:dyDescent="0.25">
      <c r="A13" s="28" t="s">
        <v>17</v>
      </c>
      <c r="B13" s="46">
        <v>8</v>
      </c>
      <c r="C13" s="31">
        <v>9.2705255229155804E-5</v>
      </c>
      <c r="D13" s="30">
        <v>2.2778608262355871</v>
      </c>
      <c r="E13" s="30">
        <v>10.277860826235587</v>
      </c>
      <c r="F13" s="30">
        <v>18.500149487224057</v>
      </c>
      <c r="G13" s="47"/>
      <c r="H13" s="48"/>
    </row>
    <row r="14" spans="1:8" x14ac:dyDescent="0.25">
      <c r="A14" s="28" t="s">
        <v>19</v>
      </c>
      <c r="B14" s="46">
        <v>86295</v>
      </c>
      <c r="C14" s="31">
        <v>1</v>
      </c>
      <c r="D14" s="30">
        <v>24570.999999999996</v>
      </c>
      <c r="E14" s="30">
        <v>110866</v>
      </c>
      <c r="F14" s="30">
        <v>199558.80000000002</v>
      </c>
      <c r="H14" s="48"/>
    </row>
    <row r="15" spans="1:8" x14ac:dyDescent="0.25">
      <c r="H15" s="48"/>
    </row>
    <row r="16" spans="1:8" x14ac:dyDescent="0.25">
      <c r="H16" s="48"/>
    </row>
    <row r="17" spans="1:5" ht="45" x14ac:dyDescent="0.25">
      <c r="A17" s="33" t="s">
        <v>0</v>
      </c>
      <c r="B17" s="33" t="s">
        <v>52</v>
      </c>
      <c r="C17" s="33" t="s">
        <v>47</v>
      </c>
      <c r="D17" s="33" t="s">
        <v>61</v>
      </c>
      <c r="E17" s="33" t="s">
        <v>60</v>
      </c>
    </row>
    <row r="18" spans="1:5" x14ac:dyDescent="0.25">
      <c r="A18" s="34" t="s">
        <v>57</v>
      </c>
      <c r="B18" s="35" t="s">
        <v>53</v>
      </c>
      <c r="C18" s="38">
        <f>F3+F4</f>
        <v>945.82014253432988</v>
      </c>
      <c r="D18" s="38">
        <f>C18*0.0997</f>
        <v>94.298268210672688</v>
      </c>
      <c r="E18" s="38">
        <f>C18+D18</f>
        <v>1040.1184107450026</v>
      </c>
    </row>
    <row r="19" spans="1:5" x14ac:dyDescent="0.25">
      <c r="A19" s="34">
        <v>6</v>
      </c>
      <c r="B19" s="35" t="s">
        <v>55</v>
      </c>
      <c r="C19" s="38">
        <f>(F5*0.051)+(F6*0.053)</f>
        <v>3543.0422539335996</v>
      </c>
      <c r="D19" s="38">
        <f t="shared" ref="D19:D28" si="0">C19*0.0997</f>
        <v>353.24131271717988</v>
      </c>
      <c r="E19" s="38">
        <f t="shared" ref="E19:E29" si="1">C19+D19</f>
        <v>3896.2835666507794</v>
      </c>
    </row>
    <row r="20" spans="1:5" x14ac:dyDescent="0.25">
      <c r="A20" s="34">
        <v>6</v>
      </c>
      <c r="B20" s="35" t="s">
        <v>56</v>
      </c>
      <c r="C20" s="38">
        <f>F5*0.878</f>
        <v>16366.985125562314</v>
      </c>
      <c r="D20" s="38">
        <f t="shared" si="0"/>
        <v>1631.7884170185628</v>
      </c>
      <c r="E20" s="38">
        <f t="shared" si="1"/>
        <v>17998.773542580879</v>
      </c>
    </row>
    <row r="21" spans="1:5" x14ac:dyDescent="0.25">
      <c r="A21" s="34">
        <v>6</v>
      </c>
      <c r="B21" s="35" t="s">
        <v>54</v>
      </c>
      <c r="C21" s="38">
        <f>F5*0.014</f>
        <v>260.97698377889799</v>
      </c>
      <c r="D21" s="38">
        <f t="shared" si="0"/>
        <v>26.019405282756129</v>
      </c>
      <c r="E21" s="38">
        <f t="shared" si="1"/>
        <v>286.9963890616541</v>
      </c>
    </row>
    <row r="22" spans="1:5" x14ac:dyDescent="0.25">
      <c r="A22" s="34">
        <v>7</v>
      </c>
      <c r="B22" s="34">
        <v>1</v>
      </c>
      <c r="C22" s="38">
        <f>(F6*0.947)+(F5*0.057)</f>
        <v>47382.291489323834</v>
      </c>
      <c r="D22" s="38">
        <f t="shared" si="0"/>
        <v>4724.0144614855863</v>
      </c>
      <c r="E22" s="38">
        <f t="shared" si="1"/>
        <v>52106.305950809423</v>
      </c>
    </row>
    <row r="23" spans="1:5" x14ac:dyDescent="0.25">
      <c r="A23" s="34" t="s">
        <v>58</v>
      </c>
      <c r="B23" s="34" t="s">
        <v>49</v>
      </c>
      <c r="C23" s="38">
        <f>F7+F8</f>
        <v>46347.499502868071</v>
      </c>
      <c r="D23" s="38">
        <f t="shared" si="0"/>
        <v>4620.8457004359461</v>
      </c>
      <c r="E23" s="38">
        <f t="shared" si="1"/>
        <v>50968.345203304016</v>
      </c>
    </row>
    <row r="24" spans="1:5" x14ac:dyDescent="0.25">
      <c r="A24" s="34" t="s">
        <v>20</v>
      </c>
      <c r="B24" s="34" t="s">
        <v>50</v>
      </c>
      <c r="C24" s="38">
        <f>F9*0.848</f>
        <v>27852.308055706591</v>
      </c>
      <c r="D24" s="38">
        <f t="shared" si="0"/>
        <v>2776.875113153947</v>
      </c>
      <c r="E24" s="38">
        <f t="shared" si="1"/>
        <v>30629.183168860538</v>
      </c>
    </row>
    <row r="25" spans="1:5" x14ac:dyDescent="0.25">
      <c r="A25" s="34">
        <v>10</v>
      </c>
      <c r="B25" s="34">
        <v>4</v>
      </c>
      <c r="C25" s="38">
        <f>F10</f>
        <v>13239.169476794716</v>
      </c>
      <c r="D25" s="38">
        <f t="shared" si="0"/>
        <v>1319.9451968364331</v>
      </c>
      <c r="E25" s="38">
        <f t="shared" si="1"/>
        <v>14559.114673631149</v>
      </c>
    </row>
    <row r="26" spans="1:5" x14ac:dyDescent="0.25">
      <c r="A26" s="34">
        <v>11</v>
      </c>
      <c r="B26" s="34">
        <v>6</v>
      </c>
      <c r="C26" s="38">
        <f>F11</f>
        <v>27142.031816443596</v>
      </c>
      <c r="D26" s="38">
        <f t="shared" si="0"/>
        <v>2706.0605720994263</v>
      </c>
      <c r="E26" s="38">
        <f t="shared" si="1"/>
        <v>29848.092388543024</v>
      </c>
    </row>
    <row r="27" spans="1:5" x14ac:dyDescent="0.25">
      <c r="A27" s="34" t="s">
        <v>59</v>
      </c>
      <c r="B27" s="34">
        <v>5</v>
      </c>
      <c r="C27" s="38">
        <f>F12+(F9*0.152)</f>
        <v>16460.175003566837</v>
      </c>
      <c r="D27" s="38">
        <f t="shared" si="0"/>
        <v>1641.0794478556136</v>
      </c>
      <c r="E27" s="38">
        <f>C27+D27</f>
        <v>18101.25445142245</v>
      </c>
    </row>
    <row r="28" spans="1:5" x14ac:dyDescent="0.25">
      <c r="A28" s="34">
        <v>13</v>
      </c>
      <c r="B28" s="34">
        <v>7</v>
      </c>
      <c r="C28" s="38">
        <f>F13</f>
        <v>18.500149487224057</v>
      </c>
      <c r="D28" s="38">
        <f t="shared" si="0"/>
        <v>1.8444649038762384</v>
      </c>
      <c r="E28" s="38">
        <f t="shared" si="1"/>
        <v>20.344614391100297</v>
      </c>
    </row>
    <row r="29" spans="1:5" x14ac:dyDescent="0.25">
      <c r="A29" s="36" t="s">
        <v>19</v>
      </c>
      <c r="B29" s="37" t="s">
        <v>51</v>
      </c>
      <c r="C29" s="39">
        <f>SUM(C18:C28)</f>
        <v>199558.80000000002</v>
      </c>
      <c r="D29" s="39">
        <f>SUM(D18:D28)</f>
        <v>19896.012359999997</v>
      </c>
      <c r="E29" s="39">
        <f t="shared" si="1"/>
        <v>219454.81236000001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62120a19-a38a-4c78-8e86-03b65bdcf4fa">
      <Terms xmlns="http://schemas.microsoft.com/office/infopath/2007/PartnerControls"/>
    </lcf76f155ced4ddcb4097134ff3c332f>
    <TaxCatchAll xmlns="671c5c8a-d1dd-40a7-bcfd-3ed591bedb5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9114A9D0DECB469CD3434F7556ACE4" ma:contentTypeVersion="18" ma:contentTypeDescription="Create a new document." ma:contentTypeScope="" ma:versionID="ecdf13fd03e578e190d1c2fef808890a">
  <xsd:schema xmlns:xsd="http://www.w3.org/2001/XMLSchema" xmlns:xs="http://www.w3.org/2001/XMLSchema" xmlns:p="http://schemas.microsoft.com/office/2006/metadata/properties" xmlns:ns1="http://schemas.microsoft.com/sharepoint/v3" xmlns:ns2="62120a19-a38a-4c78-8e86-03b65bdcf4fa" xmlns:ns3="671c5c8a-d1dd-40a7-bcfd-3ed591bedb5d" targetNamespace="http://schemas.microsoft.com/office/2006/metadata/properties" ma:root="true" ma:fieldsID="d204db95074059abcc46212eb5d192a9" ns1:_="" ns2:_="" ns3:_="">
    <xsd:import namespace="http://schemas.microsoft.com/sharepoint/v3"/>
    <xsd:import namespace="62120a19-a38a-4c78-8e86-03b65bdcf4fa"/>
    <xsd:import namespace="671c5c8a-d1dd-40a7-bcfd-3ed591bedb5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7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8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120a19-a38a-4c78-8e86-03b65bdcf4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60a6a1c-50a4-4ec0-87e3-f00760ffe7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1c5c8a-d1dd-40a7-bcfd-3ed591bedb5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2e22025f-5e6f-4000-be51-ea90689ba644}" ma:internalName="TaxCatchAll" ma:showField="CatchAllData" ma:web="671c5c8a-d1dd-40a7-bcfd-3ed591bedb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BF7A2C6-E99D-49AE-91DD-7F479E6BCDFD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62120a19-a38a-4c78-8e86-03b65bdcf4fa"/>
    <ds:schemaRef ds:uri="671c5c8a-d1dd-40a7-bcfd-3ed591bedb5d"/>
  </ds:schemaRefs>
</ds:datastoreItem>
</file>

<file path=customXml/itemProps2.xml><?xml version="1.0" encoding="utf-8"?>
<ds:datastoreItem xmlns:ds="http://schemas.openxmlformats.org/officeDocument/2006/customXml" ds:itemID="{2117D41A-EA40-493B-82F6-B55424AE2AE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3BBD157-AD60-45AC-82DC-33095D6433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2120a19-a38a-4c78-8e86-03b65bdcf4fa"/>
    <ds:schemaRef ds:uri="671c5c8a-d1dd-40a7-bcfd-3ed591bedb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CRC Census Table 1</vt:lpstr>
      <vt:lpstr>CRC Census Table 2</vt:lpstr>
      <vt:lpstr>NR information</vt:lpstr>
      <vt:lpstr>NR_Total_Resprop</vt:lpstr>
      <vt:lpstr>Memo Table1</vt:lpstr>
      <vt:lpstr>Other Tables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Bosley, Katelyn M (DFW)</cp:lastModifiedBy>
  <cp:revision/>
  <dcterms:created xsi:type="dcterms:W3CDTF">2024-11-22T20:53:05Z</dcterms:created>
  <dcterms:modified xsi:type="dcterms:W3CDTF">2025-04-21T22:55:42Z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011977-b912-4387-97a4-f4c94a801377_ActionId">
    <vt:lpwstr>6c25ca59-ee77-4421-bdb5-1019c11440d5</vt:lpwstr>
  </property>
  <property fmtid="{D5CDD505-2E9C-101B-9397-08002B2CF9AE}" pid="3" name="MediaServiceImageTags">
    <vt:lpwstr/>
  </property>
  <property fmtid="{D5CDD505-2E9C-101B-9397-08002B2CF9AE}" pid="4" name="MSIP_Label_45011977-b912-4387-97a4-f4c94a801377_Method">
    <vt:lpwstr>Standard</vt:lpwstr>
  </property>
  <property fmtid="{D5CDD505-2E9C-101B-9397-08002B2CF9AE}" pid="5" name="MSIP_Label_45011977-b912-4387-97a4-f4c94a801377_SiteId">
    <vt:lpwstr>11d0e217-264e-400a-8ba0-57dcc127d72d</vt:lpwstr>
  </property>
  <property fmtid="{D5CDD505-2E9C-101B-9397-08002B2CF9AE}" pid="6" name="ContentTypeId">
    <vt:lpwstr>0x010100DE9114A9D0DECB469CD3434F7556ACE4</vt:lpwstr>
  </property>
  <property fmtid="{D5CDD505-2E9C-101B-9397-08002B2CF9AE}" pid="7" name="MSIP_Label_45011977-b912-4387-97a4-f4c94a801377_Name">
    <vt:lpwstr>Uncategorized Data</vt:lpwstr>
  </property>
  <property fmtid="{D5CDD505-2E9C-101B-9397-08002B2CF9AE}" pid="8" name="MSIP_Label_45011977-b912-4387-97a4-f4c94a801377_SetDate">
    <vt:lpwstr>2024-11-22T20:25:07Z</vt:lpwstr>
  </property>
  <property fmtid="{D5CDD505-2E9C-101B-9397-08002B2CF9AE}" pid="9" name="MSIP_Label_45011977-b912-4387-97a4-f4c94a801377_ContentBits">
    <vt:lpwstr>0</vt:lpwstr>
  </property>
  <property fmtid="{D5CDD505-2E9C-101B-9397-08002B2CF9AE}" pid="10" name="MSIP_Label_45011977-b912-4387-97a4-f4c94a801377_Enabled">
    <vt:lpwstr>true</vt:lpwstr>
  </property>
</Properties>
</file>