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jd/Desktop/"/>
    </mc:Choice>
  </mc:AlternateContent>
  <xr:revisionPtr revIDLastSave="0" documentId="13_ncr:1_{2E335333-CB1B-5640-8DC9-AF0F0354BBBC}" xr6:coauthVersionLast="40" xr6:coauthVersionMax="40" xr10:uidLastSave="{00000000-0000-0000-0000-000000000000}"/>
  <bookViews>
    <workbookView xWindow="3240" yWindow="620" windowWidth="26520" windowHeight="26480" xr2:uid="{FA80413B-B473-9946-BFAA-BCC79B485766}"/>
  </bookViews>
  <sheets>
    <sheet name="CoMet_Settings_Tool" sheetId="6" r:id="rId1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6" i="6" l="1"/>
  <c r="C72" i="6"/>
  <c r="C34" i="6"/>
  <c r="C65" i="6"/>
  <c r="C52" i="6"/>
  <c r="B6" i="6"/>
  <c r="O36" i="6"/>
  <c r="O37" i="6"/>
  <c r="O33" i="6"/>
  <c r="O34" i="6"/>
  <c r="O38" i="6"/>
  <c r="O45" i="6"/>
  <c r="O47" i="6"/>
  <c r="O25" i="6"/>
  <c r="O26" i="6"/>
  <c r="O48" i="6"/>
  <c r="O32" i="6"/>
  <c r="O49" i="6"/>
  <c r="O50" i="6"/>
  <c r="C71" i="6"/>
  <c r="C78" i="6"/>
  <c r="C79" i="6"/>
  <c r="C60" i="6"/>
  <c r="C82" i="6"/>
  <c r="C83" i="6"/>
  <c r="C81" i="6"/>
  <c r="O16" i="6"/>
  <c r="O31" i="6"/>
  <c r="C80" i="6"/>
  <c r="O46" i="6"/>
  <c r="C77" i="6"/>
  <c r="C73" i="6"/>
  <c r="O44" i="6"/>
  <c r="C75" i="6"/>
  <c r="C76" i="6"/>
  <c r="O35" i="6"/>
  <c r="C63" i="6"/>
  <c r="G27" i="6"/>
  <c r="G25" i="6"/>
  <c r="G21" i="6"/>
  <c r="I21" i="6"/>
  <c r="C64" i="6"/>
  <c r="I13" i="6"/>
  <c r="C67" i="6"/>
  <c r="I19" i="6"/>
  <c r="C68" i="6"/>
  <c r="C61" i="6"/>
  <c r="C59" i="6"/>
  <c r="C54" i="6"/>
  <c r="C55" i="6"/>
  <c r="O22" i="6"/>
  <c r="O28" i="6"/>
  <c r="O29" i="6"/>
  <c r="C57" i="6"/>
  <c r="C56" i="6"/>
  <c r="C48" i="6"/>
  <c r="I11" i="6"/>
  <c r="C49" i="6"/>
  <c r="C50" i="6"/>
  <c r="C51" i="6"/>
  <c r="C36" i="6"/>
  <c r="C38" i="6"/>
  <c r="C44" i="6"/>
  <c r="C45" i="6"/>
  <c r="O9" i="6"/>
  <c r="G17" i="6"/>
  <c r="I17" i="6"/>
  <c r="C46" i="6"/>
  <c r="C43" i="6"/>
  <c r="C39" i="6"/>
  <c r="G10" i="6"/>
  <c r="G16" i="6"/>
  <c r="I16" i="6"/>
  <c r="C41" i="6"/>
  <c r="C40" i="6"/>
  <c r="O39" i="6"/>
  <c r="C37" i="6"/>
  <c r="C32" i="6"/>
  <c r="C33" i="6"/>
  <c r="C30" i="6"/>
  <c r="C31" i="6"/>
  <c r="C28" i="6"/>
  <c r="C29" i="6"/>
  <c r="I27" i="6"/>
  <c r="F27" i="6"/>
  <c r="C27" i="6"/>
  <c r="G26" i="6"/>
  <c r="I26" i="6"/>
  <c r="F26" i="6"/>
  <c r="I25" i="6"/>
  <c r="F25" i="6"/>
  <c r="O24" i="6"/>
  <c r="G24" i="6"/>
  <c r="I24" i="6"/>
  <c r="F24" i="6"/>
  <c r="G23" i="6"/>
  <c r="I23" i="6"/>
  <c r="F23" i="6"/>
  <c r="G22" i="6"/>
  <c r="I22" i="6"/>
  <c r="F22" i="6"/>
  <c r="F21" i="6"/>
  <c r="F19" i="6"/>
  <c r="H17" i="6"/>
  <c r="F17" i="6"/>
  <c r="H16" i="6"/>
  <c r="F10" i="6"/>
  <c r="F16" i="6"/>
  <c r="G15" i="6"/>
  <c r="I15" i="6"/>
  <c r="H15" i="6"/>
  <c r="F15" i="6"/>
  <c r="I12" i="6"/>
  <c r="O10" i="6"/>
  <c r="I10" i="6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Wayne Joubert</author>
  </authors>
  <commentList>
    <comment ref="C13" authorId="0" shapeId="0" xr:uid="{7355445C-FEEA-3148-95F3-AF9E88314C96}">
      <text>
        <r>
          <rPr>
            <sz val="10"/>
            <color rgb="FF000000"/>
            <rFont val="Tahoma"/>
            <family val="2"/>
          </rPr>
          <t xml:space="preserve">increasing this (by itself) increases CPU/GPU memory usage </t>
        </r>
        <r>
          <rPr>
            <u/>
            <sz val="10"/>
            <color rgb="FF000000"/>
            <rFont val="Tahoma"/>
            <family val="2"/>
          </rPr>
          <t>quadratically</t>
        </r>
        <r>
          <rPr>
            <sz val="10"/>
            <color rgb="FF000000"/>
            <rFont val="Tahoma"/>
            <family val="2"/>
          </rPr>
          <t xml:space="preserve"> (2-way) or </t>
        </r>
        <r>
          <rPr>
            <u/>
            <sz val="10"/>
            <color rgb="FF000000"/>
            <rFont val="Tahoma"/>
            <family val="2"/>
          </rPr>
          <t>cubically</t>
        </r>
        <r>
          <rPr>
            <sz val="10"/>
            <color rgb="FF000000"/>
            <rFont val="Tahoma"/>
            <family val="2"/>
          </rPr>
          <t xml:space="preserve"> (3-way)</t>
        </r>
      </text>
    </comment>
    <comment ref="C14" authorId="0" shapeId="0" xr:uid="{AEA9B9D2-716A-B140-BAD6-F8E266872AC2}">
      <text>
        <r>
          <rPr>
            <sz val="10"/>
            <color rgb="FF000000"/>
            <rFont val="Tahoma"/>
            <family val="2"/>
          </rPr>
          <t xml:space="preserve">increasing this (by itself) increaes CPU/GPU memory usage </t>
        </r>
        <r>
          <rPr>
            <u/>
            <sz val="10"/>
            <color rgb="FF000000"/>
            <rFont val="Tahoma"/>
            <family val="2"/>
          </rPr>
          <t>linearly</t>
        </r>
      </text>
    </comment>
    <comment ref="C18" authorId="0" shapeId="0" xr:uid="{80EC322D-9191-2A4E-B0CF-1F359AE6A4D8}">
      <text>
        <r>
          <rPr>
            <sz val="10"/>
            <color rgb="FF000000"/>
            <rFont val="Tahoma"/>
            <family val="2"/>
          </rPr>
          <t>this spreadsheet is only designed to work for GPU case</t>
        </r>
      </text>
    </comment>
    <comment ref="C20" authorId="0" shapeId="0" xr:uid="{32EA98C6-5967-174B-9C55-1D739CF956C3}">
      <text>
        <r>
          <rPr>
            <sz val="10"/>
            <color rgb="FF000000"/>
            <rFont val="Tahoma"/>
            <family val="2"/>
          </rPr>
          <t>not a commonly used setting because increases memory use and allreduce cost. suggest on Summit setting to 1 (preferred), 2, 3 or 6 to keep allreduces on-node</t>
        </r>
      </text>
    </comment>
    <comment ref="C21" authorId="0" shapeId="0" xr:uid="{C04F47A9-0341-3345-941F-874460EC5352}">
      <text>
        <r>
          <rPr>
            <sz val="10"/>
            <color rgb="FF000000"/>
            <rFont val="Tahoma"/>
            <family val="2"/>
          </rPr>
          <t xml:space="preserve">increasing this reduces wallclock time but increases total system memory needed for vectors </t>
        </r>
        <r>
          <rPr>
            <u/>
            <sz val="10"/>
            <color rgb="FF000000"/>
            <rFont val="Tahoma"/>
            <family val="2"/>
          </rPr>
          <t>linearly</t>
        </r>
        <r>
          <rPr>
            <sz val="10"/>
            <color rgb="FF000000"/>
            <rFont val="Tahoma"/>
            <family val="2"/>
          </rPr>
          <t xml:space="preserve"> and may introduce load imbalance (see below)</t>
        </r>
      </text>
    </comment>
    <comment ref="C22" authorId="0" shapeId="0" xr:uid="{F58EC965-6212-1A46-A074-1074B51A3897}">
      <text>
        <r>
          <rPr>
            <sz val="10"/>
            <color rgb="FF000000"/>
            <rFont val="Tahoma"/>
            <family val="2"/>
          </rPr>
          <t>use of tensor cores (tc = 2) can significantly increase performance for CCC</t>
        </r>
      </text>
    </comment>
    <comment ref="C23" authorId="0" shapeId="0" xr:uid="{E4980399-8144-AF40-AF75-45440C1B1C40}">
      <text>
        <r>
          <rPr>
            <sz val="10"/>
            <color rgb="FF000000"/>
            <rFont val="Tahoma"/>
            <family val="2"/>
          </rPr>
          <t xml:space="preserve">more tensor core steps reduces memory usage </t>
        </r>
        <r>
          <rPr>
            <u/>
            <sz val="10"/>
            <color rgb="FF000000"/>
            <rFont val="Tahoma"/>
            <family val="2"/>
          </rPr>
          <t>linearly</t>
        </r>
        <r>
          <rPr>
            <sz val="10"/>
            <color rgb="FF000000"/>
            <rFont val="Tahoma"/>
            <family val="2"/>
          </rPr>
          <t xml:space="preserve"> but may reduce GEMM performance</t>
        </r>
      </text>
    </comment>
    <comment ref="C24" authorId="0" shapeId="0" xr:uid="{01EA7FAC-C166-944D-B8A6-FC736C60F89A}">
      <text>
        <r>
          <rPr>
            <sz val="10"/>
            <color rgb="FF000000"/>
            <rFont val="Tahoma"/>
            <family val="2"/>
          </rPr>
          <t xml:space="preserve">increasing this reduces CPU memory usage </t>
        </r>
        <r>
          <rPr>
            <u/>
            <sz val="10"/>
            <color rgb="FF000000"/>
            <rFont val="Tahoma"/>
            <family val="2"/>
          </rPr>
          <t>linearly</t>
        </r>
        <r>
          <rPr>
            <sz val="10"/>
            <color rgb="FF000000"/>
            <rFont val="Tahoma"/>
            <family val="2"/>
          </rPr>
          <t xml:space="preserve"> but can reduce pipeline efficiency</t>
        </r>
      </text>
    </comment>
    <comment ref="C25" authorId="0" shapeId="0" xr:uid="{83E71B04-4D5B-0F48-8BFB-3D4547D6D3B9}">
      <text>
        <r>
          <rPr>
            <sz val="10"/>
            <color rgb="FF000000"/>
            <rFont val="Tahoma"/>
            <family val="2"/>
          </rPr>
          <t xml:space="preserve">for 3-way methods. increasing this reduces CPU mem usage </t>
        </r>
        <r>
          <rPr>
            <u/>
            <sz val="10"/>
            <color rgb="FF000000"/>
            <rFont val="Tahoma"/>
            <family val="2"/>
          </rPr>
          <t>linearly</t>
        </r>
        <r>
          <rPr>
            <sz val="10"/>
            <color rgb="FF000000"/>
            <rFont val="Tahoma"/>
            <family val="2"/>
          </rPr>
          <t xml:space="preserve"> but decreases pipeline efficiency</t>
        </r>
      </text>
    </comment>
    <comment ref="C27" authorId="0" shapeId="0" xr:uid="{ED506729-3795-C745-95AB-0AEAC70FE358}">
      <text>
        <r>
          <rPr>
            <sz val="10"/>
            <color rgb="FF000000"/>
            <rFont val="Tahoma"/>
            <family val="2"/>
          </rPr>
          <t>tensor cores only available on some systems</t>
        </r>
      </text>
    </comment>
    <comment ref="C28" authorId="0" shapeId="0" xr:uid="{56367034-E0EA-7C42-B15B-785625633B1D}">
      <text>
        <r>
          <rPr>
            <sz val="10"/>
            <color rgb="FF000000"/>
            <rFont val="Tahoma"/>
            <family val="2"/>
          </rPr>
          <t>limited by number of blocks in block row or slab</t>
        </r>
      </text>
    </comment>
    <comment ref="C30" authorId="0" shapeId="0" xr:uid="{89A09225-5646-6F4C-B5A8-57724FF1992C}">
      <text>
        <r>
          <rPr>
            <sz val="10"/>
            <color rgb="FF000000"/>
            <rFont val="Tahoma"/>
            <family val="2"/>
          </rPr>
          <t>can be &gt; 1 only if 3-way</t>
        </r>
      </text>
    </comment>
    <comment ref="C32" authorId="0" shapeId="0" xr:uid="{A43A2A89-B6CA-B341-97F3-A65248710DFD}">
      <text>
        <r>
          <rPr>
            <sz val="10"/>
            <color rgb="FF000000"/>
            <rFont val="Tahoma"/>
            <family val="2"/>
          </rPr>
          <t>this should be only slightly less than a whole number, for good load balance - see next cell</t>
        </r>
      </text>
    </comment>
    <comment ref="C34" authorId="0" shapeId="0" xr:uid="{F54BBA61-C6E4-B947-8FC4-DEAA11666DA4}">
      <text>
        <r>
          <rPr>
            <sz val="10"/>
            <color rgb="FF000000"/>
            <rFont val="Tahoma"/>
            <family val="2"/>
          </rPr>
          <t>similar to gpu pipeline len 3-way below</t>
        </r>
      </text>
    </comment>
    <comment ref="C39" authorId="0" shapeId="0" xr:uid="{A7C87AB7-9A8A-C847-B94A-628E7D078BA2}">
      <text>
        <r>
          <rPr>
            <sz val="10"/>
            <color rgb="FF000000"/>
            <rFont val="Tahoma"/>
            <family val="2"/>
          </rPr>
          <t>available memory limit on GPU may be ragged, may need to leave headroom</t>
        </r>
      </text>
    </comment>
    <comment ref="C40" authorId="0" shapeId="0" xr:uid="{ED64E219-E63C-D942-B4BB-BB76CB8D08C0}">
      <text>
        <r>
          <rPr>
            <sz val="10"/>
            <color rgb="FF000000"/>
            <rFont val="Tahoma"/>
            <family val="2"/>
          </rPr>
          <t>percent used of available</t>
        </r>
      </text>
    </comment>
    <comment ref="C41" authorId="0" shapeId="0" xr:uid="{5EE7F4FA-CEB5-EC4B-98C6-CB339FD6A81D}">
      <text>
        <r>
          <rPr>
            <sz val="10"/>
            <color rgb="FF000000"/>
            <rFont val="Tahoma"/>
            <family val="2"/>
          </rPr>
          <t xml:space="preserve">(crude) estimate of percent of max achievable peak perfomance for given method/system. this should be made AS LARGE AS POSSIBLE to maximize performance
</t>
        </r>
      </text>
    </comment>
    <comment ref="C45" authorId="0" shapeId="0" xr:uid="{3F0B7F9F-DFE6-114E-BF98-67DAAAC276D7}">
      <text>
        <r>
          <rPr>
            <sz val="10"/>
            <color rgb="FF000000"/>
            <rFont val="Tahoma"/>
            <family val="2"/>
          </rPr>
          <t>available memory limit on node may be ragged, may need to leave headroom</t>
        </r>
      </text>
    </comment>
    <comment ref="C46" authorId="0" shapeId="0" xr:uid="{0E6E5FB0-AA0A-2640-9C05-2B98230D3DA5}">
      <text>
        <r>
          <rPr>
            <sz val="10"/>
            <color rgb="FF000000"/>
            <rFont val="Tahoma"/>
            <family val="2"/>
          </rPr>
          <t>percent used of available</t>
        </r>
      </text>
    </comment>
    <comment ref="C49" authorId="0" shapeId="0" xr:uid="{9D68014A-D00F-394E-9808-8B8C39D5F02B}">
      <text>
        <r>
          <rPr>
            <sz val="10"/>
            <color rgb="FF000000"/>
            <rFont val="Tahoma"/>
            <family val="2"/>
          </rPr>
          <t>rounded up for divisibility</t>
        </r>
      </text>
    </comment>
    <comment ref="C56" authorId="0" shapeId="0" xr:uid="{2C1B4B88-7981-A74A-89A9-A7037DBB6656}">
      <text>
        <r>
          <rPr>
            <sz val="10"/>
            <color rgb="FF000000"/>
            <rFont val="Tahoma"/>
            <family val="2"/>
          </rPr>
          <t>a number much greater than 1 MAY be an indicator of low gemm performance</t>
        </r>
      </text>
    </comment>
    <comment ref="C57" authorId="0" shapeId="0" xr:uid="{44BC358F-FDD0-B942-85F1-218E53C613B3}">
      <text>
        <r>
          <rPr>
            <sz val="10"/>
            <color rgb="FF000000"/>
            <rFont val="Tahoma"/>
            <family val="2"/>
          </rPr>
          <t>roughly speaking, this should be a large fraction of GPU memory to maximize performance</t>
        </r>
      </text>
    </comment>
    <comment ref="C59" authorId="0" shapeId="0" xr:uid="{D3AB9A34-C0D1-C746-8520-94CAB011A1F0}">
      <text>
        <r>
          <rPr>
            <sz val="10"/>
            <color rgb="FF000000"/>
            <rFont val="Tahoma"/>
            <family val="2"/>
          </rPr>
          <t xml:space="preserve">higher values amortize pipeline fill/drain overhead </t>
        </r>
        <r>
          <rPr>
            <u/>
            <sz val="10"/>
            <color rgb="FF000000"/>
            <rFont val="Tahoma"/>
            <family val="2"/>
          </rPr>
          <t>linearly</t>
        </r>
        <r>
          <rPr>
            <sz val="10"/>
            <color rgb="FF000000"/>
            <rFont val="Tahoma"/>
            <family val="2"/>
          </rPr>
          <t>, thus improving performance</t>
        </r>
      </text>
    </comment>
    <comment ref="C60" authorId="0" shapeId="0" xr:uid="{61D26C27-6EDA-FD48-A1F5-BCF57F6CFCE9}">
      <text>
        <r>
          <rPr>
            <sz val="10"/>
            <color rgb="FF000000"/>
            <rFont val="Tahoma"/>
            <family val="2"/>
          </rPr>
          <t xml:space="preserve">higher values amortize pipeline fill/drain overheads </t>
        </r>
        <r>
          <rPr>
            <u/>
            <sz val="10"/>
            <color rgb="FF000000"/>
            <rFont val="Tahoma"/>
            <family val="2"/>
          </rPr>
          <t>linearly</t>
        </r>
        <r>
          <rPr>
            <sz val="10"/>
            <color rgb="FF000000"/>
            <rFont val="Tahoma"/>
            <family val="2"/>
          </rPr>
          <t>, improving performance. suggest setting &gt; 1 if possible</t>
        </r>
      </text>
    </comment>
    <comment ref="C61" authorId="0" shapeId="0" xr:uid="{C19F36C0-780B-D34F-AFC0-17B17002334F}">
      <text>
        <r>
          <rPr>
            <sz val="10"/>
            <color rgb="FF000000"/>
            <rFont val="Tahoma"/>
            <family val="2"/>
          </rPr>
          <t xml:space="preserve">higher values amortize pipeline fill/drain overhead </t>
        </r>
        <r>
          <rPr>
            <u/>
            <sz val="10"/>
            <color rgb="FF000000"/>
            <rFont val="Tahoma"/>
            <family val="2"/>
          </rPr>
          <t>linearly</t>
        </r>
        <r>
          <rPr>
            <sz val="10"/>
            <color rgb="FF000000"/>
            <rFont val="Tahoma"/>
            <family val="2"/>
          </rPr>
          <t>, thus imprving performance</t>
        </r>
      </text>
    </comment>
    <comment ref="C63" authorId="0" shapeId="0" xr:uid="{2487F8E9-BE74-134D-92A4-3FC5FC35E35B}">
      <text>
        <r>
          <rPr>
            <sz val="10"/>
            <color rgb="FF000000"/>
            <rFont val="Tahoma"/>
            <family val="2"/>
          </rPr>
          <t>total vector element comparisons for all phases, stages</t>
        </r>
      </text>
    </comment>
    <comment ref="C64" authorId="0" shapeId="0" xr:uid="{10F1ADAC-D64A-CE40-A638-5C30C7DEBDD4}">
      <text>
        <r>
          <rPr>
            <sz val="10"/>
            <color rgb="FF000000"/>
            <rFont val="Tahoma"/>
            <family val="2"/>
          </rPr>
          <t>limit, based on previous runs for extremely large problems</t>
        </r>
      </text>
    </comment>
    <comment ref="C65" authorId="0" shapeId="0" xr:uid="{76F522D1-1B6E-3A4B-BD9E-61519BE2A480}">
      <text>
        <r>
          <rPr>
            <sz val="10"/>
            <color rgb="FF000000"/>
            <rFont val="Tahoma"/>
            <family val="2"/>
          </rPr>
          <t>NOTE: this entry should be set bssed on empirical timing data</t>
        </r>
      </text>
    </comment>
    <comment ref="C68" authorId="0" shapeId="0" xr:uid="{D7956CF0-C904-DD44-8481-38B4D6DE3083}">
      <text>
        <r>
          <rPr>
            <sz val="10"/>
            <color rgb="FF000000"/>
            <rFont val="Tahoma"/>
            <family val="2"/>
          </rPr>
          <t>fraction based on extremely rough ballpark figure of typical INCITE project allocations</t>
        </r>
      </text>
    </comment>
  </commentList>
</comments>
</file>

<file path=xl/sharedStrings.xml><?xml version="1.0" encoding="utf-8"?>
<sst xmlns="http://schemas.openxmlformats.org/spreadsheetml/2006/main" count="154" uniqueCount="136">
  <si>
    <t>QUANTITY</t>
  </si>
  <si>
    <t>VALUE</t>
  </si>
  <si>
    <t>metric_type</t>
  </si>
  <si>
    <t>sparse</t>
  </si>
  <si>
    <t>num_vector</t>
  </si>
  <si>
    <t>num_field</t>
  </si>
  <si>
    <t>num_way</t>
  </si>
  <si>
    <t>compute_method</t>
  </si>
  <si>
    <t>GPU</t>
  </si>
  <si>
    <t>num_proc_field</t>
  </si>
  <si>
    <t>num_proc_repl</t>
  </si>
  <si>
    <t>tc</t>
  </si>
  <si>
    <t>num_tc_steps</t>
  </si>
  <si>
    <t>num_phase</t>
  </si>
  <si>
    <t>num_stage</t>
  </si>
  <si>
    <t>single/double</t>
  </si>
  <si>
    <t>Titan</t>
  </si>
  <si>
    <t>Summit</t>
  </si>
  <si>
    <t>system</t>
  </si>
  <si>
    <t>other</t>
  </si>
  <si>
    <t>SYSTEM</t>
  </si>
  <si>
    <t>dropdown options</t>
  </si>
  <si>
    <t>czek</t>
  </si>
  <si>
    <t>ccc</t>
  </si>
  <si>
    <t>no</t>
  </si>
  <si>
    <t>yes</t>
  </si>
  <si>
    <t>CPU</t>
  </si>
  <si>
    <t>REF</t>
  </si>
  <si>
    <t>single</t>
  </si>
  <si>
    <t>double</t>
  </si>
  <si>
    <t>GPUs per node</t>
  </si>
  <si>
    <t>mem per GPU (GB)</t>
  </si>
  <si>
    <t>CPU mem per node (GB)</t>
  </si>
  <si>
    <t>0 (none)</t>
  </si>
  <si>
    <t>1 (FP16)</t>
  </si>
  <si>
    <t>2 (INT8)</t>
  </si>
  <si>
    <t>num nodes</t>
  </si>
  <si>
    <t>num GPUs</t>
  </si>
  <si>
    <t>mem per GPU (bytes)</t>
  </si>
  <si>
    <t>GB</t>
  </si>
  <si>
    <t>GiB</t>
  </si>
  <si>
    <t>CPU mem per rank (bytes)</t>
  </si>
  <si>
    <t>(other)</t>
  </si>
  <si>
    <t>num_proc_vector</t>
  </si>
  <si>
    <t>bits per byte</t>
  </si>
  <si>
    <t>sizeof float</t>
  </si>
  <si>
    <t>sizeof double</t>
  </si>
  <si>
    <t>sizeof float_t (value)</t>
  </si>
  <si>
    <t>sizeof FP16</t>
  </si>
  <si>
    <t>sizeof INT8</t>
  </si>
  <si>
    <t>sizeof tc_t (value)</t>
  </si>
  <si>
    <t>bits per vector elt</t>
  </si>
  <si>
    <t>bytes per metric elt</t>
  </si>
  <si>
    <t>contstants etc.</t>
  </si>
  <si>
    <t>sizeof uint64</t>
  </si>
  <si>
    <t>bytes per S</t>
  </si>
  <si>
    <t>sizeof float2</t>
  </si>
  <si>
    <t>sizeof float3</t>
  </si>
  <si>
    <t>bytes per C</t>
  </si>
  <si>
    <t>bytes per metric</t>
  </si>
  <si>
    <t>bytes per elt index</t>
  </si>
  <si>
    <t>num vector local</t>
  </si>
  <si>
    <t>num field local</t>
  </si>
  <si>
    <t>bytes per vector 2dblock</t>
  </si>
  <si>
    <t>bytes per metrics 2dblock</t>
  </si>
  <si>
    <t>bytes per vector local</t>
  </si>
  <si>
    <t>bytes GPU 2-way</t>
  </si>
  <si>
    <t>bytes GPU</t>
  </si>
  <si>
    <t>bytes GPU 3-way</t>
  </si>
  <si>
    <t>bytes GPU tc bufs</t>
  </si>
  <si>
    <t>do reduce</t>
  </si>
  <si>
    <t>bytes CPU 2-way</t>
  </si>
  <si>
    <t>bytes CPU 3-way</t>
  </si>
  <si>
    <t>bytes CPU</t>
  </si>
  <si>
    <t>bytes per VectorSums</t>
  </si>
  <si>
    <t>is sparse</t>
  </si>
  <si>
    <t>bytes for metrics</t>
  </si>
  <si>
    <t>bytes for metrics 2-way</t>
  </si>
  <si>
    <t>bytes for metrics 3-way</t>
  </si>
  <si>
    <t>GPU mem percent</t>
  </si>
  <si>
    <t>CPU mem percent</t>
  </si>
  <si>
    <t>is ccc</t>
  </si>
  <si>
    <t>gemm rows</t>
  </si>
  <si>
    <t>gemm cols</t>
  </si>
  <si>
    <t>is tc</t>
  </si>
  <si>
    <t>aspect ratio</t>
  </si>
  <si>
    <t>is czek</t>
  </si>
  <si>
    <t>pipeline len 2-way</t>
  </si>
  <si>
    <t>comm pipeline len 3-way</t>
  </si>
  <si>
    <t>gpu pipeline len 3-way</t>
  </si>
  <si>
    <t>is 2-way</t>
  </si>
  <si>
    <t>is 3-way</t>
  </si>
  <si>
    <t>sizeof float2/3_t (value)</t>
  </si>
  <si>
    <t>num_stage limit</t>
  </si>
  <si>
    <t>bignum</t>
  </si>
  <si>
    <t>num_phase limit</t>
  </si>
  <si>
    <t>comparisons</t>
  </si>
  <si>
    <t xml:space="preserve">        2-way czek</t>
  </si>
  <si>
    <t xml:space="preserve">        2-way ccc</t>
  </si>
  <si>
    <t xml:space="preserve">        3-way czek</t>
  </si>
  <si>
    <t xml:space="preserve">        3-way ccc</t>
  </si>
  <si>
    <t xml:space="preserve">    2-way</t>
  </si>
  <si>
    <t xml:space="preserve">    3-way</t>
  </si>
  <si>
    <t>comparisons/sec limit X 1e15</t>
  </si>
  <si>
    <t>actual</t>
  </si>
  <si>
    <t>bytes per metric elt 2-way</t>
  </si>
  <si>
    <t>bytes / metrics 3d slice / stage</t>
  </si>
  <si>
    <t>planes / 3d slice / stage</t>
  </si>
  <si>
    <t>solver
settings</t>
  </si>
  <si>
    <t>tc limit</t>
  </si>
  <si>
    <t>tc max</t>
  </si>
  <si>
    <t>avg blocks/phase/proc</t>
  </si>
  <si>
    <t xml:space="preserve">   . . . percent</t>
  </si>
  <si>
    <t xml:space="preserve">   . . . performance penalty</t>
  </si>
  <si>
    <t>gemm input elt size</t>
  </si>
  <si>
    <t>gemm output elt size</t>
  </si>
  <si>
    <t>num ranks</t>
  </si>
  <si>
    <t>num ranks to request</t>
  </si>
  <si>
    <t>num nodes to request</t>
  </si>
  <si>
    <t>gemm matrices bytes</t>
  </si>
  <si>
    <t>performance fraction estimate</t>
  </si>
  <si>
    <t>full sys comparisons/sec limit</t>
  </si>
  <si>
    <t>full sys comparisons/sec est.</t>
  </si>
  <si>
    <t>node hours est.</t>
  </si>
  <si>
    <t>avg node hour allocation size</t>
  </si>
  <si>
    <t>fraction of avg allocation</t>
  </si>
  <si>
    <t>stf006</t>
  </si>
  <si>
    <t>exec cmds</t>
  </si>
  <si>
    <t>project</t>
  </si>
  <si>
    <t>probl
settings</t>
  </si>
  <si>
    <t>3-way avg planes/stage/proc</t>
  </si>
  <si>
    <t>num vector local round up</t>
  </si>
  <si>
    <t xml:space="preserve">   . . . fraction of INCITE metric</t>
  </si>
  <si>
    <t xml:space="preserve">   . . . percent of ful system</t>
  </si>
  <si>
    <t>aux
values</t>
  </si>
  <si>
    <t>rough perf fraction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</si>
</sst>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"/>
    <numFmt numFmtId="166" formatCode="#,##0.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</font>
    <font>
      <sz val="10"/>
      <color rgb="FF000000"/>
      <name val="Tahoma"/>
      <family val="2"/>
    </font>
    <font>
      <sz val="12"/>
      <color theme="1"/>
      <name val="Calibri"/>
      <family val="2"/>
    </font>
    <font>
      <u/>
      <sz val="10"/>
      <color rgb="FF000000"/>
      <name val="Tahoma"/>
      <family val="2"/>
    </font>
    <font>
      <sz val="12"/>
      <color theme="0" tint="-0.34998626667073579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5FF"/>
        <bgColor indexed="64"/>
      </patternFill>
    </fill>
  </fills>
  <borders count="3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rgb="FFFF000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rgb="FFFF000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FF0000"/>
      </left>
      <right style="thin">
        <color theme="0" tint="-0.14996795556505021"/>
      </right>
      <top style="thin">
        <color theme="0" tint="-0.14996795556505021"/>
      </top>
      <bottom style="thin">
        <color rgb="FFFF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rgb="FFFF0000"/>
      </bottom>
      <diagonal/>
    </border>
    <border>
      <left style="thin">
        <color theme="0" tint="-0.14996795556505021"/>
      </left>
      <right style="thin">
        <color rgb="FFFF0000"/>
      </right>
      <top style="thin">
        <color theme="0" tint="-0.14996795556505021"/>
      </top>
      <bottom style="thin">
        <color rgb="FFFF0000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rgb="FFFF0000"/>
      </left>
      <right/>
      <top style="thin">
        <color rgb="FFFF0000"/>
      </top>
      <bottom style="thin">
        <color theme="0" tint="-0.14996795556505021"/>
      </bottom>
      <diagonal/>
    </border>
    <border>
      <left style="thin">
        <color rgb="FFFF0000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FF0000"/>
      </left>
      <right/>
      <top style="thin">
        <color theme="0" tint="-0.14996795556505021"/>
      </top>
      <bottom style="thin">
        <color rgb="FFFF0000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rgb="FFFF0000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rgb="FFFF0000"/>
      </right>
      <top/>
      <bottom style="thin">
        <color theme="0" tint="-0.14996795556505021"/>
      </bottom>
      <diagonal/>
    </border>
    <border>
      <left style="thin">
        <color rgb="FFFF0000"/>
      </left>
      <right style="thin">
        <color theme="0" tint="-0.14996795556505021"/>
      </right>
      <top style="thin">
        <color rgb="FFFF0000"/>
      </top>
      <bottom style="thin">
        <color rgb="FFFF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rgb="FFFF0000"/>
      </top>
      <bottom style="thin">
        <color rgb="FFFF0000"/>
      </bottom>
      <diagonal/>
    </border>
    <border>
      <left style="thin">
        <color theme="0" tint="-0.1499679555650502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theme="0" tint="-0.14996795556505021"/>
      </bottom>
      <diagonal/>
    </border>
    <border>
      <left style="thin">
        <color rgb="FFFF0000"/>
      </left>
      <right style="thin">
        <color rgb="FFFF000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FF0000"/>
      </left>
      <right style="thin">
        <color rgb="FFFF0000"/>
      </right>
      <top style="thin">
        <color theme="0" tint="-0.14996795556505021"/>
      </top>
      <bottom style="thin">
        <color rgb="FFFF000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rgb="FFFF0000"/>
      </right>
      <top style="thin">
        <color theme="0" tint="-0.1499679555650502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theme="1"/>
      </left>
      <right style="thin">
        <color theme="0" tint="-0.14996795556505021"/>
      </right>
      <top style="thin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/>
      </top>
      <bottom style="thin">
        <color theme="0" tint="-0.14996795556505021"/>
      </bottom>
      <diagonal/>
    </border>
    <border>
      <left style="thin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3" fontId="0" fillId="0" borderId="1" xfId="0" applyNumberForma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3" fontId="1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3" fillId="0" borderId="4" xfId="0" applyFont="1" applyBorder="1" applyAlignment="1">
      <alignment horizontal="center" vertical="top"/>
    </xf>
    <xf numFmtId="0" fontId="0" fillId="0" borderId="6" xfId="0" applyBorder="1" applyAlignment="1">
      <alignment vertical="top"/>
    </xf>
    <xf numFmtId="0" fontId="0" fillId="0" borderId="6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3" fontId="0" fillId="0" borderId="10" xfId="0" applyNumberFormat="1" applyBorder="1" applyAlignment="1">
      <alignment horizontal="center" vertical="top"/>
    </xf>
    <xf numFmtId="3" fontId="0" fillId="0" borderId="11" xfId="0" applyNumberFormat="1" applyBorder="1" applyAlignment="1">
      <alignment horizontal="center" vertical="top"/>
    </xf>
    <xf numFmtId="0" fontId="0" fillId="0" borderId="12" xfId="0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0" borderId="7" xfId="0" applyBorder="1" applyAlignment="1">
      <alignment horizontal="center" vertical="top"/>
    </xf>
    <xf numFmtId="3" fontId="0" fillId="0" borderId="9" xfId="0" applyNumberFormat="1" applyBorder="1" applyAlignment="1">
      <alignment horizontal="center" vertical="top"/>
    </xf>
    <xf numFmtId="0" fontId="0" fillId="0" borderId="18" xfId="0" applyNumberFormat="1" applyBorder="1" applyAlignment="1">
      <alignment horizontal="center" vertical="top"/>
    </xf>
    <xf numFmtId="0" fontId="0" fillId="0" borderId="6" xfId="0" applyNumberFormat="1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2" xfId="0" quotePrefix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2" borderId="23" xfId="0" applyFill="1" applyBorder="1" applyAlignment="1">
      <alignment horizontal="center" vertical="top"/>
    </xf>
    <xf numFmtId="0" fontId="0" fillId="2" borderId="24" xfId="0" applyFill="1" applyBorder="1" applyAlignment="1">
      <alignment horizontal="center" vertical="top"/>
    </xf>
    <xf numFmtId="0" fontId="0" fillId="2" borderId="25" xfId="0" applyFill="1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3" xfId="0" applyBorder="1" applyAlignment="1">
      <alignment vertical="top"/>
    </xf>
    <xf numFmtId="3" fontId="0" fillId="0" borderId="5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  <xf numFmtId="3" fontId="0" fillId="0" borderId="23" xfId="0" applyNumberFormat="1" applyBorder="1" applyAlignment="1">
      <alignment horizontal="center" vertical="top"/>
    </xf>
    <xf numFmtId="3" fontId="0" fillId="0" borderId="24" xfId="0" applyNumberFormat="1" applyBorder="1" applyAlignment="1">
      <alignment horizontal="center" vertical="top"/>
    </xf>
    <xf numFmtId="3" fontId="0" fillId="0" borderId="25" xfId="0" applyNumberFormat="1" applyBorder="1" applyAlignment="1">
      <alignment horizontal="center" vertical="top"/>
    </xf>
    <xf numFmtId="3" fontId="0" fillId="0" borderId="26" xfId="0" applyNumberFormat="1" applyBorder="1" applyAlignment="1">
      <alignment horizontal="center" vertical="top"/>
    </xf>
    <xf numFmtId="10" fontId="0" fillId="0" borderId="1" xfId="0" applyNumberFormat="1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3" fontId="0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5" fillId="0" borderId="4" xfId="0" quotePrefix="1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3" fontId="5" fillId="0" borderId="4" xfId="0" applyNumberFormat="1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164" fontId="0" fillId="0" borderId="1" xfId="0" applyNumberFormat="1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7" fillId="0" borderId="1" xfId="0" quotePrefix="1" applyFont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3" fontId="7" fillId="0" borderId="1" xfId="0" applyNumberFormat="1" applyFont="1" applyBorder="1" applyAlignment="1">
      <alignment horizontal="center" vertical="top"/>
    </xf>
    <xf numFmtId="11" fontId="7" fillId="0" borderId="1" xfId="0" applyNumberFormat="1" applyFont="1" applyBorder="1" applyAlignment="1">
      <alignment horizontal="center" vertical="top"/>
    </xf>
    <xf numFmtId="164" fontId="0" fillId="0" borderId="5" xfId="0" applyNumberFormat="1" applyBorder="1" applyAlignment="1">
      <alignment horizontal="center" vertical="top"/>
    </xf>
    <xf numFmtId="10" fontId="0" fillId="0" borderId="28" xfId="0" applyNumberFormat="1" applyBorder="1" applyAlignment="1">
      <alignment horizontal="center" vertical="top"/>
    </xf>
    <xf numFmtId="0" fontId="0" fillId="2" borderId="29" xfId="0" applyFill="1" applyBorder="1" applyAlignment="1">
      <alignment horizontal="center" vertical="top"/>
    </xf>
    <xf numFmtId="166" fontId="0" fillId="0" borderId="1" xfId="0" applyNumberFormat="1" applyBorder="1" applyAlignment="1">
      <alignment horizontal="center" vertical="top"/>
    </xf>
    <xf numFmtId="0" fontId="0" fillId="2" borderId="32" xfId="0" applyFill="1" applyBorder="1" applyAlignment="1">
      <alignment horizontal="center" vertical="top"/>
    </xf>
    <xf numFmtId="0" fontId="0" fillId="0" borderId="32" xfId="0" applyBorder="1" applyAlignment="1">
      <alignment horizontal="center" vertical="top"/>
    </xf>
    <xf numFmtId="0" fontId="0" fillId="0" borderId="17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0" fillId="0" borderId="33" xfId="0" applyBorder="1" applyAlignment="1">
      <alignment horizontal="left" vertical="top"/>
    </xf>
    <xf numFmtId="3" fontId="0" fillId="0" borderId="34" xfId="0" applyNumberFormat="1" applyBorder="1" applyAlignment="1">
      <alignment horizontal="center" vertical="top"/>
    </xf>
    <xf numFmtId="0" fontId="0" fillId="0" borderId="34" xfId="0" applyBorder="1" applyAlignment="1">
      <alignment vertical="top"/>
    </xf>
    <xf numFmtId="0" fontId="0" fillId="0" borderId="34" xfId="0" applyBorder="1" applyAlignment="1">
      <alignment horizontal="center" vertical="top"/>
    </xf>
    <xf numFmtId="0" fontId="7" fillId="0" borderId="34" xfId="0" applyFont="1" applyBorder="1" applyAlignment="1">
      <alignment horizontal="center" vertical="top"/>
    </xf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3" fontId="0" fillId="0" borderId="37" xfId="0" applyNumberFormat="1" applyBorder="1" applyAlignment="1">
      <alignment horizontal="center" vertical="top"/>
    </xf>
    <xf numFmtId="0" fontId="0" fillId="0" borderId="37" xfId="0" applyBorder="1" applyAlignment="1">
      <alignment vertical="top"/>
    </xf>
    <xf numFmtId="0" fontId="0" fillId="0" borderId="37" xfId="0" applyBorder="1" applyAlignment="1">
      <alignment horizontal="center" vertical="top"/>
    </xf>
    <xf numFmtId="0" fontId="7" fillId="0" borderId="37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1" fontId="0" fillId="0" borderId="26" xfId="0" applyNumberFormat="1" applyBorder="1" applyAlignment="1">
      <alignment horizontal="center" vertical="top"/>
    </xf>
    <xf numFmtId="10" fontId="0" fillId="0" borderId="6" xfId="0" applyNumberFormat="1" applyBorder="1" applyAlignment="1">
      <alignment horizontal="center" vertical="top"/>
    </xf>
    <xf numFmtId="3" fontId="0" fillId="0" borderId="38" xfId="0" applyNumberFormat="1" applyBorder="1" applyAlignment="1">
      <alignment horizontal="center" vertical="top"/>
    </xf>
    <xf numFmtId="0" fontId="1" fillId="0" borderId="12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31" xfId="0" applyFont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27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E00"/>
      <color rgb="FF00FF01"/>
      <color rgb="FFFF7F82"/>
      <color rgb="FF00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28</xdr:row>
      <xdr:rowOff>50800</xdr:rowOff>
    </xdr:from>
    <xdr:to>
      <xdr:col>11</xdr:col>
      <xdr:colOff>406400</xdr:colOff>
      <xdr:row>50</xdr:row>
      <xdr:rowOff>12700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09504F4-9F59-2546-B952-C4A51AAF20F6}"/>
            </a:ext>
          </a:extLst>
        </xdr:cNvPr>
        <xdr:cNvSpPr txBox="1"/>
      </xdr:nvSpPr>
      <xdr:spPr>
        <a:xfrm>
          <a:off x="6540500" y="5740400"/>
          <a:ext cx="5727700" cy="4432300"/>
        </a:xfrm>
        <a:prstGeom prst="rect">
          <a:avLst/>
        </a:prstGeom>
        <a:solidFill>
          <a:srgbClr val="FFFE00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INSTRUCTIONS:</a:t>
          </a:r>
        </a:p>
        <a:p>
          <a:endParaRPr lang="en-US" sz="1600"/>
        </a:p>
        <a:p>
          <a:r>
            <a:rPr lang="en-US" sz="1600"/>
            <a:t>- ONLY change entries</a:t>
          </a:r>
          <a:r>
            <a:rPr lang="en-US" sz="1600" baseline="0"/>
            <a:t> in the white cells with red borders</a:t>
          </a:r>
        </a:p>
        <a:p>
          <a:r>
            <a:rPr lang="en-US" sz="1600" baseline="0"/>
            <a:t>- settings are set acceptably when ALL cells are green (best) or yellow (some performance-related cells may be allowed to be orange or red if absolutely necessary)</a:t>
          </a:r>
        </a:p>
        <a:p>
          <a:r>
            <a:rPr lang="en-US" sz="1600"/>
            <a:t>- see</a:t>
          </a:r>
          <a:r>
            <a:rPr lang="en-US" sz="1600" baseline="0"/>
            <a:t> hover-over notes on specific cells for guidance</a:t>
          </a:r>
        </a:p>
        <a:p>
          <a:r>
            <a:rPr lang="en-US" sz="1600" baseline="0"/>
            <a:t>- the execution commands at the top of the sheet should run the given case.  for large node counts and long runs it is recommended that the commands be submitted as a batch script instead of running interactively, to avoid wasting allocation</a:t>
          </a:r>
        </a:p>
        <a:p>
          <a:r>
            <a:rPr lang="en-US" sz="1600" baseline="0"/>
            <a:t>- the number in the "performance fraction estimate" box should be inferred from a run.  The max tensor core rate on a large case for this code is ~ 82 TF.  so for example an ops_rate/proc of 1.64e+12 would be 2% efficiency.</a:t>
          </a:r>
        </a:p>
        <a:p>
          <a:r>
            <a:rPr lang="en-US" sz="1600" baseline="0"/>
            <a:t>- NOTE: I/O time is not counted here - it could be inferred from an actual run on real data</a:t>
          </a:r>
        </a:p>
        <a:p>
          <a:endParaRPr lang="en-US" sz="18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ayne Joubert" id="{4FDEEA99-810F-2C4C-BD96-7D4A3D6E0D28}" userId="Wayne Joubert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9693-509E-D84D-8D62-271E15A24091}">
  <dimension ref="A1:AC83"/>
  <sheetViews>
    <sheetView tabSelected="1" zoomScaleNormal="100" workbookViewId="0"/>
  </sheetViews>
  <sheetFormatPr baseColWidth="10" defaultRowHeight="16"/>
  <cols>
    <col min="1" max="1" width="7.6640625" style="1" customWidth="1"/>
    <col min="2" max="2" width="26.83203125" style="2" customWidth="1"/>
    <col min="3" max="3" width="23.33203125" style="3" customWidth="1"/>
    <col min="4" max="4" width="1.83203125" style="1" customWidth="1"/>
    <col min="5" max="5" width="25" style="1" customWidth="1"/>
    <col min="6" max="6" width="14.33203125" style="2" customWidth="1"/>
    <col min="7" max="7" width="14.33203125" style="1" customWidth="1"/>
    <col min="8" max="8" width="11" style="2" bestFit="1" customWidth="1"/>
    <col min="9" max="9" width="13.6640625" style="1" bestFit="1" customWidth="1"/>
    <col min="10" max="10" width="1.83203125" style="1" customWidth="1"/>
    <col min="11" max="11" width="15.83203125" style="2" customWidth="1"/>
    <col min="12" max="12" width="10.83203125" style="2"/>
    <col min="13" max="13" width="1.83203125" style="1" customWidth="1"/>
    <col min="14" max="14" width="22.6640625" style="53" customWidth="1"/>
    <col min="15" max="15" width="11.1640625" style="53" bestFit="1" customWidth="1"/>
    <col min="16" max="16384" width="10.83203125" style="1"/>
  </cols>
  <sheetData>
    <row r="1" spans="1:29">
      <c r="B1" s="30"/>
      <c r="C1" s="36"/>
    </row>
    <row r="2" spans="1:29">
      <c r="A2" s="10"/>
      <c r="B2" s="62" t="s">
        <v>128</v>
      </c>
      <c r="C2" s="63" t="s">
        <v>126</v>
      </c>
      <c r="D2" s="64"/>
      <c r="E2" s="65"/>
      <c r="F2" s="30"/>
      <c r="G2" s="65"/>
      <c r="H2" s="30"/>
      <c r="I2" s="65"/>
      <c r="J2" s="65"/>
      <c r="K2" s="30"/>
      <c r="L2" s="30"/>
      <c r="M2" s="65"/>
      <c r="N2" s="66"/>
      <c r="O2" s="66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</row>
    <row r="3" spans="1:29">
      <c r="A3" s="83" t="s">
        <v>127</v>
      </c>
      <c r="B3" s="68" t="str">
        <f>IF(C$16=L$16,CONCATENATE("bsub -P ",C2," -nnodes ",C50," -W 10 -Is $SHELL"),"")</f>
        <v>bsub -P stf006 -nnodes 1334 -W 10 -Is $SHELL</v>
      </c>
      <c r="C3" s="69"/>
      <c r="D3" s="70"/>
      <c r="E3" s="70"/>
      <c r="F3" s="71"/>
      <c r="G3" s="70"/>
      <c r="H3" s="71"/>
      <c r="I3" s="70"/>
      <c r="J3" s="70"/>
      <c r="K3" s="71"/>
      <c r="L3" s="71"/>
      <c r="M3" s="70"/>
      <c r="N3" s="72"/>
      <c r="O3" s="72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</row>
    <row r="4" spans="1:29">
      <c r="A4" s="84"/>
      <c r="B4" s="73" t="str">
        <f>IF(C$16=L$16,"executable=install_single_release_summit/bin/genomics_metric ar_opts='PAMI_IBV_ENABLE_DCT=1 PAMI_ENABLE_STRIPING=1 PAMI_IBV_ADAPTER_AFFINITY=0 PAMI_IBV_QP_SERVICE_LEVEL=8 PAMI_IBV_ENABLE_OOO_AR=1'","")</f>
        <v>executable=install_single_release_summit/bin/genomics_metric ar_opts='PAMI_IBV_ENABLE_DCT=1 PAMI_ENABLE_STRIPING=1 PAMI_IBV_ADAPTER_AFFINITY=0 PAMI_IBV_QP_SERVICE_LEVEL=8 PAMI_IBV_ENABLE_OOO_AR=1'</v>
      </c>
    </row>
    <row r="5" spans="1:29">
      <c r="A5" s="84"/>
      <c r="B5" s="73" t="str">
        <f>IF(C$16=L$16,CONCATENATE("launch_command=""env OMP_NUM_THREADS=7 $ar_opts jsrun --nrs ",C49," --bind packed:7 --cpu_per_rs 7 --gpu_per_rs 1 --rs_per_host 6 --tasks_per_rs 1 -X 1"""),"")</f>
        <v>launch_command="env OMP_NUM_THREADS=7 $ar_opts jsrun --nrs 8004 --bind packed:7 --cpu_per_rs 7 --gpu_per_rs 1 --rs_per_host 6 --tasks_per_rs 1 -X 1"</v>
      </c>
    </row>
    <row r="6" spans="1:29">
      <c r="A6" s="85"/>
      <c r="B6" s="74" t="str">
        <f>IF(C$16=L$16,CONCATENATE("$launch_command $executable --num_way ",C10," --metric_type ",C11," --sparse ",C12," --num_vector ",C13," --num_field ",C14," --all2all yes --compute_method GPU --num_proc_vector ",C19," --num_proc_field ",C20," --num_proc_repl ",C21," --tc ",O39," --num_tc_steps ",C23," --num_phase ",C24," --num_stage ",C25," --verbosity 1 --checksum no --phase_min ",MAX(0,C24-1)," --phase_max ",C24-1," --stage_min ",MAX(0,C25-1)," --stage_max ",C25-1),"")</f>
        <v>$launch_command $executable --num_way 3 --metric_type ccc --sparse yes --num_vector 1000000 --num_field 2000 --all2all yes --compute_method GPU --num_proc_vector 100 --num_proc_field 1 --num_proc_repl 80 --tc 1 --num_tc_steps 1 --num_phase 130 --num_stage 280 --verbosity 1 --checksum no --phase_min 129 --phase_max 129 --stage_min 279 --stage_max 279</v>
      </c>
      <c r="C6" s="75"/>
      <c r="D6" s="76"/>
      <c r="E6" s="76"/>
      <c r="F6" s="77"/>
      <c r="G6" s="76"/>
      <c r="H6" s="77"/>
      <c r="I6" s="76"/>
      <c r="J6" s="76"/>
      <c r="K6" s="77"/>
      <c r="L6" s="77"/>
      <c r="M6" s="76"/>
      <c r="N6" s="78"/>
      <c r="O6" s="78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</row>
    <row r="7" spans="1:29">
      <c r="B7" s="13"/>
      <c r="C7" s="37"/>
      <c r="D7" s="12"/>
      <c r="E7" s="12"/>
      <c r="F7" s="13"/>
      <c r="G7" s="12"/>
      <c r="H7" s="13"/>
      <c r="I7" s="12"/>
      <c r="J7" s="12"/>
      <c r="K7" s="13"/>
      <c r="L7" s="13"/>
      <c r="M7" s="12"/>
      <c r="N7" s="67"/>
      <c r="O7" s="67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B8" s="7" t="s">
        <v>0</v>
      </c>
      <c r="C8" s="8" t="s">
        <v>1</v>
      </c>
      <c r="D8" s="7"/>
      <c r="E8" s="7"/>
      <c r="F8" s="86" t="s">
        <v>20</v>
      </c>
      <c r="G8" s="87"/>
      <c r="H8" s="88"/>
      <c r="I8" s="7"/>
      <c r="J8" s="7"/>
      <c r="K8" s="9" t="s">
        <v>21</v>
      </c>
      <c r="L8" s="9"/>
      <c r="M8" s="7"/>
      <c r="N8" s="55" t="s">
        <v>53</v>
      </c>
      <c r="O8" s="55"/>
    </row>
    <row r="9" spans="1:29">
      <c r="B9" s="30"/>
      <c r="C9" s="36"/>
      <c r="E9" s="17"/>
      <c r="F9" s="26" t="s">
        <v>16</v>
      </c>
      <c r="G9" s="27" t="s">
        <v>17</v>
      </c>
      <c r="H9" s="28" t="s">
        <v>42</v>
      </c>
      <c r="I9" s="47" t="s">
        <v>104</v>
      </c>
      <c r="K9" s="5" t="s">
        <v>6</v>
      </c>
      <c r="L9" s="5">
        <v>2</v>
      </c>
      <c r="N9" s="53" t="s">
        <v>39</v>
      </c>
      <c r="O9" s="53">
        <f>1024*1024*1024</f>
        <v>1073741824</v>
      </c>
    </row>
    <row r="10" spans="1:29">
      <c r="A10" s="89" t="s">
        <v>129</v>
      </c>
      <c r="B10" s="31" t="s">
        <v>6</v>
      </c>
      <c r="C10" s="38">
        <v>3</v>
      </c>
      <c r="D10" s="35"/>
      <c r="E10" s="18" t="s">
        <v>31</v>
      </c>
      <c r="F10" s="23">
        <f>6*0.85</f>
        <v>5.0999999999999996</v>
      </c>
      <c r="G10" s="24">
        <f>16*0.95</f>
        <v>15.2</v>
      </c>
      <c r="H10" s="25"/>
      <c r="I10" s="48">
        <f>IF(C$16=F$9,F10,IF(C$16=G$9,G10,H10))</f>
        <v>15.2</v>
      </c>
      <c r="K10" s="5"/>
      <c r="L10" s="5">
        <v>3</v>
      </c>
      <c r="N10" s="53" t="s">
        <v>40</v>
      </c>
      <c r="O10" s="53">
        <f>1000000000</f>
        <v>1000000000</v>
      </c>
    </row>
    <row r="11" spans="1:29">
      <c r="A11" s="90"/>
      <c r="B11" s="32" t="s">
        <v>2</v>
      </c>
      <c r="C11" s="39" t="s">
        <v>23</v>
      </c>
      <c r="D11" s="35"/>
      <c r="E11" s="19" t="s">
        <v>30</v>
      </c>
      <c r="F11" s="21">
        <v>1</v>
      </c>
      <c r="G11" s="2">
        <v>6</v>
      </c>
      <c r="H11" s="14">
        <v>1</v>
      </c>
      <c r="I11" s="49">
        <f t="shared" ref="I11:I12" si="0">IF(C$16=F$9,F11,IF(C$16=G$9,G11,H11))</f>
        <v>6</v>
      </c>
      <c r="K11" s="5" t="s">
        <v>2</v>
      </c>
      <c r="L11" s="5" t="s">
        <v>22</v>
      </c>
    </row>
    <row r="12" spans="1:29">
      <c r="A12" s="10"/>
      <c r="B12" s="32" t="s">
        <v>3</v>
      </c>
      <c r="C12" s="39" t="s">
        <v>25</v>
      </c>
      <c r="D12" s="35"/>
      <c r="E12" s="19" t="s">
        <v>32</v>
      </c>
      <c r="F12" s="21">
        <v>31</v>
      </c>
      <c r="G12" s="2">
        <v>420</v>
      </c>
      <c r="H12" s="14"/>
      <c r="I12" s="49">
        <f t="shared" si="0"/>
        <v>420</v>
      </c>
      <c r="K12" s="5"/>
      <c r="L12" s="5" t="s">
        <v>23</v>
      </c>
      <c r="N12" s="53" t="s">
        <v>44</v>
      </c>
      <c r="O12" s="53">
        <v>8</v>
      </c>
    </row>
    <row r="13" spans="1:29">
      <c r="A13" s="10"/>
      <c r="B13" s="32" t="s">
        <v>4</v>
      </c>
      <c r="C13" s="39">
        <v>1000000</v>
      </c>
      <c r="D13" s="35"/>
      <c r="E13" s="20" t="s">
        <v>36</v>
      </c>
      <c r="F13" s="22">
        <v>18688</v>
      </c>
      <c r="G13" s="15">
        <v>4608</v>
      </c>
      <c r="H13" s="16"/>
      <c r="I13" s="49">
        <f>IF(C$16=F$9,F13,IF(C$16=G$9,G13,H13))</f>
        <v>4608</v>
      </c>
      <c r="K13" s="5" t="s">
        <v>3</v>
      </c>
      <c r="L13" s="5" t="s">
        <v>24</v>
      </c>
    </row>
    <row r="14" spans="1:29">
      <c r="A14" s="10"/>
      <c r="B14" s="33" t="s">
        <v>5</v>
      </c>
      <c r="C14" s="40">
        <v>2000</v>
      </c>
      <c r="D14" s="29"/>
      <c r="E14" s="12"/>
      <c r="F14" s="13"/>
      <c r="G14" s="12"/>
      <c r="H14" s="13"/>
      <c r="I14" s="49"/>
      <c r="K14" s="5"/>
      <c r="L14" s="5" t="s">
        <v>25</v>
      </c>
      <c r="N14" s="53" t="s">
        <v>45</v>
      </c>
      <c r="O14" s="53">
        <v>4</v>
      </c>
    </row>
    <row r="15" spans="1:29">
      <c r="B15" s="34"/>
      <c r="C15" s="41"/>
      <c r="E15" s="50" t="s">
        <v>37</v>
      </c>
      <c r="F15" s="45">
        <f>F11*F13</f>
        <v>18688</v>
      </c>
      <c r="G15" s="45">
        <f>G11*G13</f>
        <v>27648</v>
      </c>
      <c r="H15" s="45">
        <f>H10*O9</f>
        <v>0</v>
      </c>
      <c r="I15" s="49">
        <f t="shared" ref="I15:I19" si="1">IF(C$16=F$9,F15,IF(C$16=G$9,G15,H15))</f>
        <v>27648</v>
      </c>
      <c r="K15" s="5" t="s">
        <v>18</v>
      </c>
      <c r="L15" s="5" t="s">
        <v>16</v>
      </c>
      <c r="N15" s="53" t="s">
        <v>46</v>
      </c>
      <c r="O15" s="53">
        <v>8</v>
      </c>
    </row>
    <row r="16" spans="1:29">
      <c r="A16" s="89" t="s">
        <v>108</v>
      </c>
      <c r="B16" s="31" t="s">
        <v>18</v>
      </c>
      <c r="C16" s="38" t="s">
        <v>17</v>
      </c>
      <c r="D16" s="29"/>
      <c r="E16" s="50" t="s">
        <v>38</v>
      </c>
      <c r="F16" s="45">
        <f>F10*$O9</f>
        <v>5476083302.3999996</v>
      </c>
      <c r="G16" s="45">
        <f t="shared" ref="G16:H16" si="2">G10*$O9</f>
        <v>16320875724.799999</v>
      </c>
      <c r="H16" s="45">
        <f t="shared" si="2"/>
        <v>0</v>
      </c>
      <c r="I16" s="49">
        <f t="shared" si="1"/>
        <v>16320875724.799999</v>
      </c>
      <c r="K16" s="5"/>
      <c r="L16" s="5" t="s">
        <v>17</v>
      </c>
      <c r="N16" s="53" t="s">
        <v>47</v>
      </c>
      <c r="O16" s="53">
        <f>IF(C17=L18,O14,O15)</f>
        <v>4</v>
      </c>
    </row>
    <row r="17" spans="1:15">
      <c r="A17" s="90"/>
      <c r="B17" s="32" t="s">
        <v>15</v>
      </c>
      <c r="C17" s="39" t="s">
        <v>28</v>
      </c>
      <c r="D17" s="29"/>
      <c r="E17" s="50" t="s">
        <v>41</v>
      </c>
      <c r="F17" s="45">
        <f>F12*$O9/F11</f>
        <v>33285996544</v>
      </c>
      <c r="G17" s="45">
        <f t="shared" ref="G17:H17" si="3">G12*$O9/G11</f>
        <v>75161927680</v>
      </c>
      <c r="H17" s="45">
        <f t="shared" si="3"/>
        <v>0</v>
      </c>
      <c r="I17" s="49">
        <f t="shared" si="1"/>
        <v>75161927680</v>
      </c>
      <c r="K17" s="5"/>
      <c r="L17" s="5" t="s">
        <v>19</v>
      </c>
    </row>
    <row r="18" spans="1:15">
      <c r="A18" s="10"/>
      <c r="B18" s="32" t="s">
        <v>7</v>
      </c>
      <c r="C18" s="39" t="s">
        <v>8</v>
      </c>
      <c r="D18" s="29"/>
      <c r="I18" s="49"/>
      <c r="K18" s="5" t="s">
        <v>15</v>
      </c>
      <c r="L18" s="5" t="s">
        <v>28</v>
      </c>
      <c r="N18" s="53" t="s">
        <v>54</v>
      </c>
      <c r="O18" s="53">
        <v>8</v>
      </c>
    </row>
    <row r="19" spans="1:15">
      <c r="A19" s="10"/>
      <c r="B19" s="32" t="s">
        <v>43</v>
      </c>
      <c r="C19" s="39">
        <v>100</v>
      </c>
      <c r="D19" s="29"/>
      <c r="E19" s="1" t="s">
        <v>124</v>
      </c>
      <c r="F19" s="3">
        <f>100000000/30</f>
        <v>3333333.3333333335</v>
      </c>
      <c r="G19" s="3">
        <v>300000</v>
      </c>
      <c r="H19" s="3"/>
      <c r="I19" s="49">
        <f t="shared" si="1"/>
        <v>300000</v>
      </c>
      <c r="K19" s="5"/>
      <c r="L19" s="5" t="s">
        <v>29</v>
      </c>
    </row>
    <row r="20" spans="1:15">
      <c r="A20" s="10"/>
      <c r="B20" s="32" t="s">
        <v>9</v>
      </c>
      <c r="C20" s="39">
        <v>1</v>
      </c>
      <c r="D20" s="29"/>
      <c r="K20" s="5" t="s">
        <v>7</v>
      </c>
      <c r="L20" s="5" t="s">
        <v>26</v>
      </c>
      <c r="N20" s="53" t="s">
        <v>48</v>
      </c>
      <c r="O20" s="53">
        <v>2</v>
      </c>
    </row>
    <row r="21" spans="1:15">
      <c r="A21" s="10"/>
      <c r="B21" s="32" t="s">
        <v>10</v>
      </c>
      <c r="C21" s="39">
        <v>80</v>
      </c>
      <c r="D21" s="29"/>
      <c r="E21" s="1" t="s">
        <v>103</v>
      </c>
      <c r="F21" s="2">
        <f>IF(N36=1,F22,F25)</f>
        <v>2.0579999999999998</v>
      </c>
      <c r="G21" s="2">
        <f>IF(O36=1,G22,G25)</f>
        <v>81.611000000000004</v>
      </c>
      <c r="I21" s="48">
        <f t="shared" ref="I21:I27" si="4">IF(C$16=F$9,F21,IF(C$16=G$9,G21,H21))</f>
        <v>81.611000000000004</v>
      </c>
      <c r="K21" s="5"/>
      <c r="L21" s="5" t="s">
        <v>8</v>
      </c>
      <c r="N21" s="53" t="s">
        <v>49</v>
      </c>
      <c r="O21" s="53">
        <v>1</v>
      </c>
    </row>
    <row r="22" spans="1:15">
      <c r="A22" s="10"/>
      <c r="B22" s="32" t="s">
        <v>11</v>
      </c>
      <c r="C22" s="39" t="s">
        <v>34</v>
      </c>
      <c r="D22" s="29"/>
      <c r="E22" s="4" t="s">
        <v>101</v>
      </c>
      <c r="F22" s="6">
        <f>IF(O36=1,F23,F24)</f>
        <v>9.1080000000000005</v>
      </c>
      <c r="G22" s="6">
        <f>IF(O34=1,G23,G24)</f>
        <v>295.63299999999998</v>
      </c>
      <c r="H22" s="6"/>
      <c r="I22" s="11">
        <f t="shared" si="4"/>
        <v>295.63299999999998</v>
      </c>
      <c r="K22" s="5"/>
      <c r="L22" s="5" t="s">
        <v>27</v>
      </c>
      <c r="N22" s="53" t="s">
        <v>50</v>
      </c>
      <c r="O22" s="53">
        <f>IF(C22=L24,O20,IF(C22=L25,O21,0))</f>
        <v>2</v>
      </c>
    </row>
    <row r="23" spans="1:15">
      <c r="A23" s="10"/>
      <c r="B23" s="32" t="s">
        <v>12</v>
      </c>
      <c r="C23" s="39">
        <v>1</v>
      </c>
      <c r="D23" s="29"/>
      <c r="E23" s="4" t="s">
        <v>97</v>
      </c>
      <c r="F23" s="6">
        <f>IF(C17=L18,4.289,1.697)</f>
        <v>4.2889999999999997</v>
      </c>
      <c r="G23" s="6">
        <f>IF(C17=L18,94.768,29.586)</f>
        <v>94.768000000000001</v>
      </c>
      <c r="H23" s="6"/>
      <c r="I23" s="11">
        <f t="shared" si="4"/>
        <v>94.768000000000001</v>
      </c>
      <c r="K23" s="5" t="s">
        <v>11</v>
      </c>
      <c r="L23" s="53" t="s">
        <v>33</v>
      </c>
    </row>
    <row r="24" spans="1:15">
      <c r="A24" s="10"/>
      <c r="B24" s="32" t="s">
        <v>13</v>
      </c>
      <c r="C24" s="39">
        <v>130</v>
      </c>
      <c r="D24" s="29"/>
      <c r="E24" s="4" t="s">
        <v>98</v>
      </c>
      <c r="F24" s="6">
        <f>9.108</f>
        <v>9.1080000000000005</v>
      </c>
      <c r="G24" s="6">
        <f>IF(O35=1,295.633,IF(O32=1,71.587,104.37))</f>
        <v>295.63299999999998</v>
      </c>
      <c r="H24" s="6"/>
      <c r="I24" s="11">
        <f t="shared" si="4"/>
        <v>295.63299999999998</v>
      </c>
      <c r="K24" s="5"/>
      <c r="L24" s="53" t="s">
        <v>34</v>
      </c>
      <c r="N24" s="53" t="s">
        <v>56</v>
      </c>
      <c r="O24" s="53">
        <f>O15</f>
        <v>8</v>
      </c>
    </row>
    <row r="25" spans="1:15">
      <c r="A25" s="10"/>
      <c r="B25" s="33" t="s">
        <v>14</v>
      </c>
      <c r="C25" s="40">
        <v>280</v>
      </c>
      <c r="D25" s="29"/>
      <c r="E25" s="4" t="s">
        <v>102</v>
      </c>
      <c r="F25" s="6">
        <f>IF(O34=1,F26,F27)</f>
        <v>2.0579999999999998</v>
      </c>
      <c r="G25" s="6">
        <f>IF(O34=1,G26,G27)</f>
        <v>81.611000000000004</v>
      </c>
      <c r="H25" s="6"/>
      <c r="I25" s="11">
        <f t="shared" si="4"/>
        <v>81.611000000000004</v>
      </c>
      <c r="K25" s="5"/>
      <c r="L25" s="53" t="s">
        <v>35</v>
      </c>
      <c r="N25" s="53" t="s">
        <v>57</v>
      </c>
      <c r="O25" s="53">
        <f>2*O15</f>
        <v>16</v>
      </c>
    </row>
    <row r="26" spans="1:15">
      <c r="B26" s="13"/>
      <c r="C26" s="37"/>
      <c r="E26" s="4" t="s">
        <v>99</v>
      </c>
      <c r="F26" s="6">
        <f>IF(C17=L18,5.695,2.445)</f>
        <v>5.6950000000000003</v>
      </c>
      <c r="G26" s="6">
        <f>IF(C17=L18,72.499,27.755)</f>
        <v>72.498999999999995</v>
      </c>
      <c r="H26" s="6"/>
      <c r="I26" s="11">
        <f t="shared" si="4"/>
        <v>72.498999999999995</v>
      </c>
      <c r="K26" s="6"/>
      <c r="L26" s="53"/>
      <c r="N26" s="53" t="s">
        <v>92</v>
      </c>
      <c r="O26" s="53">
        <f>IF(C10=L9,O24,O25)</f>
        <v>16</v>
      </c>
    </row>
    <row r="27" spans="1:15">
      <c r="B27" s="2" t="s">
        <v>109</v>
      </c>
      <c r="C27" s="2">
        <f>IF(C16=L15,0,O40)</f>
        <v>2</v>
      </c>
      <c r="E27" s="4" t="s">
        <v>100</v>
      </c>
      <c r="F27" s="6">
        <f>2.058</f>
        <v>2.0579999999999998</v>
      </c>
      <c r="G27" s="6">
        <f>IF(O35=1,81.611,IF(O32=1,21.163,23.672))</f>
        <v>81.611000000000004</v>
      </c>
      <c r="H27" s="6"/>
      <c r="I27" s="11">
        <f t="shared" si="4"/>
        <v>81.611000000000004</v>
      </c>
      <c r="L27" s="53"/>
    </row>
    <row r="28" spans="1:15">
      <c r="B28" s="44" t="s">
        <v>95</v>
      </c>
      <c r="C28" s="45">
        <f>IF(O36=1,1+FLOOR(C19,2)/2,(C19+1)*(C19+2)/2)</f>
        <v>5151</v>
      </c>
      <c r="L28" s="54"/>
      <c r="N28" s="53" t="s">
        <v>114</v>
      </c>
      <c r="O28" s="53">
        <f>IF(C11=L11,O16,IF(O35=1,O22,2*O15))</f>
        <v>2</v>
      </c>
    </row>
    <row r="29" spans="1:15">
      <c r="B29" s="2" t="s">
        <v>112</v>
      </c>
      <c r="C29" s="42">
        <f>C24/C28</f>
        <v>2.5237817899437003E-2</v>
      </c>
      <c r="L29" s="53"/>
      <c r="N29" s="53" t="s">
        <v>115</v>
      </c>
      <c r="O29" s="53">
        <f>IF(C11=L11,O16,IF(O35=1,4,2*O15))</f>
        <v>4</v>
      </c>
    </row>
    <row r="30" spans="1:15">
      <c r="B30" s="44" t="s">
        <v>93</v>
      </c>
      <c r="C30" s="44">
        <f>IF(O36=1,1,O42)</f>
        <v>1E+30</v>
      </c>
      <c r="L30" s="53"/>
    </row>
    <row r="31" spans="1:15">
      <c r="B31" s="2" t="s">
        <v>112</v>
      </c>
      <c r="C31" s="42">
        <f>C25/C30</f>
        <v>2.7999999999999998E-28</v>
      </c>
      <c r="L31" s="53"/>
      <c r="N31" s="53" t="s">
        <v>70</v>
      </c>
      <c r="O31" s="53">
        <f>IF(C20&gt;1,1,0)</f>
        <v>0</v>
      </c>
    </row>
    <row r="32" spans="1:15">
      <c r="B32" s="2" t="s">
        <v>111</v>
      </c>
      <c r="C32" s="61">
        <f>IF(O36=1,(1+FLOOR(C19,2)/2)/C21/C24,(C19+1)*(C19+2)/C21/C24)</f>
        <v>0.99057692307692313</v>
      </c>
      <c r="L32" s="53"/>
      <c r="N32" s="53" t="s">
        <v>75</v>
      </c>
      <c r="O32" s="53">
        <f>IF(C12=L14,1,0)</f>
        <v>1</v>
      </c>
    </row>
    <row r="33" spans="2:15">
      <c r="B33" s="2" t="s">
        <v>113</v>
      </c>
      <c r="C33" s="42">
        <f>(CEILING(C32,1)-C32)/C32</f>
        <v>9.5127159774800445E-3</v>
      </c>
      <c r="L33" s="53"/>
      <c r="N33" s="53" t="s">
        <v>81</v>
      </c>
      <c r="O33" s="53">
        <f>IF(C11=L12,1,0)</f>
        <v>1</v>
      </c>
    </row>
    <row r="34" spans="2:15">
      <c r="B34" s="2" t="s">
        <v>130</v>
      </c>
      <c r="C34" s="61">
        <f>IF(O37=1,C72/6/C25,"N/A")</f>
        <v>5.9571428571428573</v>
      </c>
      <c r="L34" s="53"/>
      <c r="N34" s="53" t="s">
        <v>86</v>
      </c>
      <c r="O34" s="53">
        <f>1-O33</f>
        <v>0</v>
      </c>
    </row>
    <row r="35" spans="2:15">
      <c r="L35" s="53"/>
      <c r="N35" s="53" t="s">
        <v>84</v>
      </c>
      <c r="O35" s="53">
        <f>IF(C22=L23,0,1)</f>
        <v>1</v>
      </c>
    </row>
    <row r="36" spans="2:15">
      <c r="B36" s="2" t="s">
        <v>69</v>
      </c>
      <c r="C36" s="3">
        <f>O35*2*(CEILING(C73,C23)/C23)*(2*C71)*O22</f>
        <v>160032000</v>
      </c>
      <c r="L36" s="53"/>
      <c r="N36" s="53" t="s">
        <v>90</v>
      </c>
      <c r="O36" s="56">
        <f>IF(C10=L9,1,0)</f>
        <v>0</v>
      </c>
    </row>
    <row r="37" spans="2:15">
      <c r="B37" s="2" t="s">
        <v>66</v>
      </c>
      <c r="C37" s="3" t="str">
        <f>IF(O36=1,3*C76+(2+O31)*C77+C36,"N/A")</f>
        <v>N/A</v>
      </c>
      <c r="L37" s="53"/>
      <c r="N37" s="53" t="s">
        <v>91</v>
      </c>
      <c r="O37" s="56">
        <f>IF(C10=L10,1,0)</f>
        <v>1</v>
      </c>
    </row>
    <row r="38" spans="2:15">
      <c r="B38" s="2" t="s">
        <v>68</v>
      </c>
      <c r="C38" s="3">
        <f>O37*((3*C76)+(2*C76+2*C77+O31*2*C77+O34*3*C77)+C36)</f>
        <v>3386317128</v>
      </c>
      <c r="L38" s="53"/>
      <c r="N38" s="53" t="s">
        <v>6</v>
      </c>
      <c r="O38" s="53">
        <f>O36*2+O37*3</f>
        <v>3</v>
      </c>
    </row>
    <row r="39" spans="2:15">
      <c r="B39" s="2" t="s">
        <v>67</v>
      </c>
      <c r="C39" s="3">
        <f>IF(O36=1,C37,C38)</f>
        <v>3386317128</v>
      </c>
      <c r="N39" s="53" t="s">
        <v>11</v>
      </c>
      <c r="O39" s="53">
        <f>IF(C22=L23,0,IF(C22=L24,1,2))</f>
        <v>1</v>
      </c>
    </row>
    <row r="40" spans="2:15">
      <c r="B40" s="2" t="s">
        <v>79</v>
      </c>
      <c r="C40" s="42">
        <f>C39/I16</f>
        <v>0.20748378856009558</v>
      </c>
      <c r="N40" s="53" t="s">
        <v>110</v>
      </c>
      <c r="O40" s="53">
        <v>2</v>
      </c>
    </row>
    <row r="41" spans="2:15">
      <c r="B41" s="2" t="s">
        <v>135</v>
      </c>
      <c r="C41" s="42">
        <f>C39/I16</f>
        <v>0.20748378856009558</v>
      </c>
    </row>
    <row r="42" spans="2:15">
      <c r="N42" s="53" t="s">
        <v>94</v>
      </c>
      <c r="O42" s="57">
        <v>1E+30</v>
      </c>
    </row>
    <row r="43" spans="2:15">
      <c r="B43" s="2" t="s">
        <v>71</v>
      </c>
      <c r="C43" s="3" t="str">
        <f>IF(O36=1,C76+(C37-C36)+2*C80+C83,"N/A")</f>
        <v>N/A</v>
      </c>
    </row>
    <row r="44" spans="2:15">
      <c r="B44" s="2" t="s">
        <v>72</v>
      </c>
      <c r="C44" s="3">
        <f>IF(O37=1,C76+(C38-C36)+3*C80+C83,"N/A")</f>
        <v>46448807904</v>
      </c>
      <c r="N44" s="53" t="s">
        <v>51</v>
      </c>
      <c r="O44" s="56">
        <f>IF(O33=1,2,O12*O16)</f>
        <v>2</v>
      </c>
    </row>
    <row r="45" spans="2:15">
      <c r="B45" s="2" t="s">
        <v>73</v>
      </c>
      <c r="C45" s="3">
        <f>IF(O36=1,C43,C44)</f>
        <v>46448807904</v>
      </c>
      <c r="N45" s="53" t="s">
        <v>52</v>
      </c>
      <c r="O45" s="56">
        <f>IF(O34=1,O16,O15*POWER(2,O38)/2)</f>
        <v>32</v>
      </c>
    </row>
    <row r="46" spans="2:15">
      <c r="B46" s="2" t="s">
        <v>80</v>
      </c>
      <c r="C46" s="42">
        <f>C45/I17</f>
        <v>0.61798319092818665</v>
      </c>
      <c r="N46" s="53" t="s">
        <v>105</v>
      </c>
      <c r="O46" s="53">
        <f>IF(O34=1,O16,O15*POWER(2,2)/2)</f>
        <v>16</v>
      </c>
    </row>
    <row r="47" spans="2:15">
      <c r="N47" s="53" t="s">
        <v>60</v>
      </c>
      <c r="O47" s="56">
        <f>O18</f>
        <v>8</v>
      </c>
    </row>
    <row r="48" spans="2:15">
      <c r="B48" s="2" t="s">
        <v>116</v>
      </c>
      <c r="C48" s="3">
        <f>C19*C20*C21</f>
        <v>8000</v>
      </c>
      <c r="N48" s="53" t="s">
        <v>55</v>
      </c>
      <c r="O48" s="56">
        <f>IF(O33=1,O26,0)</f>
        <v>16</v>
      </c>
    </row>
    <row r="49" spans="2:15">
      <c r="B49" s="2" t="s">
        <v>117</v>
      </c>
      <c r="C49" s="36">
        <f>CEILING(C48,I11)</f>
        <v>8004</v>
      </c>
      <c r="N49" s="53" t="s">
        <v>58</v>
      </c>
      <c r="O49" s="56">
        <f>IF(O32=1, O48,0)</f>
        <v>16</v>
      </c>
    </row>
    <row r="50" spans="2:15">
      <c r="B50" s="79" t="s">
        <v>118</v>
      </c>
      <c r="C50" s="82">
        <f>C49/I11</f>
        <v>1334</v>
      </c>
      <c r="D50" s="29"/>
      <c r="N50" s="53" t="s">
        <v>59</v>
      </c>
      <c r="O50" s="56">
        <f>O45+O47+O48+O49</f>
        <v>72</v>
      </c>
    </row>
    <row r="51" spans="2:15">
      <c r="B51" s="2" t="s">
        <v>133</v>
      </c>
      <c r="C51" s="81">
        <f>C50/I13</f>
        <v>0.28949652777777779</v>
      </c>
    </row>
    <row r="52" spans="2:15">
      <c r="B52" s="2" t="s">
        <v>132</v>
      </c>
      <c r="C52" s="42">
        <f>C51/0.2</f>
        <v>1.4474826388888888</v>
      </c>
    </row>
    <row r="54" spans="2:15">
      <c r="B54" s="2" t="s">
        <v>82</v>
      </c>
      <c r="C54" s="3">
        <f>IF(O35=1,CEILING(C73,C23)/C23,IF(O33=0,C73,CEILING(C73,64)/64))</f>
        <v>2000</v>
      </c>
    </row>
    <row r="55" spans="2:15">
      <c r="B55" s="2" t="s">
        <v>83</v>
      </c>
      <c r="C55" s="3">
        <f>C71*(1+O35)</f>
        <v>20004</v>
      </c>
    </row>
    <row r="56" spans="2:15">
      <c r="B56" s="2" t="s">
        <v>85</v>
      </c>
      <c r="C56" s="43">
        <f>MAX(C54/C55,C55/C54)</f>
        <v>10.002000000000001</v>
      </c>
    </row>
    <row r="57" spans="2:15">
      <c r="B57" s="2" t="s">
        <v>119</v>
      </c>
      <c r="C57" s="3">
        <f>2*C54*C55*O28+C55*C55*O29</f>
        <v>1760672064</v>
      </c>
    </row>
    <row r="59" spans="2:15">
      <c r="B59" s="2" t="s">
        <v>87</v>
      </c>
      <c r="C59" s="3" t="str">
        <f>IF(O36=1,CEILING(CEILING(CEILING(C19+1,2)/2,C21)/C21,C24)/C24,"N/A")</f>
        <v>N/A</v>
      </c>
    </row>
    <row r="60" spans="2:15">
      <c r="B60" s="2" t="s">
        <v>88</v>
      </c>
      <c r="C60" s="3">
        <f>IF(O37=1,CEILING((C19+1)*(C19+2),C21*C24)/(C21*C24),"N/A")</f>
        <v>1</v>
      </c>
    </row>
    <row r="61" spans="2:15">
      <c r="B61" s="2" t="s">
        <v>89</v>
      </c>
      <c r="C61" s="3">
        <f>IF(O37=1,C78,"N/A")</f>
        <v>6</v>
      </c>
    </row>
    <row r="63" spans="2:15">
      <c r="B63" s="2" t="s">
        <v>96</v>
      </c>
      <c r="C63" s="46">
        <f>IF(O36=1,C14*C13*C13/2,C14*C13*C13*C13/6)</f>
        <v>3.3333333333333331E+20</v>
      </c>
    </row>
    <row r="64" spans="2:15">
      <c r="B64" s="30" t="s">
        <v>121</v>
      </c>
      <c r="C64" s="58">
        <f>I21*1000000000000000</f>
        <v>8.1611E+16</v>
      </c>
    </row>
    <row r="65" spans="1:7">
      <c r="B65" s="60" t="s">
        <v>120</v>
      </c>
      <c r="C65" s="59">
        <f>1.75/82</f>
        <v>2.1341463414634148E-2</v>
      </c>
    </row>
    <row r="66" spans="1:7">
      <c r="B66" s="13" t="s">
        <v>122</v>
      </c>
      <c r="C66" s="80">
        <f>C64*C65</f>
        <v>1741698170731707.5</v>
      </c>
    </row>
    <row r="67" spans="1:7">
      <c r="B67" s="79" t="s">
        <v>123</v>
      </c>
      <c r="C67" s="82">
        <f>C63/C66/3600*I13</f>
        <v>244971.6453956078</v>
      </c>
      <c r="D67" s="29"/>
    </row>
    <row r="68" spans="1:7">
      <c r="B68" s="2" t="s">
        <v>125</v>
      </c>
      <c r="C68" s="81">
        <f>C67/I19</f>
        <v>0.81657215131869265</v>
      </c>
    </row>
    <row r="69" spans="1:7">
      <c r="C69" s="1"/>
    </row>
    <row r="71" spans="1:7">
      <c r="A71" s="91" t="s">
        <v>134</v>
      </c>
      <c r="B71" s="2" t="s">
        <v>61</v>
      </c>
      <c r="C71" s="3">
        <f>CEILING(CEILING(C13,C19)/C19,IF(O37=1,6,1))</f>
        <v>10002</v>
      </c>
    </row>
    <row r="72" spans="1:7">
      <c r="A72" s="92"/>
      <c r="B72" s="2" t="s">
        <v>131</v>
      </c>
      <c r="C72" s="3">
        <f>IF(AND(O35=0,O37=0),C71,IF(O35=0,CEILING(C71,6),IF(O37=0,CEILING(C71,4),CEILING(C71,24))))</f>
        <v>10008</v>
      </c>
      <c r="E72" s="51"/>
    </row>
    <row r="73" spans="1:7">
      <c r="B73" s="2" t="s">
        <v>62</v>
      </c>
      <c r="C73" s="3">
        <f>CEILING(C14,C20)/C20</f>
        <v>2000</v>
      </c>
    </row>
    <row r="74" spans="1:7">
      <c r="G74" s="52"/>
    </row>
    <row r="75" spans="1:7">
      <c r="B75" s="2" t="s">
        <v>65</v>
      </c>
      <c r="C75" s="3">
        <f>CEILING(C73*O44,O12)/O12</f>
        <v>500</v>
      </c>
    </row>
    <row r="76" spans="1:7">
      <c r="A76" s="10"/>
      <c r="B76" s="2" t="s">
        <v>63</v>
      </c>
      <c r="C76" s="3">
        <f>C75*C71</f>
        <v>5001000</v>
      </c>
      <c r="D76" s="29"/>
    </row>
    <row r="77" spans="1:7">
      <c r="B77" s="2" t="s">
        <v>64</v>
      </c>
      <c r="C77" s="3">
        <f>O46*C71*C71</f>
        <v>1600640064</v>
      </c>
    </row>
    <row r="78" spans="1:7">
      <c r="B78" s="2" t="s">
        <v>107</v>
      </c>
      <c r="C78" s="3">
        <f>CEILING(C71,6*C25)/(6*C25)</f>
        <v>6</v>
      </c>
    </row>
    <row r="79" spans="1:7">
      <c r="B79" s="2" t="s">
        <v>106</v>
      </c>
      <c r="C79" s="3">
        <f>O50*C71*C71*C78</f>
        <v>43217281728</v>
      </c>
    </row>
    <row r="80" spans="1:7">
      <c r="B80" s="2" t="s">
        <v>74</v>
      </c>
      <c r="C80" s="3">
        <f>C71*O16*IF(O36=1,1,(1+O31)*(1+O32))</f>
        <v>80016</v>
      </c>
    </row>
    <row r="81" spans="2:3">
      <c r="B81" s="2" t="s">
        <v>77</v>
      </c>
      <c r="C81" s="3" t="str">
        <f>IF(O36=1,C77*C59,"N/A")</f>
        <v>N/A</v>
      </c>
    </row>
    <row r="82" spans="2:3">
      <c r="B82" s="2" t="s">
        <v>78</v>
      </c>
      <c r="C82" s="3">
        <f>IF(O37=1,C79*C60,"N/A")</f>
        <v>43217281728</v>
      </c>
    </row>
    <row r="83" spans="2:3">
      <c r="B83" s="2" t="s">
        <v>76</v>
      </c>
      <c r="C83" s="3">
        <f>IF(O36=1,C81,C82)</f>
        <v>43217281728</v>
      </c>
    </row>
  </sheetData>
  <mergeCells count="5">
    <mergeCell ref="A3:A6"/>
    <mergeCell ref="F8:H8"/>
    <mergeCell ref="A10:A11"/>
    <mergeCell ref="A16:A17"/>
    <mergeCell ref="A71:A72"/>
  </mergeCells>
  <conditionalFormatting sqref="C39">
    <cfRule type="colorScale" priority="13">
      <colorScale>
        <cfvo type="num" val="0"/>
        <cfvo type="num" val="$I$16 * 0.95"/>
        <cfvo type="num" val="$I$16"/>
        <color rgb="FF00FF01"/>
        <color rgb="FFFFFE00"/>
        <color rgb="FFFF7F82"/>
      </colorScale>
    </cfRule>
  </conditionalFormatting>
  <conditionalFormatting sqref="C50">
    <cfRule type="colorScale" priority="12">
      <colorScale>
        <cfvo type="num" val="0"/>
        <cfvo type="num" val="$I$13 * 0.98"/>
        <cfvo type="num" val="$I$13"/>
        <color rgb="FF00FF01"/>
        <color rgb="FFFFFE00"/>
        <color rgb="FFFF7F82"/>
      </colorScale>
    </cfRule>
  </conditionalFormatting>
  <conditionalFormatting sqref="C45">
    <cfRule type="colorScale" priority="11">
      <colorScale>
        <cfvo type="num" val="0"/>
        <cfvo type="num" val="$I$17 * 0.95"/>
        <cfvo type="num" val="$I$17"/>
        <color rgb="FF00FF01"/>
        <color rgb="FFFFFE00"/>
        <color rgb="FFFF7F82"/>
      </colorScale>
    </cfRule>
  </conditionalFormatting>
  <conditionalFormatting sqref="C40">
    <cfRule type="colorScale" priority="10">
      <colorScale>
        <cfvo type="num" val="0"/>
        <cfvo type="num" val="0.95"/>
        <cfvo type="num" val="1"/>
        <color rgb="FF00FF01"/>
        <color rgb="FFFFFE00"/>
        <color rgb="FFFF7F82"/>
      </colorScale>
    </cfRule>
  </conditionalFormatting>
  <conditionalFormatting sqref="C46">
    <cfRule type="colorScale" priority="9">
      <colorScale>
        <cfvo type="num" val="0"/>
        <cfvo type="num" val="0.95"/>
        <cfvo type="num" val="1"/>
        <color rgb="FF00FF01"/>
        <color rgb="FFFFFE00"/>
        <color rgb="FFFF7F82"/>
      </colorScale>
    </cfRule>
  </conditionalFormatting>
  <conditionalFormatting sqref="C51">
    <cfRule type="colorScale" priority="8">
      <colorScale>
        <cfvo type="num" val="0"/>
        <cfvo type="num" val="0.98"/>
        <cfvo type="num" val="1"/>
        <color rgb="FF00FF01"/>
        <color rgb="FFFFFE00"/>
        <color rgb="FFFF7F82"/>
      </colorScale>
    </cfRule>
  </conditionalFormatting>
  <conditionalFormatting sqref="C41">
    <cfRule type="colorScale" priority="7">
      <colorScale>
        <cfvo type="num" val="0"/>
        <cfvo type="num" val="0.7"/>
        <cfvo type="num" val="1"/>
        <color rgb="FFFF7F82"/>
        <color rgb="FFFFFE00"/>
        <color rgb="FF00FF01"/>
      </colorScale>
    </cfRule>
  </conditionalFormatting>
  <conditionalFormatting sqref="C33">
    <cfRule type="colorScale" priority="6">
      <colorScale>
        <cfvo type="num" val="0"/>
        <cfvo type="num" val="0.2"/>
        <cfvo type="num" val="1"/>
        <color rgb="FF00FF01"/>
        <color rgb="FFFFFE00"/>
        <color rgb="FFFF7F82"/>
      </colorScale>
    </cfRule>
  </conditionalFormatting>
  <conditionalFormatting sqref="C29">
    <cfRule type="colorScale" priority="14">
      <colorScale>
        <cfvo type="num" val="0"/>
        <cfvo type="formula" val="IF($C$29&gt;1,0.1,$O$42)"/>
        <color rgb="FF00FF01"/>
        <color rgb="FFFF7F82"/>
      </colorScale>
    </cfRule>
  </conditionalFormatting>
  <conditionalFormatting sqref="C31">
    <cfRule type="colorScale" priority="15">
      <colorScale>
        <cfvo type="num" val="0"/>
        <cfvo type="formula" val="IF($C$25&gt;$C$30,0.1,$O$42)"/>
        <color rgb="FF00FF01"/>
        <color rgb="FFFF7F82"/>
      </colorScale>
    </cfRule>
  </conditionalFormatting>
  <conditionalFormatting sqref="C27">
    <cfRule type="colorScale" priority="16">
      <colorScale>
        <cfvo type="num" val="-2"/>
        <cfvo type="formula" val="IF($O$39&gt;$C$27,-1,$O$42)"/>
        <color rgb="FF00FF01"/>
        <color rgb="FFFF7F82"/>
      </colorScale>
    </cfRule>
  </conditionalFormatting>
  <conditionalFormatting sqref="C59">
    <cfRule type="colorScale" priority="4">
      <colorScale>
        <cfvo type="num" val="1"/>
        <cfvo type="num" val="5"/>
        <cfvo type="num" val="20"/>
        <color rgb="FFFF7F82"/>
        <color rgb="FFFFFE00"/>
        <color rgb="FF00FF01"/>
      </colorScale>
    </cfRule>
  </conditionalFormatting>
  <conditionalFormatting sqref="C61">
    <cfRule type="colorScale" priority="3">
      <colorScale>
        <cfvo type="num" val="1"/>
        <cfvo type="num" val="5"/>
        <cfvo type="num" val="20"/>
        <color rgb="FFFF7F82"/>
        <color rgb="FFFFFE00"/>
        <color rgb="FF00FF01"/>
      </colorScale>
    </cfRule>
  </conditionalFormatting>
  <conditionalFormatting sqref="C68">
    <cfRule type="colorScale" priority="2">
      <colorScale>
        <cfvo type="num" val="0"/>
        <cfvo type="num" val="2"/>
        <cfvo type="num" val="4"/>
        <color rgb="FF00FF01"/>
        <color rgb="FFFFFE00"/>
        <color rgb="FFFF7F82"/>
      </colorScale>
    </cfRule>
  </conditionalFormatting>
  <conditionalFormatting sqref="C52">
    <cfRule type="colorScale" priority="1">
      <colorScale>
        <cfvo type="num" val="0.95"/>
        <cfvo type="num" val="1"/>
        <color rgb="FFFF7F82"/>
        <color rgb="FF00FF01"/>
      </colorScale>
    </cfRule>
  </conditionalFormatting>
  <dataValidations count="8">
    <dataValidation type="list" showInputMessage="1" showErrorMessage="1" sqref="C10" xr:uid="{5DA3BF6A-F4AE-C741-BD81-2AE26555EC93}">
      <formula1>$L$9:$L$10</formula1>
    </dataValidation>
    <dataValidation type="list" showInputMessage="1" showErrorMessage="1" sqref="C11" xr:uid="{A41A0E69-F7D3-A741-BD9A-54470CF0BDFA}">
      <formula1>$L$11:$L$12</formula1>
    </dataValidation>
    <dataValidation type="list" showInputMessage="1" showErrorMessage="1" sqref="C12" xr:uid="{2B4F3B99-A92F-0243-A82E-385C2FB88239}">
      <formula1>$L$13:$L$14</formula1>
    </dataValidation>
    <dataValidation type="whole" operator="greaterThan" allowBlank="1" showInputMessage="1" showErrorMessage="1" sqref="C13:C14 C19:C21 C23:C25" xr:uid="{30F53BB1-F524-6B4F-A972-7F8FA729E014}">
      <formula1>0</formula1>
    </dataValidation>
    <dataValidation type="list" showInputMessage="1" showErrorMessage="1" sqref="C16" xr:uid="{43A4C1FF-ABA3-5C44-8A75-FC0862D518A3}">
      <formula1>$L$15:$L$17</formula1>
    </dataValidation>
    <dataValidation type="list" showInputMessage="1" showErrorMessage="1" sqref="C18" xr:uid="{80DA8438-8DCA-D24F-A57D-2B18243B5230}">
      <formula1>$L$21</formula1>
    </dataValidation>
    <dataValidation type="list" showInputMessage="1" showErrorMessage="1" sqref="C17" xr:uid="{9E119CFB-DE75-D34D-852D-A0EED83568C6}">
      <formula1>$L$18:$L$19</formula1>
    </dataValidation>
    <dataValidation type="list" showInputMessage="1" showErrorMessage="1" sqref="C22" xr:uid="{BB74DD9C-C427-C847-911F-293B3DDC22E3}">
      <formula1>$L$23:$L$25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CoMet_Settings_Tool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Joubert</dc:creator>
  <cp:lastModifiedBy>Wayne Joubert</cp:lastModifiedBy>
  <dcterms:created xsi:type="dcterms:W3CDTF">2019-01-31T18:17:36Z</dcterms:created>
  <dcterms:modified xsi:type="dcterms:W3CDTF">2019-02-04T16:14:46Z</dcterms:modified>
</cp:coreProperties>
</file>