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codeName="ThisWorkbook" defaultThemeVersion="166925"/>
  <mc:AlternateContent xmlns:mc="http://schemas.openxmlformats.org/markup-compatibility/2006">
    <mc:Choice Requires="x15">
      <x15ac:absPath xmlns:x15ac="http://schemas.microsoft.com/office/spreadsheetml/2010/11/ac" url="/Users/wjd/genomics/genomics_gpu/tools/"/>
    </mc:Choice>
  </mc:AlternateContent>
  <xr:revisionPtr revIDLastSave="0" documentId="13_ncr:1_{BA145AA7-05E3-A14D-B431-5F1DF09FCEF3}" xr6:coauthVersionLast="47" xr6:coauthVersionMax="47" xr10:uidLastSave="{00000000-0000-0000-0000-000000000000}"/>
  <bookViews>
    <workbookView xWindow="5380" yWindow="1200" windowWidth="32620" windowHeight="37060" xr2:uid="{FA80413B-B473-9946-BFAA-BCC79B485766}"/>
  </bookViews>
  <sheets>
    <sheet name="CoMet_Settings_Tool" sheetId="6"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6" l="1"/>
  <c r="B5" i="6"/>
  <c r="Q7" i="6"/>
  <c r="B4" i="6"/>
  <c r="O16" i="6"/>
  <c r="O55" i="6" l="1"/>
  <c r="I14" i="6"/>
  <c r="O46" i="6" s="1"/>
  <c r="C79" i="6"/>
  <c r="Q8" i="6"/>
  <c r="Q9" i="6" s="1"/>
  <c r="Q10" i="6" s="1"/>
  <c r="Q11" i="6" s="1"/>
  <c r="Q12" i="6" s="1"/>
  <c r="Q13" i="6" s="1"/>
  <c r="Q14" i="6" s="1"/>
  <c r="Q15" i="6" s="1"/>
  <c r="Q16" i="6" s="1"/>
  <c r="Q17" i="6" s="1"/>
  <c r="Q18" i="6" s="1"/>
  <c r="Q19" i="6" s="1"/>
  <c r="Q20" i="6" s="1"/>
  <c r="Q21" i="6" s="1"/>
  <c r="Q22" i="6" s="1"/>
  <c r="Q23" i="6" s="1"/>
  <c r="Q24" i="6" s="1"/>
  <c r="Q25" i="6" s="1"/>
  <c r="Q26" i="6" s="1"/>
  <c r="Q27" i="6" s="1"/>
  <c r="Q28" i="6" s="1"/>
  <c r="Q29" i="6" s="1"/>
  <c r="Q30" i="6" s="1"/>
  <c r="Q31" i="6" s="1"/>
  <c r="Q32" i="6" s="1"/>
  <c r="Q33" i="6" s="1"/>
  <c r="Q34" i="6" s="1"/>
  <c r="Q35" i="6" s="1"/>
  <c r="Q36" i="6" s="1"/>
  <c r="Q37" i="6" s="1"/>
  <c r="Q38" i="6" s="1"/>
  <c r="Q39" i="6" s="1"/>
  <c r="Q40" i="6" s="1"/>
  <c r="Q41" i="6" s="1"/>
  <c r="Q42" i="6" s="1"/>
  <c r="Q43" i="6" s="1"/>
  <c r="Q44" i="6" s="1"/>
  <c r="Q45" i="6" s="1"/>
  <c r="Q46" i="6" s="1"/>
  <c r="Q47" i="6" s="1"/>
  <c r="Q48" i="6" s="1"/>
  <c r="Q49" i="6" s="1"/>
  <c r="Q50" i="6" s="1"/>
  <c r="Q51" i="6" s="1"/>
  <c r="Q52" i="6" s="1"/>
  <c r="Q53" i="6" s="1"/>
  <c r="Q54" i="6" s="1"/>
  <c r="Q55" i="6" s="1"/>
  <c r="Q56" i="6" s="1"/>
  <c r="Q57" i="6" s="1"/>
  <c r="Q58" i="6" s="1"/>
  <c r="Q59" i="6" s="1"/>
  <c r="Q60" i="6" s="1"/>
  <c r="Q61" i="6" s="1"/>
  <c r="Q62" i="6" s="1"/>
  <c r="Q63" i="6" s="1"/>
  <c r="Q64" i="6" s="1"/>
  <c r="Q65" i="6" s="1"/>
  <c r="Q66" i="6" s="1"/>
  <c r="Q67" i="6" s="1"/>
  <c r="Q68" i="6" s="1"/>
  <c r="Q69" i="6" s="1"/>
  <c r="Q70" i="6" s="1"/>
  <c r="Q71" i="6" s="1"/>
  <c r="Q72" i="6" s="1"/>
  <c r="Q73" i="6" s="1"/>
  <c r="Q74" i="6" s="1"/>
  <c r="Q75" i="6" s="1"/>
  <c r="Q76" i="6" s="1"/>
  <c r="Q77" i="6" s="1"/>
  <c r="Q78" i="6" s="1"/>
  <c r="Q79" i="6" s="1"/>
  <c r="Q80" i="6" s="1"/>
  <c r="Q81" i="6" s="1"/>
  <c r="Q82" i="6" s="1"/>
  <c r="Q83" i="6" s="1"/>
  <c r="Q84" i="6" s="1"/>
  <c r="Q85" i="6" s="1"/>
  <c r="Q86" i="6" s="1"/>
  <c r="Q87" i="6" s="1"/>
  <c r="Q88" i="6" s="1"/>
  <c r="Q89" i="6" s="1"/>
  <c r="Q90" i="6" s="1"/>
  <c r="G28" i="6"/>
  <c r="G24" i="6"/>
  <c r="F29" i="6"/>
  <c r="I25" i="6"/>
  <c r="I30" i="6" l="1"/>
  <c r="O32" i="6" l="1"/>
  <c r="O23" i="6"/>
  <c r="O22" i="6"/>
  <c r="O34" i="6"/>
  <c r="O37" i="6" s="1"/>
  <c r="O36" i="6"/>
  <c r="O35" i="6"/>
  <c r="H12" i="6"/>
  <c r="I12" i="6" s="1"/>
  <c r="H10" i="6"/>
  <c r="I10" i="6" s="1"/>
  <c r="G10" i="6"/>
  <c r="H16" i="6"/>
  <c r="G16" i="6"/>
  <c r="O63" i="6"/>
  <c r="C29" i="6" s="1"/>
  <c r="C30" i="6" s="1"/>
  <c r="O61" i="6"/>
  <c r="C33" i="6"/>
  <c r="O38" i="6"/>
  <c r="O39" i="6"/>
  <c r="O26" i="6"/>
  <c r="O27" i="6" s="1"/>
  <c r="O56" i="6" s="1"/>
  <c r="O33" i="6"/>
  <c r="O57" i="6" s="1"/>
  <c r="I13" i="6"/>
  <c r="I20" i="6"/>
  <c r="C54" i="6"/>
  <c r="I11" i="6"/>
  <c r="O9" i="6"/>
  <c r="G18" i="6" s="1"/>
  <c r="O41" i="6"/>
  <c r="B6" i="6" s="1"/>
  <c r="I28" i="6"/>
  <c r="F28" i="6"/>
  <c r="O25" i="6"/>
  <c r="F25" i="6"/>
  <c r="I24" i="6"/>
  <c r="F24" i="6"/>
  <c r="F20" i="6"/>
  <c r="F10" i="6"/>
  <c r="I16" i="6"/>
  <c r="F16" i="6"/>
  <c r="O10" i="6"/>
  <c r="L106" i="6" l="1"/>
  <c r="K106" i="6"/>
  <c r="C66" i="6"/>
  <c r="O43" i="6"/>
  <c r="O58" i="6" s="1"/>
  <c r="O47" i="6"/>
  <c r="C43" i="6"/>
  <c r="C49" i="6"/>
  <c r="G17" i="6"/>
  <c r="O54" i="6"/>
  <c r="O51" i="6"/>
  <c r="C81" i="6" s="1"/>
  <c r="H101" i="6" s="1"/>
  <c r="I101" i="6" s="1"/>
  <c r="H17" i="6"/>
  <c r="I17" i="6" s="1"/>
  <c r="G101" i="6"/>
  <c r="G106" i="6"/>
  <c r="H18" i="6"/>
  <c r="I18" i="6" s="1"/>
  <c r="O30" i="6"/>
  <c r="O66" i="6" s="1"/>
  <c r="G26" i="6"/>
  <c r="I26" i="6" s="1"/>
  <c r="G25" i="6"/>
  <c r="G30" i="6"/>
  <c r="G27" i="6" s="1"/>
  <c r="G29" i="6"/>
  <c r="C77" i="6"/>
  <c r="C65" i="6"/>
  <c r="F23" i="6"/>
  <c r="C34" i="6"/>
  <c r="C35" i="6" s="1"/>
  <c r="C36" i="6"/>
  <c r="C37" i="6" s="1"/>
  <c r="C38" i="6"/>
  <c r="C39" i="6" s="1"/>
  <c r="C69" i="6"/>
  <c r="C55" i="6"/>
  <c r="C56" i="6" s="1"/>
  <c r="B3" i="6" s="1"/>
  <c r="H27" i="6"/>
  <c r="H22" i="6" s="1"/>
  <c r="H23" i="6"/>
  <c r="O29" i="6"/>
  <c r="F27" i="6"/>
  <c r="F22" i="6" s="1"/>
  <c r="C60" i="6"/>
  <c r="I29" i="6"/>
  <c r="F17" i="6"/>
  <c r="F18" i="6"/>
  <c r="O40" i="6"/>
  <c r="O52" i="6" s="1"/>
  <c r="C86" i="6" l="1"/>
  <c r="H100" i="6" s="1"/>
  <c r="C84" i="6"/>
  <c r="H106" i="6"/>
  <c r="O65" i="6"/>
  <c r="O67" i="6" s="1"/>
  <c r="O53" i="6"/>
  <c r="G23" i="6"/>
  <c r="C83" i="6"/>
  <c r="C87" i="6" s="1"/>
  <c r="C82" i="6"/>
  <c r="C31" i="6"/>
  <c r="C32" i="6" s="1"/>
  <c r="C42" i="6"/>
  <c r="C57" i="6"/>
  <c r="C58" i="6" s="1"/>
  <c r="G22" i="6"/>
  <c r="I27" i="6"/>
  <c r="I23" i="6"/>
  <c r="C61" i="6"/>
  <c r="C78" i="6"/>
  <c r="C90" i="6" s="1"/>
  <c r="K101" i="6" l="1"/>
  <c r="K100" i="6"/>
  <c r="L101" i="6"/>
  <c r="C67" i="6"/>
  <c r="C91" i="6"/>
  <c r="K103" i="6"/>
  <c r="C85" i="6"/>
  <c r="C88" i="6" s="1"/>
  <c r="C89" i="6" s="1"/>
  <c r="C40" i="6"/>
  <c r="I103" i="6"/>
  <c r="L103" i="6" s="1"/>
  <c r="H102" i="6"/>
  <c r="I102" i="6" s="1"/>
  <c r="L102" i="6" s="1"/>
  <c r="L104" i="6"/>
  <c r="L105" i="6"/>
  <c r="K104" i="6"/>
  <c r="I100" i="6"/>
  <c r="L100" i="6" s="1"/>
  <c r="L108" i="6" s="1"/>
  <c r="I106" i="6"/>
  <c r="I22" i="6"/>
  <c r="C70" i="6" s="1"/>
  <c r="C62" i="6"/>
  <c r="C63" i="6"/>
  <c r="C92" i="6" l="1"/>
  <c r="C44" i="6"/>
  <c r="K102" i="6"/>
  <c r="C93" i="6" l="1"/>
  <c r="C94" i="6" s="1"/>
  <c r="H105" i="6" s="1"/>
  <c r="K105" i="6" s="1"/>
  <c r="K108" i="6" s="1"/>
  <c r="C95" i="6"/>
  <c r="C45" i="6"/>
  <c r="C46" i="6" s="1"/>
  <c r="C50" i="6" l="1"/>
  <c r="C51" i="6" s="1"/>
  <c r="C52" i="6" s="1"/>
  <c r="C47" i="6"/>
  <c r="C71" i="6" s="1"/>
  <c r="C72" i="6" s="1"/>
  <c r="C73" i="6" s="1"/>
  <c r="C74"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Wayne Joubert</author>
    <author>Microsoft Office User</author>
  </authors>
  <commentList>
    <comment ref="C13" authorId="0" shapeId="0" xr:uid="{7355445C-FEEA-3148-95F3-AF9E88314C96}">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C14" authorId="0" shapeId="0" xr:uid="{AEA9B9D2-716A-B140-BAD6-F8E266872AC2}">
      <text>
        <r>
          <rPr>
            <sz val="10"/>
            <color rgb="FF000000"/>
            <rFont val="Tahoma"/>
            <family val="2"/>
          </rPr>
          <t xml:space="preserve">increasing this (by itself) increaes CPU/GPU memory usage </t>
        </r>
        <r>
          <rPr>
            <u/>
            <sz val="10"/>
            <color rgb="FF000000"/>
            <rFont val="Tahoma"/>
            <family val="2"/>
          </rPr>
          <t>linearly</t>
        </r>
      </text>
    </comment>
    <comment ref="C17" authorId="1" shapeId="0" xr:uid="{DCD6514A-4BA7-CD43-9900-53C54C58711B}">
      <text>
        <r>
          <rPr>
            <sz val="10"/>
            <color rgb="FF000000"/>
            <rFont val="Tahoma"/>
            <family val="2"/>
          </rPr>
          <t>certain features like "shrink" require single</t>
        </r>
      </text>
    </comment>
    <comment ref="C18" authorId="0" shapeId="0" xr:uid="{80EC322D-9191-2A4E-B0CF-1F359AE6A4D8}">
      <text>
        <r>
          <rPr>
            <sz val="10"/>
            <color rgb="FF000000"/>
            <rFont val="Tahoma"/>
            <family val="2"/>
          </rPr>
          <t>this spreadsheet is only designed to work for GPU case</t>
        </r>
      </text>
    </comment>
    <comment ref="C19" authorId="0" shapeId="0" xr:uid="{8147077C-A49F-B946-ABB8-B21A17D072A6}">
      <text>
        <r>
          <rPr>
            <sz val="10"/>
            <color rgb="FF000000"/>
            <rFont val="Tahoma"/>
            <family val="2"/>
          </rPr>
          <t>decomposition of vetors across ranks, the most commonly used axis of parallel decomposition.</t>
        </r>
      </text>
    </comment>
    <comment ref="C20" authorId="0" shapeId="0" xr:uid="{32EA98C6-5967-174B-9C55-1D739CF956C3}">
      <text>
        <r>
          <rPr>
            <sz val="10"/>
            <color rgb="FF000000"/>
            <rFont val="Tahoma"/>
            <family val="2"/>
          </rPr>
          <t>not a commonly used setting because increases memory use and allreduce cost. suggest on Summit setting to 1 (preferred), 2, 3 or 6 to keep allreduces on-node</t>
        </r>
      </text>
    </comment>
    <comment ref="C21" authorId="0" shapeId="0" xr:uid="{C04F47A9-0341-3345-941F-874460EC5352}">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C22" authorId="0" shapeId="0" xr:uid="{F58EC965-6212-1A46-A074-1074B51A3897}">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C23" authorId="0" shapeId="0" xr:uid="{E4980399-8144-AF40-AF75-45440C1B1C40}">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C24" authorId="0" shapeId="0" xr:uid="{01EA7FAC-C166-944D-B8A6-FC736C60F89A}">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C25" authorId="0" shapeId="0" xr:uid="{83E71B04-4D5B-0F48-8BFB-3D4547D6D3B9}">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C28" authorId="0" shapeId="0" xr:uid="{65BAFC92-672F-6E45-82C0-2EBEB14BC698}">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C31" authorId="0" shapeId="0" xr:uid="{6D6FC77A-85D2-6547-AD55-B344261C062E}">
      <text>
        <r>
          <rPr>
            <sz val="10"/>
            <color rgb="FF000000"/>
            <rFont val="Tahoma"/>
            <family val="2"/>
          </rPr>
          <t>Current code limitation, may be improvable</t>
        </r>
      </text>
    </comment>
    <comment ref="C33" authorId="0" shapeId="0" xr:uid="{ED506729-3795-C745-95AB-0AEAC70FE358}">
      <text>
        <r>
          <rPr>
            <sz val="10"/>
            <color rgb="FF000000"/>
            <rFont val="Tahoma"/>
            <family val="2"/>
          </rPr>
          <t>tensor cores only available on some systems</t>
        </r>
      </text>
    </comment>
    <comment ref="C34" authorId="0" shapeId="0" xr:uid="{56367034-E0EA-7C42-B15B-785625633B1D}">
      <text>
        <r>
          <rPr>
            <sz val="10"/>
            <color rgb="FF000000"/>
            <rFont val="Tahoma"/>
            <family val="2"/>
          </rPr>
          <t>limited by number of blocks in block row or slab</t>
        </r>
      </text>
    </comment>
    <comment ref="C36" authorId="0" shapeId="0" xr:uid="{89A09225-5646-6F4C-B5A8-57724FF1992C}">
      <text>
        <r>
          <rPr>
            <sz val="10"/>
            <color rgb="FF000000"/>
            <rFont val="Tahoma"/>
            <family val="2"/>
          </rPr>
          <t>can be &gt; 1 only if 3-way</t>
        </r>
      </text>
    </comment>
    <comment ref="C38" authorId="0" shapeId="0" xr:uid="{A43A2A89-B6CA-B341-97F3-A65248710DFD}">
      <text>
        <r>
          <rPr>
            <sz val="10"/>
            <color rgb="FF000000"/>
            <rFont val="Tahoma"/>
            <family val="2"/>
          </rPr>
          <t>this should be only slightly less than a whole number, for good load balance - see next cell</t>
        </r>
      </text>
    </comment>
    <comment ref="C40" authorId="0" shapeId="0" xr:uid="{F54BBA61-C6E4-B947-8FC4-DEAA11666DA4}">
      <text>
        <r>
          <rPr>
            <sz val="10"/>
            <color rgb="FF000000"/>
            <rFont val="Tahoma"/>
            <family val="2"/>
          </rPr>
          <t>similar to gpu pipeline len 3-way below</t>
        </r>
      </text>
    </comment>
    <comment ref="C45" authorId="0" shapeId="0" xr:uid="{A7C87AB7-9A8A-C847-B94A-628E7D078BA2}">
      <text>
        <r>
          <rPr>
            <sz val="10"/>
            <color rgb="FF000000"/>
            <rFont val="Tahoma"/>
            <family val="2"/>
          </rPr>
          <t>available memory limit on GPU may be ragged, may need to leave headroom</t>
        </r>
      </text>
    </comment>
    <comment ref="C46" authorId="0" shapeId="0" xr:uid="{ED64E219-E63C-D942-B4BB-BB76CB8D08C0}">
      <text>
        <r>
          <rPr>
            <sz val="10"/>
            <color rgb="FF000000"/>
            <rFont val="Tahoma"/>
            <family val="2"/>
          </rPr>
          <t>percent used of available</t>
        </r>
      </text>
    </comment>
    <comment ref="C47" authorId="0" shapeId="0" xr:uid="{5EE7F4FA-CEB5-EC4B-98C6-CB339FD6A81D}">
      <text>
        <r>
          <rPr>
            <sz val="10"/>
            <color rgb="FF000000"/>
            <rFont val="Tahoma"/>
            <family val="2"/>
          </rPr>
          <t xml:space="preserve">(crude) estimate of percent of max achievable peak perfomance for given method/system. this should be made AS LARGE AS POSSIBLE to maximize performance
</t>
        </r>
      </text>
    </comment>
    <comment ref="C51" authorId="0" shapeId="0" xr:uid="{3F0B7F9F-DFE6-114E-BF98-67DAAAC276D7}">
      <text>
        <r>
          <rPr>
            <sz val="10"/>
            <color rgb="FF000000"/>
            <rFont val="Tahoma"/>
            <family val="2"/>
          </rPr>
          <t>available memory limit on node may be ragged, may need to leave headroom</t>
        </r>
      </text>
    </comment>
    <comment ref="C52" authorId="0" shapeId="0" xr:uid="{0E6E5FB0-AA0A-2640-9C05-2B98230D3DA5}">
      <text>
        <r>
          <rPr>
            <sz val="10"/>
            <color rgb="FF000000"/>
            <rFont val="Tahoma"/>
            <family val="2"/>
          </rPr>
          <t>percent used of available</t>
        </r>
      </text>
    </comment>
    <comment ref="C55" authorId="0" shapeId="0" xr:uid="{9D68014A-D00F-394E-9808-8B8C39D5F02B}">
      <text>
        <r>
          <rPr>
            <sz val="10"/>
            <color rgb="FF000000"/>
            <rFont val="Tahoma"/>
            <family val="2"/>
          </rPr>
          <t>rounded up for divisibility</t>
        </r>
      </text>
    </comment>
    <comment ref="C62" authorId="0" shapeId="0" xr:uid="{2C1B4B88-7981-A74A-89A9-A7037DBB6656}">
      <text>
        <r>
          <rPr>
            <sz val="10"/>
            <color rgb="FF000000"/>
            <rFont val="Tahoma"/>
            <family val="2"/>
          </rPr>
          <t>a number much greater than 1 MAY be an indicator of low gemm performance</t>
        </r>
      </text>
    </comment>
    <comment ref="C63" authorId="0" shapeId="0" xr:uid="{44BC358F-FDD0-B942-85F1-218E53C613B3}">
      <text>
        <r>
          <rPr>
            <sz val="10"/>
            <color rgb="FF000000"/>
            <rFont val="Tahoma"/>
            <family val="2"/>
          </rPr>
          <t>roughly speaking, this should be a large fraction of GPU memory to maximize performance</t>
        </r>
      </text>
    </comment>
    <comment ref="C65" authorId="0" shapeId="0" xr:uid="{D3AB9A34-C0D1-C746-8520-94CAB011A1F0}">
      <text>
        <r>
          <rPr>
            <sz val="10"/>
            <color rgb="FF000000"/>
            <rFont val="Tahoma"/>
            <family val="2"/>
          </rPr>
          <t xml:space="preserve">higher values amortize pipeline fill/drain overhead </t>
        </r>
        <r>
          <rPr>
            <u/>
            <sz val="10"/>
            <color rgb="FF000000"/>
            <rFont val="Tahoma"/>
            <family val="2"/>
          </rPr>
          <t>linearly</t>
        </r>
        <r>
          <rPr>
            <sz val="10"/>
            <color rgb="FF000000"/>
            <rFont val="Tahoma"/>
            <family val="2"/>
          </rPr>
          <t>, thus improving performance</t>
        </r>
      </text>
    </comment>
    <comment ref="C66" authorId="0" shapeId="0" xr:uid="{61D26C27-6EDA-FD48-A1F5-BCF57F6CFCE9}">
      <text>
        <r>
          <rPr>
            <sz val="10"/>
            <color rgb="FF000000"/>
            <rFont val="Tahoma"/>
            <family val="2"/>
          </rPr>
          <t xml:space="preserve">higher values amortize pipeline fill/drain overheads </t>
        </r>
        <r>
          <rPr>
            <u/>
            <sz val="10"/>
            <color rgb="FF000000"/>
            <rFont val="Tahoma"/>
            <family val="2"/>
          </rPr>
          <t>linearly</t>
        </r>
        <r>
          <rPr>
            <sz val="10"/>
            <color rgb="FF000000"/>
            <rFont val="Tahoma"/>
            <family val="2"/>
          </rPr>
          <t>, improving performance. suggest setting &gt; 1 if possible</t>
        </r>
      </text>
    </comment>
    <comment ref="C67" authorId="0" shapeId="0" xr:uid="{C19F36C0-780B-D34F-AFC0-17B17002334F}">
      <text>
        <r>
          <rPr>
            <sz val="10"/>
            <color rgb="FF000000"/>
            <rFont val="Tahoma"/>
            <family val="2"/>
          </rPr>
          <t xml:space="preserve">higher values amortize pipeline fill/drain overhead </t>
        </r>
        <r>
          <rPr>
            <u/>
            <sz val="10"/>
            <color rgb="FF000000"/>
            <rFont val="Tahoma"/>
            <family val="2"/>
          </rPr>
          <t>linearly</t>
        </r>
        <r>
          <rPr>
            <sz val="10"/>
            <color rgb="FF000000"/>
            <rFont val="Tahoma"/>
            <family val="2"/>
          </rPr>
          <t>, thus imprving performance</t>
        </r>
      </text>
    </comment>
    <comment ref="C69" authorId="0" shapeId="0" xr:uid="{2487F8E9-BE74-134D-92A4-3FC5FC35E35B}">
      <text>
        <r>
          <rPr>
            <sz val="10"/>
            <color rgb="FF000000"/>
            <rFont val="Tahoma"/>
            <family val="2"/>
          </rPr>
          <t>total vector element comparisons for all phases, stages</t>
        </r>
      </text>
    </comment>
    <comment ref="C70" authorId="0" shapeId="0" xr:uid="{10F1ADAC-D64A-CE40-A638-5C30C7DEBDD4}">
      <text>
        <r>
          <rPr>
            <sz val="10"/>
            <color rgb="FF000000"/>
            <rFont val="Tahoma"/>
            <family val="2"/>
          </rPr>
          <t>limit, based on previous runs for extremely large problems</t>
        </r>
      </text>
    </comment>
    <comment ref="C71" authorId="0" shapeId="0" xr:uid="{76F522D1-1B6E-3A4B-BD9E-61519BE2A480}">
      <text>
        <r>
          <rPr>
            <sz val="10"/>
            <color rgb="FF000000"/>
            <rFont val="Tahoma"/>
            <family val="2"/>
          </rPr>
          <t>NOTE: this entry should be set manually based on empirical timing data</t>
        </r>
      </text>
    </comment>
    <comment ref="C74" authorId="0" shapeId="0" xr:uid="{D7956CF0-C904-DD44-8481-38B4D6DE3083}">
      <text>
        <r>
          <rPr>
            <sz val="10"/>
            <color rgb="FF000000"/>
            <rFont val="Tahoma"/>
            <family val="2"/>
          </rPr>
          <t>fraction based on extremely rough ballpark figure of typical INCITE project allocations</t>
        </r>
      </text>
    </comment>
  </commentList>
</comments>
</file>

<file path=xl/sharedStrings.xml><?xml version="1.0" encoding="utf-8"?>
<sst xmlns="http://schemas.openxmlformats.org/spreadsheetml/2006/main" count="207" uniqueCount="182">
  <si>
    <t>QUANTITY</t>
  </si>
  <si>
    <t>VALUE</t>
  </si>
  <si>
    <t>metric_type</t>
  </si>
  <si>
    <t>sparse</t>
  </si>
  <si>
    <t>num_vector</t>
  </si>
  <si>
    <t>num_field</t>
  </si>
  <si>
    <t>num_way</t>
  </si>
  <si>
    <t>compute_method</t>
  </si>
  <si>
    <t>GPU</t>
  </si>
  <si>
    <t>num_proc_field</t>
  </si>
  <si>
    <t>num_proc_repl</t>
  </si>
  <si>
    <t>tc</t>
  </si>
  <si>
    <t>num_tc_steps</t>
  </si>
  <si>
    <t>num_phase</t>
  </si>
  <si>
    <t>num_stage</t>
  </si>
  <si>
    <t>single/double</t>
  </si>
  <si>
    <t>Titan</t>
  </si>
  <si>
    <t>Summit</t>
  </si>
  <si>
    <t>system</t>
  </si>
  <si>
    <t>SYSTEM</t>
  </si>
  <si>
    <t>dropdown options</t>
  </si>
  <si>
    <t>czek</t>
  </si>
  <si>
    <t>ccc</t>
  </si>
  <si>
    <t>no</t>
  </si>
  <si>
    <t>yes</t>
  </si>
  <si>
    <t>CPU</t>
  </si>
  <si>
    <t>REF</t>
  </si>
  <si>
    <t>single</t>
  </si>
  <si>
    <t>double</t>
  </si>
  <si>
    <t>GPUs per node</t>
  </si>
  <si>
    <t>mem per GPU (GB)</t>
  </si>
  <si>
    <t>CPU mem per node (GB)</t>
  </si>
  <si>
    <t>0 (none)</t>
  </si>
  <si>
    <t>1 (FP16)</t>
  </si>
  <si>
    <t>2 (INT8)</t>
  </si>
  <si>
    <t>num nodes</t>
  </si>
  <si>
    <t>num GPUs</t>
  </si>
  <si>
    <t>mem per GPU (bytes)</t>
  </si>
  <si>
    <t>GB</t>
  </si>
  <si>
    <t>GiB</t>
  </si>
  <si>
    <t>CPU mem per rank (bytes)</t>
  </si>
  <si>
    <t>num_proc_vector</t>
  </si>
  <si>
    <t>bits per byte</t>
  </si>
  <si>
    <t>sizeof float</t>
  </si>
  <si>
    <t>sizeof double</t>
  </si>
  <si>
    <t>sizeof FP16</t>
  </si>
  <si>
    <t>sizeof INT8</t>
  </si>
  <si>
    <t>sizeof tc_t (value)</t>
  </si>
  <si>
    <t>bits per vector elt</t>
  </si>
  <si>
    <t>sizeof uint64</t>
  </si>
  <si>
    <t>sizeof float2</t>
  </si>
  <si>
    <t>sizeof float3</t>
  </si>
  <si>
    <t>num vector local</t>
  </si>
  <si>
    <t>num field local</t>
  </si>
  <si>
    <t>bytes per vector 2dblock</t>
  </si>
  <si>
    <t>bytes per metrics 2dblock</t>
  </si>
  <si>
    <t>bytes per vector local</t>
  </si>
  <si>
    <t>bytes GPU 2-way</t>
  </si>
  <si>
    <t>bytes GPU</t>
  </si>
  <si>
    <t>bytes GPU 3-way</t>
  </si>
  <si>
    <t>bytes GPU tc bufs</t>
  </si>
  <si>
    <t>do reduce</t>
  </si>
  <si>
    <t>bytes CPU 2-way</t>
  </si>
  <si>
    <t>bytes CPU 3-way</t>
  </si>
  <si>
    <t>bytes CPU</t>
  </si>
  <si>
    <t>bytes per VectorSums</t>
  </si>
  <si>
    <t>is sparse</t>
  </si>
  <si>
    <t>bytes for metrics</t>
  </si>
  <si>
    <t>bytes for metrics 2-way</t>
  </si>
  <si>
    <t>bytes for metrics 3-way</t>
  </si>
  <si>
    <t>GPU mem percent</t>
  </si>
  <si>
    <t>CPU mem percent</t>
  </si>
  <si>
    <t>is ccc</t>
  </si>
  <si>
    <t>gemm rows</t>
  </si>
  <si>
    <t>gemm cols</t>
  </si>
  <si>
    <t>is tc</t>
  </si>
  <si>
    <t>aspect ratio</t>
  </si>
  <si>
    <t>is czek</t>
  </si>
  <si>
    <t>pipeline len 2-way</t>
  </si>
  <si>
    <t>comm pipeline len 3-way</t>
  </si>
  <si>
    <t>gpu pipeline len 3-way</t>
  </si>
  <si>
    <t>is 2-way</t>
  </si>
  <si>
    <t>is 3-way</t>
  </si>
  <si>
    <t>sizeof float2/3_t (value)</t>
  </si>
  <si>
    <t>num_stage limit</t>
  </si>
  <si>
    <t>bignum</t>
  </si>
  <si>
    <t>num_phase limit</t>
  </si>
  <si>
    <t>comparisons</t>
  </si>
  <si>
    <t xml:space="preserve">        2-way czek</t>
  </si>
  <si>
    <t xml:space="preserve">        2-way ccc</t>
  </si>
  <si>
    <t xml:space="preserve">        3-way czek</t>
  </si>
  <si>
    <t xml:space="preserve">        3-way ccc</t>
  </si>
  <si>
    <t xml:space="preserve">    2-way</t>
  </si>
  <si>
    <t xml:space="preserve">    3-way</t>
  </si>
  <si>
    <t>comparisons/sec limit X 1e15</t>
  </si>
  <si>
    <t>solver
settings</t>
  </si>
  <si>
    <t>tc limit</t>
  </si>
  <si>
    <t>tc max</t>
  </si>
  <si>
    <t>avg blocks/phase/proc</t>
  </si>
  <si>
    <t xml:space="preserve">   . . . performance penalty</t>
  </si>
  <si>
    <t>gemm input elt size</t>
  </si>
  <si>
    <t>gemm output elt size</t>
  </si>
  <si>
    <t>num ranks</t>
  </si>
  <si>
    <t>num ranks to request</t>
  </si>
  <si>
    <t>num nodes to request</t>
  </si>
  <si>
    <t>gemm matrices bytes</t>
  </si>
  <si>
    <t>performance fraction estimate</t>
  </si>
  <si>
    <t>full sys comparisons/sec limit</t>
  </si>
  <si>
    <t>full sys comparisons/sec est.</t>
  </si>
  <si>
    <t>node hours est.</t>
  </si>
  <si>
    <t>avg node hour allocation size</t>
  </si>
  <si>
    <t>fraction of avg allocation</t>
  </si>
  <si>
    <t>exec cmds</t>
  </si>
  <si>
    <t>project</t>
  </si>
  <si>
    <t>3-way avg planes/stage/proc</t>
  </si>
  <si>
    <t>num vector local round up</t>
  </si>
  <si>
    <t xml:space="preserve">   . . . fraction of INCITE metric</t>
  </si>
  <si>
    <t xml:space="preserve">   . . . percent of ful system</t>
  </si>
  <si>
    <t>aux
values</t>
  </si>
  <si>
    <t>rough perf fraction estimate</t>
  </si>
  <si>
    <t>problem
definition</t>
  </si>
  <si>
    <t>num_field limit</t>
  </si>
  <si>
    <t>GM_TALLY1_MAX_VALUE_BITS</t>
  </si>
  <si>
    <t>machine epsilon</t>
  </si>
  <si>
    <t>required relative error</t>
  </si>
  <si>
    <t xml:space="preserve">   . . . ratio (percent)</t>
  </si>
  <si>
    <t>estimated relative error</t>
  </si>
  <si>
    <t>Perlmutter</t>
  </si>
  <si>
    <t>duo</t>
  </si>
  <si>
    <t>5 (B1)</t>
  </si>
  <si>
    <t>6 (INT4)</t>
  </si>
  <si>
    <t>metrics_shrink</t>
  </si>
  <si>
    <t>sizeof B1</t>
  </si>
  <si>
    <t xml:space="preserve">        2-way duo</t>
  </si>
  <si>
    <t xml:space="preserve">        3-way duo</t>
  </si>
  <si>
    <t>is_duo</t>
  </si>
  <si>
    <t>is_shrink -- FIX</t>
  </si>
  <si>
    <t>ComputeMetrics3Way::compute_all2all_</t>
  </si>
  <si>
    <t>Vectors</t>
  </si>
  <si>
    <t>mirrored_buf vectors</t>
  </si>
  <si>
    <t>mirrored_buf metrics</t>
  </si>
  <si>
    <t>TOTAL CPU</t>
  </si>
  <si>
    <t>TOTAL GPU</t>
  </si>
  <si>
    <t>ComputeMetrics3WayBlock::ComputeMetrics3WayBlock</t>
  </si>
  <si>
    <t>CompressedBuf</t>
  </si>
  <si>
    <t>form_matX_tc -- FIX</t>
  </si>
  <si>
    <t>is_compress_enabled -- FIX</t>
  </si>
  <si>
    <t>TCBufs::malloc</t>
  </si>
  <si>
    <t>other CPU</t>
  </si>
  <si>
    <t>other GPU</t>
  </si>
  <si>
    <t>driver</t>
  </si>
  <si>
    <t>GMMetrics_create</t>
  </si>
  <si>
    <t>is_using_xor -- FIX</t>
  </si>
  <si>
    <t>is_threshold_tc -- FIX</t>
  </si>
  <si>
    <t>bytes per metric index</t>
  </si>
  <si>
    <t>num_metrics_local 2-way</t>
  </si>
  <si>
    <t>num_metrics_local 3-way</t>
  </si>
  <si>
    <t>planes / 3d slice / stage / phase</t>
  </si>
  <si>
    <t>bytes / metrics 3d slice / stage / phase</t>
  </si>
  <si>
    <t>bytes for metrics + indexing</t>
  </si>
  <si>
    <t>ComputeMetrics2Way::ComputeMetrics2Way</t>
  </si>
  <si>
    <t>constants etc.</t>
  </si>
  <si>
    <t>bytes per metric</t>
  </si>
  <si>
    <t>bytes per S (for denom)</t>
  </si>
  <si>
    <t>bytes per C (for denom)</t>
  </si>
  <si>
    <t>. . . power 2 (metric size limit)</t>
  </si>
  <si>
    <t>(table) entries per metric</t>
  </si>
  <si>
    <t>(metric)  items per metric</t>
  </si>
  <si>
    <t>bytes per metric, 2-way case</t>
  </si>
  <si>
    <t>bytes per metric+index+S+C</t>
  </si>
  <si>
    <t>num_metrics_local (unshrunk)</t>
  </si>
  <si>
    <t>TOTAL</t>
  </si>
  <si>
    <t>MEMORY USAGE CALCULATIONS:</t>
  </si>
  <si>
    <t>GPU compute capability</t>
  </si>
  <si>
    <t>ACTUAL</t>
  </si>
  <si>
    <t>(table) entries per (metric) item</t>
  </si>
  <si>
    <t>num_metric_items_local (unshrunk)</t>
  </si>
  <si>
    <t>bytes needed per (metric) item</t>
  </si>
  <si>
    <t>SUPPORTING CALCULATIONS:</t>
  </si>
  <si>
    <t>num_metric_items_local_allocated</t>
  </si>
  <si>
    <t>sizeof float_t (value) (GMFloat)</t>
  </si>
  <si>
    <t>DEFUNCT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</si>
</sst>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E+00"/>
    <numFmt numFmtId="165" formatCode="0.000"/>
    <numFmt numFmtId="166" formatCode="#,##0.000"/>
    <numFmt numFmtId="167" formatCode="0.000%"/>
  </numFmts>
  <fonts count="12">
    <font>
      <sz val="12"/>
      <color theme="1"/>
      <name val="Calibri"/>
      <family val="2"/>
      <scheme val="minor"/>
    </font>
    <font>
      <b/>
      <sz val="12"/>
      <color theme="1"/>
      <name val="Calibri"/>
      <family val="2"/>
      <scheme val="minor"/>
    </font>
    <font>
      <sz val="12"/>
      <color theme="0" tint="-0.34998626667073579"/>
      <name val="Calibri"/>
      <family val="2"/>
      <scheme val="minor"/>
    </font>
    <font>
      <sz val="12"/>
      <color theme="0" tint="-0.34998626667073579"/>
      <name val="Calibri"/>
      <family val="2"/>
    </font>
    <font>
      <sz val="10"/>
      <color rgb="FF000000"/>
      <name val="Tahoma"/>
      <family val="2"/>
    </font>
    <font>
      <sz val="12"/>
      <color theme="1"/>
      <name val="Calibri"/>
      <family val="2"/>
    </font>
    <font>
      <u/>
      <sz val="10"/>
      <color rgb="FF000000"/>
      <name val="Tahoma"/>
      <family val="2"/>
    </font>
    <font>
      <sz val="12"/>
      <color theme="0" tint="-0.34998626667073579"/>
      <name val="Calibri (Body)_x0000_"/>
    </font>
    <font>
      <sz val="10"/>
      <color rgb="FF000000"/>
      <name val="Menlo"/>
      <family val="2"/>
    </font>
    <font>
      <b/>
      <sz val="12"/>
      <color theme="0" tint="-0.34998626667073579"/>
      <name val="Calibri (Body)_x0000_"/>
    </font>
    <font>
      <sz val="12"/>
      <color theme="0" tint="-0.249977111117893"/>
      <name val="Calibri"/>
      <family val="2"/>
      <scheme val="minor"/>
    </font>
    <font>
      <i/>
      <sz val="12"/>
      <color theme="0" tint="-0.249977111117893"/>
      <name val="Calibri (Body)"/>
    </font>
  </fonts>
  <fills count="5">
    <fill>
      <patternFill patternType="none"/>
    </fill>
    <fill>
      <patternFill patternType="gray125"/>
    </fill>
    <fill>
      <patternFill patternType="solid">
        <fgColor rgb="FFFFFF00"/>
        <bgColor indexed="64"/>
      </patternFill>
    </fill>
    <fill>
      <patternFill patternType="solid">
        <fgColor rgb="FF00F5FF"/>
        <bgColor indexed="64"/>
      </patternFill>
    </fill>
    <fill>
      <patternFill patternType="solid">
        <fgColor rgb="FFFFFE00"/>
        <bgColor indexed="64"/>
      </patternFill>
    </fill>
  </fills>
  <borders count="40">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thin">
        <color rgb="FFFF0000"/>
      </left>
      <right style="thin">
        <color theme="0" tint="-0.14996795556505021"/>
      </right>
      <top style="thin">
        <color theme="0" tint="-0.14996795556505021"/>
      </top>
      <bottom style="thin">
        <color theme="0" tint="-0.14996795556505021"/>
      </bottom>
      <diagonal/>
    </border>
    <border>
      <left style="thin">
        <color theme="0" tint="-0.14996795556505021"/>
      </left>
      <right style="thin">
        <color rgb="FFFF0000"/>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style="thin">
        <color rgb="FFFF0000"/>
      </left>
      <right/>
      <top style="thin">
        <color rgb="FFFF0000"/>
      </top>
      <bottom style="thin">
        <color theme="0" tint="-0.14996795556505021"/>
      </bottom>
      <diagonal/>
    </border>
    <border>
      <left style="thin">
        <color rgb="FFFF0000"/>
      </left>
      <right/>
      <top style="thin">
        <color theme="0" tint="-0.14996795556505021"/>
      </top>
      <bottom style="thin">
        <color theme="0" tint="-0.14996795556505021"/>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rgb="FFFF0000"/>
      </left>
      <right style="thin">
        <color theme="0" tint="-0.14996795556505021"/>
      </right>
      <top/>
      <bottom style="thin">
        <color theme="0" tint="-0.14996795556505021"/>
      </bottom>
      <diagonal/>
    </border>
    <border>
      <left style="thin">
        <color theme="0" tint="-0.14996795556505021"/>
      </left>
      <right style="thin">
        <color rgb="FFFF0000"/>
      </right>
      <top/>
      <bottom style="thin">
        <color theme="0" tint="-0.14996795556505021"/>
      </bottom>
      <diagonal/>
    </border>
    <border>
      <left style="thin">
        <color rgb="FFFF0000"/>
      </left>
      <right style="thin">
        <color theme="0" tint="-0.14996795556505021"/>
      </right>
      <top style="thin">
        <color rgb="FFFF0000"/>
      </top>
      <bottom style="thin">
        <color rgb="FFFF0000"/>
      </bottom>
      <diagonal/>
    </border>
    <border>
      <left style="thin">
        <color theme="0" tint="-0.14996795556505021"/>
      </left>
      <right style="thin">
        <color theme="0" tint="-0.14996795556505021"/>
      </right>
      <top style="thin">
        <color rgb="FFFF0000"/>
      </top>
      <bottom style="thin">
        <color rgb="FFFF0000"/>
      </bottom>
      <diagonal/>
    </border>
    <border>
      <left style="thin">
        <color theme="0" tint="-0.14996795556505021"/>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theme="0" tint="-0.14996795556505021"/>
      </bottom>
      <diagonal/>
    </border>
    <border>
      <left style="thin">
        <color rgb="FFFF0000"/>
      </left>
      <right style="thin">
        <color rgb="FFFF0000"/>
      </right>
      <top style="thin">
        <color theme="0" tint="-0.14996795556505021"/>
      </top>
      <bottom style="thin">
        <color theme="0" tint="-0.14996795556505021"/>
      </bottom>
      <diagonal/>
    </border>
    <border>
      <left style="thin">
        <color rgb="FFFF0000"/>
      </left>
      <right style="thin">
        <color rgb="FFFF0000"/>
      </right>
      <top style="thin">
        <color theme="0" tint="-0.14996795556505021"/>
      </top>
      <bottom style="thin">
        <color rgb="FFFF0000"/>
      </bottom>
      <diagonal/>
    </border>
    <border>
      <left style="thin">
        <color theme="0" tint="-0.14996795556505021"/>
      </left>
      <right style="thin">
        <color theme="0" tint="-0.14996795556505021"/>
      </right>
      <top/>
      <bottom/>
      <diagonal/>
    </border>
    <border>
      <left style="thin">
        <color theme="0" tint="-0.14996795556505021"/>
      </left>
      <right style="thin">
        <color rgb="FFFF0000"/>
      </right>
      <top style="thin">
        <color theme="0" tint="-0.14996795556505021"/>
      </top>
      <bottom/>
      <diagonal/>
    </border>
    <border>
      <left style="thin">
        <color rgb="FFFF0000"/>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thin">
        <color theme="0" tint="-0.14996795556505021"/>
      </left>
      <right/>
      <top/>
      <bottom/>
      <diagonal/>
    </border>
    <border>
      <left style="thin">
        <color theme="0" tint="-0.14996795556505021"/>
      </left>
      <right/>
      <top/>
      <bottom style="thin">
        <color theme="0" tint="-0.14996795556505021"/>
      </bottom>
      <diagonal/>
    </border>
    <border>
      <left style="thin">
        <color rgb="FFFF0000"/>
      </left>
      <right style="thin">
        <color rgb="FFFF0000"/>
      </right>
      <top style="thin">
        <color rgb="FFFF0000"/>
      </top>
      <bottom/>
      <diagonal/>
    </border>
    <border>
      <left style="thin">
        <color theme="1"/>
      </left>
      <right style="thin">
        <color theme="0" tint="-0.14996795556505021"/>
      </right>
      <top style="thin">
        <color theme="1"/>
      </top>
      <bottom style="thin">
        <color theme="0" tint="-0.14996795556505021"/>
      </bottom>
      <diagonal/>
    </border>
    <border>
      <left style="thin">
        <color theme="0" tint="-0.14996795556505021"/>
      </left>
      <right style="thin">
        <color theme="0" tint="-0.14996795556505021"/>
      </right>
      <top style="thin">
        <color theme="1"/>
      </top>
      <bottom style="thin">
        <color theme="0" tint="-0.14996795556505021"/>
      </bottom>
      <diagonal/>
    </border>
    <border>
      <left style="thin">
        <color theme="1"/>
      </left>
      <right style="thin">
        <color theme="0" tint="-0.14996795556505021"/>
      </right>
      <top style="thin">
        <color theme="0" tint="-0.14996795556505021"/>
      </top>
      <bottom style="thin">
        <color theme="0" tint="-0.14996795556505021"/>
      </bottom>
      <diagonal/>
    </border>
    <border>
      <left style="thin">
        <color theme="1"/>
      </left>
      <right style="thin">
        <color theme="0" tint="-0.14996795556505021"/>
      </right>
      <top style="thin">
        <color theme="0" tint="-0.14996795556505021"/>
      </top>
      <bottom style="thin">
        <color theme="1"/>
      </bottom>
      <diagonal/>
    </border>
    <border>
      <left style="thin">
        <color theme="0" tint="-0.14996795556505021"/>
      </left>
      <right style="thin">
        <color theme="0" tint="-0.14996795556505021"/>
      </right>
      <top style="thin">
        <color theme="0" tint="-0.14996795556505021"/>
      </top>
      <bottom style="thin">
        <color theme="1"/>
      </bottom>
      <diagonal/>
    </border>
    <border>
      <left style="thin">
        <color theme="1"/>
      </left>
      <right style="thin">
        <color theme="1"/>
      </right>
      <top style="thin">
        <color theme="1"/>
      </top>
      <bottom style="thin">
        <color theme="1"/>
      </bottom>
      <diagonal/>
    </border>
    <border>
      <left style="thin">
        <color rgb="FFFF0000"/>
      </left>
      <right style="thin">
        <color rgb="FFFF0000"/>
      </right>
      <top style="thin">
        <color theme="0" tint="-0.14996795556505021"/>
      </top>
      <bottom/>
      <diagonal/>
    </border>
    <border>
      <left style="thin">
        <color rgb="FFFF0000"/>
      </left>
      <right style="thin">
        <color rgb="FFFF0000"/>
      </right>
      <top/>
      <bottom style="thin">
        <color rgb="FFFF0000"/>
      </bottom>
      <diagonal/>
    </border>
    <border>
      <left style="thin">
        <color theme="0" tint="-0.14996795556505021"/>
      </left>
      <right style="thin">
        <color theme="0" tint="-0.14996795556505021"/>
      </right>
      <top/>
      <bottom style="thin">
        <color rgb="FFFF0000"/>
      </bottom>
      <diagonal/>
    </border>
    <border>
      <left style="thin">
        <color theme="0" tint="-0.14996795556505021"/>
      </left>
      <right style="thin">
        <color rgb="FFFF0000"/>
      </right>
      <top/>
      <bottom style="thin">
        <color rgb="FFFF0000"/>
      </bottom>
      <diagonal/>
    </border>
    <border>
      <left/>
      <right style="thin">
        <color theme="0" tint="-0.14996795556505021"/>
      </right>
      <top/>
      <bottom style="thin">
        <color rgb="FFFF0000"/>
      </bottom>
      <diagonal/>
    </border>
  </borders>
  <cellStyleXfs count="1">
    <xf numFmtId="0" fontId="0" fillId="0" borderId="0"/>
  </cellStyleXfs>
  <cellXfs count="116">
    <xf numFmtId="0" fontId="0" fillId="0" borderId="0" xfId="0"/>
    <xf numFmtId="0" fontId="0" fillId="0" borderId="1" xfId="0" applyBorder="1" applyAlignment="1">
      <alignment vertical="top"/>
    </xf>
    <xf numFmtId="0" fontId="0" fillId="0" borderId="1" xfId="0" applyBorder="1" applyAlignment="1">
      <alignment horizontal="center" vertical="top"/>
    </xf>
    <xf numFmtId="3" fontId="0" fillId="0" borderId="1" xfId="0" applyNumberFormat="1" applyBorder="1" applyAlignment="1">
      <alignment horizontal="center" vertical="top"/>
    </xf>
    <xf numFmtId="0" fontId="2" fillId="0" borderId="1" xfId="0" applyFont="1" applyBorder="1" applyAlignment="1">
      <alignment vertical="top"/>
    </xf>
    <xf numFmtId="0" fontId="3" fillId="0" borderId="1" xfId="0" applyFont="1" applyBorder="1" applyAlignment="1">
      <alignment horizontal="center" vertical="top"/>
    </xf>
    <xf numFmtId="0" fontId="2" fillId="0" borderId="1" xfId="0" applyFont="1" applyBorder="1" applyAlignment="1">
      <alignment horizontal="center" vertical="top"/>
    </xf>
    <xf numFmtId="0" fontId="1" fillId="3" borderId="1" xfId="0" applyFont="1" applyFill="1" applyBorder="1" applyAlignment="1">
      <alignment horizontal="center" vertical="top"/>
    </xf>
    <xf numFmtId="3" fontId="1" fillId="3" borderId="1" xfId="0" applyNumberFormat="1" applyFont="1" applyFill="1" applyBorder="1" applyAlignment="1">
      <alignment horizontal="center" vertical="top"/>
    </xf>
    <xf numFmtId="0" fontId="3" fillId="3" borderId="1" xfId="0" applyFont="1" applyFill="1" applyBorder="1" applyAlignment="1">
      <alignment horizontal="center" vertical="top"/>
    </xf>
    <xf numFmtId="0" fontId="0" fillId="0" borderId="2" xfId="0" applyBorder="1" applyAlignment="1">
      <alignment vertical="top"/>
    </xf>
    <xf numFmtId="0" fontId="3" fillId="0" borderId="4" xfId="0" applyFont="1" applyBorder="1" applyAlignment="1">
      <alignment horizontal="center" vertical="top"/>
    </xf>
    <xf numFmtId="0" fontId="0" fillId="0" borderId="6" xfId="0" applyBorder="1" applyAlignment="1">
      <alignment vertical="top"/>
    </xf>
    <xf numFmtId="0" fontId="0" fillId="0" borderId="6" xfId="0" applyBorder="1" applyAlignment="1">
      <alignment horizontal="center" vertical="top"/>
    </xf>
    <xf numFmtId="0" fontId="0" fillId="0" borderId="8" xfId="0" applyBorder="1" applyAlignment="1">
      <alignment horizontal="center" vertical="top"/>
    </xf>
    <xf numFmtId="0" fontId="0" fillId="0" borderId="9" xfId="0" applyBorder="1" applyAlignment="1">
      <alignment vertical="top"/>
    </xf>
    <xf numFmtId="0" fontId="0" fillId="2" borderId="10" xfId="0" applyFill="1" applyBorder="1" applyAlignment="1">
      <alignment vertical="top"/>
    </xf>
    <xf numFmtId="0" fontId="0" fillId="2" borderId="11" xfId="0" applyFill="1" applyBorder="1" applyAlignment="1">
      <alignment vertical="top"/>
    </xf>
    <xf numFmtId="0" fontId="0" fillId="0" borderId="7" xfId="0" applyBorder="1" applyAlignment="1">
      <alignment horizontal="center" vertical="top"/>
    </xf>
    <xf numFmtId="0" fontId="0" fillId="0" borderId="14" xfId="0" applyNumberFormat="1" applyBorder="1" applyAlignment="1">
      <alignment horizontal="center" vertical="top"/>
    </xf>
    <xf numFmtId="0" fontId="0" fillId="0" borderId="6" xfId="0" applyNumberFormat="1" applyBorder="1" applyAlignment="1">
      <alignment horizontal="center" vertical="top"/>
    </xf>
    <xf numFmtId="0" fontId="0" fillId="0" borderId="15" xfId="0" applyBorder="1" applyAlignment="1">
      <alignment horizontal="center" vertical="top"/>
    </xf>
    <xf numFmtId="0" fontId="1" fillId="0" borderId="16" xfId="0" applyFont="1" applyBorder="1" applyAlignment="1">
      <alignment horizontal="center" vertical="top"/>
    </xf>
    <xf numFmtId="0" fontId="1" fillId="0" borderId="17" xfId="0" applyFont="1" applyBorder="1" applyAlignment="1">
      <alignment horizontal="center" vertical="top"/>
    </xf>
    <xf numFmtId="0" fontId="1" fillId="0" borderId="18" xfId="0" quotePrefix="1" applyFont="1" applyBorder="1" applyAlignment="1">
      <alignment horizontal="center" vertical="top"/>
    </xf>
    <xf numFmtId="0" fontId="0" fillId="0" borderId="4" xfId="0" applyBorder="1" applyAlignment="1">
      <alignment vertical="top"/>
    </xf>
    <xf numFmtId="0" fontId="0" fillId="0" borderId="5" xfId="0" applyBorder="1" applyAlignment="1">
      <alignment horizontal="center" vertical="top"/>
    </xf>
    <xf numFmtId="0" fontId="0" fillId="2" borderId="19" xfId="0" applyFill="1" applyBorder="1" applyAlignment="1">
      <alignment horizontal="center" vertical="top"/>
    </xf>
    <xf numFmtId="0" fontId="0" fillId="2" borderId="20" xfId="0" applyFill="1" applyBorder="1" applyAlignment="1">
      <alignment horizontal="center" vertical="top"/>
    </xf>
    <xf numFmtId="0" fontId="0" fillId="2" borderId="21" xfId="0" applyFill="1" applyBorder="1" applyAlignment="1">
      <alignment horizontal="center" vertical="top"/>
    </xf>
    <xf numFmtId="0" fontId="0" fillId="0" borderId="22" xfId="0" applyBorder="1" applyAlignment="1">
      <alignment horizontal="center" vertical="top"/>
    </xf>
    <xf numFmtId="0" fontId="0" fillId="0" borderId="3" xfId="0" applyBorder="1" applyAlignment="1">
      <alignment vertical="top"/>
    </xf>
    <xf numFmtId="3" fontId="0" fillId="0" borderId="5" xfId="0" applyNumberFormat="1" applyBorder="1" applyAlignment="1">
      <alignment horizontal="center" vertical="top"/>
    </xf>
    <xf numFmtId="3" fontId="0" fillId="0" borderId="6" xfId="0" applyNumberFormat="1" applyBorder="1" applyAlignment="1">
      <alignment horizontal="center" vertical="top"/>
    </xf>
    <xf numFmtId="3" fontId="0" fillId="0" borderId="19" xfId="0" applyNumberFormat="1" applyBorder="1" applyAlignment="1">
      <alignment horizontal="center" vertical="top"/>
    </xf>
    <xf numFmtId="3" fontId="0" fillId="0" borderId="20" xfId="0" applyNumberFormat="1" applyBorder="1" applyAlignment="1">
      <alignment horizontal="center" vertical="top"/>
    </xf>
    <xf numFmtId="3" fontId="0" fillId="0" borderId="21" xfId="0" applyNumberFormat="1" applyBorder="1" applyAlignment="1">
      <alignment horizontal="center" vertical="top"/>
    </xf>
    <xf numFmtId="3" fontId="0" fillId="0" borderId="22" xfId="0" applyNumberFormat="1" applyBorder="1" applyAlignment="1">
      <alignment horizontal="center" vertical="top"/>
    </xf>
    <xf numFmtId="10" fontId="0" fillId="0" borderId="1" xfId="0" applyNumberFormat="1" applyBorder="1" applyAlignment="1">
      <alignment horizontal="center" vertical="top"/>
    </xf>
    <xf numFmtId="4" fontId="0" fillId="0" borderId="1" xfId="0" applyNumberFormat="1" applyBorder="1" applyAlignment="1">
      <alignment horizontal="center" vertical="top"/>
    </xf>
    <xf numFmtId="0" fontId="0" fillId="0" borderId="1" xfId="0" applyFont="1" applyBorder="1" applyAlignment="1">
      <alignment horizontal="center" vertical="top"/>
    </xf>
    <xf numFmtId="3" fontId="0" fillId="0" borderId="1" xfId="0" applyNumberFormat="1" applyFont="1" applyBorder="1" applyAlignment="1">
      <alignment horizontal="center" vertical="top"/>
    </xf>
    <xf numFmtId="164" fontId="0" fillId="0" borderId="1" xfId="0" applyNumberFormat="1" applyBorder="1" applyAlignment="1">
      <alignment horizontal="center" vertical="top"/>
    </xf>
    <xf numFmtId="0" fontId="5" fillId="0" borderId="4" xfId="0" quotePrefix="1" applyFont="1" applyBorder="1" applyAlignment="1">
      <alignment horizontal="center" vertical="top"/>
    </xf>
    <xf numFmtId="0" fontId="5" fillId="0" borderId="4" xfId="0" applyFont="1" applyBorder="1" applyAlignment="1">
      <alignment horizontal="center" vertical="top"/>
    </xf>
    <xf numFmtId="3" fontId="5" fillId="0" borderId="4" xfId="0" applyNumberFormat="1" applyFont="1" applyBorder="1" applyAlignment="1">
      <alignment horizontal="center" vertical="top"/>
    </xf>
    <xf numFmtId="0" fontId="0" fillId="0" borderId="1" xfId="0" applyFont="1" applyBorder="1" applyAlignment="1">
      <alignment vertical="top"/>
    </xf>
    <xf numFmtId="164" fontId="0" fillId="0" borderId="1" xfId="0" applyNumberFormat="1" applyBorder="1" applyAlignment="1">
      <alignment vertical="top"/>
    </xf>
    <xf numFmtId="165" fontId="0" fillId="0" borderId="1" xfId="0" applyNumberFormat="1" applyBorder="1" applyAlignment="1">
      <alignment vertical="top"/>
    </xf>
    <xf numFmtId="0" fontId="7" fillId="0" borderId="1" xfId="0" applyFont="1" applyBorder="1" applyAlignment="1">
      <alignment horizontal="center" vertical="top"/>
    </xf>
    <xf numFmtId="0" fontId="7" fillId="3" borderId="1" xfId="0" applyFont="1" applyFill="1" applyBorder="1" applyAlignment="1">
      <alignment horizontal="center" vertical="top"/>
    </xf>
    <xf numFmtId="3" fontId="7" fillId="0" borderId="1" xfId="0" applyNumberFormat="1" applyFont="1" applyBorder="1" applyAlignment="1">
      <alignment horizontal="center" vertical="top"/>
    </xf>
    <xf numFmtId="11" fontId="7" fillId="0" borderId="1" xfId="0" applyNumberFormat="1" applyFont="1" applyBorder="1" applyAlignment="1">
      <alignment horizontal="center" vertical="top"/>
    </xf>
    <xf numFmtId="164" fontId="0" fillId="0" borderId="5" xfId="0" applyNumberFormat="1" applyBorder="1" applyAlignment="1">
      <alignment horizontal="center" vertical="top"/>
    </xf>
    <xf numFmtId="10" fontId="0" fillId="0" borderId="24" xfId="0" applyNumberFormat="1" applyBorder="1" applyAlignment="1">
      <alignment horizontal="center" vertical="top"/>
    </xf>
    <xf numFmtId="0" fontId="0" fillId="2" borderId="25" xfId="0" applyFill="1" applyBorder="1" applyAlignment="1">
      <alignment horizontal="center" vertical="top"/>
    </xf>
    <xf numFmtId="166" fontId="0" fillId="0" borderId="1" xfId="0" applyNumberFormat="1" applyBorder="1" applyAlignment="1">
      <alignment horizontal="center" vertical="top"/>
    </xf>
    <xf numFmtId="0" fontId="0" fillId="2" borderId="28" xfId="0" applyFill="1" applyBorder="1" applyAlignment="1">
      <alignment horizontal="center" vertical="top"/>
    </xf>
    <xf numFmtId="0" fontId="0" fillId="0" borderId="28" xfId="0" applyBorder="1" applyAlignment="1">
      <alignment horizontal="center" vertical="top"/>
    </xf>
    <xf numFmtId="0" fontId="0" fillId="0" borderId="13" xfId="0" applyBorder="1" applyAlignment="1">
      <alignment vertical="top"/>
    </xf>
    <xf numFmtId="0" fontId="0" fillId="0" borderId="5" xfId="0" applyBorder="1" applyAlignment="1">
      <alignment vertical="top"/>
    </xf>
    <xf numFmtId="0" fontId="7" fillId="0" borderId="5" xfId="0" applyFont="1" applyBorder="1" applyAlignment="1">
      <alignment horizontal="center" vertical="top"/>
    </xf>
    <xf numFmtId="0" fontId="7" fillId="0" borderId="6" xfId="0" applyFont="1" applyBorder="1" applyAlignment="1">
      <alignment horizontal="center" vertical="top"/>
    </xf>
    <xf numFmtId="0" fontId="0" fillId="0" borderId="29" xfId="0" applyBorder="1" applyAlignment="1">
      <alignment horizontal="left" vertical="top"/>
    </xf>
    <xf numFmtId="3" fontId="0" fillId="0" borderId="30" xfId="0" applyNumberFormat="1" applyBorder="1" applyAlignment="1">
      <alignment horizontal="center" vertical="top"/>
    </xf>
    <xf numFmtId="0" fontId="0" fillId="0" borderId="30" xfId="0" applyBorder="1" applyAlignment="1">
      <alignment vertical="top"/>
    </xf>
    <xf numFmtId="0" fontId="0" fillId="0" borderId="30" xfId="0" applyBorder="1" applyAlignment="1">
      <alignment horizontal="center" vertical="top"/>
    </xf>
    <xf numFmtId="0" fontId="7" fillId="0" borderId="30" xfId="0" applyFont="1" applyBorder="1" applyAlignment="1">
      <alignment horizontal="center" vertical="top"/>
    </xf>
    <xf numFmtId="0" fontId="0" fillId="0" borderId="31" xfId="0" applyBorder="1" applyAlignment="1">
      <alignment horizontal="left" vertical="top"/>
    </xf>
    <xf numFmtId="0" fontId="0" fillId="0" borderId="32" xfId="0" applyBorder="1" applyAlignment="1">
      <alignment horizontal="left" vertical="top"/>
    </xf>
    <xf numFmtId="3" fontId="0" fillId="0" borderId="33" xfId="0" applyNumberFormat="1" applyBorder="1" applyAlignment="1">
      <alignment horizontal="center" vertical="top"/>
    </xf>
    <xf numFmtId="0" fontId="0" fillId="0" borderId="33" xfId="0" applyBorder="1" applyAlignment="1">
      <alignment vertical="top"/>
    </xf>
    <xf numFmtId="0" fontId="0" fillId="0" borderId="33" xfId="0" applyBorder="1" applyAlignment="1">
      <alignment horizontal="center" vertical="top"/>
    </xf>
    <xf numFmtId="0" fontId="7" fillId="0" borderId="33" xfId="0" applyFont="1" applyBorder="1" applyAlignment="1">
      <alignment horizontal="center" vertical="top"/>
    </xf>
    <xf numFmtId="0" fontId="0" fillId="0" borderId="2" xfId="0" applyBorder="1" applyAlignment="1">
      <alignment horizontal="center" vertical="top"/>
    </xf>
    <xf numFmtId="11" fontId="0" fillId="0" borderId="22" xfId="0" applyNumberFormat="1" applyBorder="1" applyAlignment="1">
      <alignment horizontal="center" vertical="top"/>
    </xf>
    <xf numFmtId="10" fontId="0" fillId="0" borderId="6" xfId="0" applyNumberFormat="1" applyBorder="1" applyAlignment="1">
      <alignment horizontal="center" vertical="top"/>
    </xf>
    <xf numFmtId="3" fontId="0" fillId="0" borderId="34" xfId="0" applyNumberFormat="1" applyBorder="1" applyAlignment="1">
      <alignment horizontal="center" vertical="top"/>
    </xf>
    <xf numFmtId="167" fontId="0" fillId="0" borderId="1" xfId="0" applyNumberFormat="1" applyBorder="1" applyAlignment="1">
      <alignment horizontal="center" vertical="top"/>
    </xf>
    <xf numFmtId="10" fontId="0" fillId="0" borderId="24" xfId="0" applyNumberFormat="1" applyFill="1" applyBorder="1" applyAlignment="1">
      <alignment horizontal="center" vertical="top"/>
    </xf>
    <xf numFmtId="0" fontId="0" fillId="4" borderId="24" xfId="0" applyFill="1" applyBorder="1" applyAlignment="1">
      <alignment horizontal="center" vertical="top"/>
    </xf>
    <xf numFmtId="0" fontId="0" fillId="2" borderId="35" xfId="0" applyFill="1" applyBorder="1" applyAlignment="1">
      <alignment horizontal="center" vertical="top"/>
    </xf>
    <xf numFmtId="3" fontId="0" fillId="0" borderId="35" xfId="0" applyNumberFormat="1" applyBorder="1" applyAlignment="1">
      <alignment horizontal="center" vertical="top"/>
    </xf>
    <xf numFmtId="0" fontId="0" fillId="2" borderId="36" xfId="0" applyFill="1" applyBorder="1" applyAlignment="1">
      <alignment horizontal="center" vertical="top"/>
    </xf>
    <xf numFmtId="3" fontId="0" fillId="0" borderId="36" xfId="0" applyNumberFormat="1" applyBorder="1" applyAlignment="1">
      <alignment horizontal="center" vertical="top"/>
    </xf>
    <xf numFmtId="0" fontId="0" fillId="0" borderId="1" xfId="0" applyBorder="1" applyAlignment="1">
      <alignment horizontal="left" vertical="top"/>
    </xf>
    <xf numFmtId="3" fontId="0" fillId="0" borderId="1" xfId="0" applyNumberFormat="1" applyBorder="1" applyAlignment="1">
      <alignment vertical="top"/>
    </xf>
    <xf numFmtId="0" fontId="1" fillId="0" borderId="1" xfId="0" applyFont="1" applyBorder="1" applyAlignment="1">
      <alignment vertical="top"/>
    </xf>
    <xf numFmtId="0" fontId="8" fillId="0" borderId="0" xfId="0" applyFont="1"/>
    <xf numFmtId="0" fontId="1" fillId="0" borderId="1" xfId="0" applyFont="1" applyBorder="1" applyAlignment="1">
      <alignment horizontal="center" vertical="top"/>
    </xf>
    <xf numFmtId="0" fontId="1" fillId="0" borderId="9" xfId="0" applyFont="1" applyBorder="1" applyAlignment="1">
      <alignment horizontal="center" vertical="top" wrapText="1"/>
    </xf>
    <xf numFmtId="0" fontId="1" fillId="0" borderId="26" xfId="0" applyFont="1" applyBorder="1" applyAlignment="1">
      <alignment horizontal="center" vertical="top" wrapText="1"/>
    </xf>
    <xf numFmtId="0" fontId="1" fillId="0" borderId="27" xfId="0" applyFont="1" applyBorder="1" applyAlignment="1">
      <alignment horizontal="center" vertical="top" wrapText="1"/>
    </xf>
    <xf numFmtId="0" fontId="1" fillId="3" borderId="9" xfId="0" applyFont="1" applyFill="1" applyBorder="1" applyAlignment="1">
      <alignment horizontal="center" vertical="top"/>
    </xf>
    <xf numFmtId="0" fontId="1" fillId="3" borderId="12" xfId="0" applyFont="1" applyFill="1" applyBorder="1" applyAlignment="1">
      <alignment horizontal="center" vertical="top"/>
    </xf>
    <xf numFmtId="0" fontId="1" fillId="3" borderId="13" xfId="0" applyFont="1" applyFill="1" applyBorder="1" applyAlignment="1">
      <alignment horizontal="center" vertical="top"/>
    </xf>
    <xf numFmtId="0" fontId="1" fillId="0" borderId="23" xfId="0" applyFont="1" applyBorder="1" applyAlignment="1">
      <alignment horizontal="center" vertical="top" wrapText="1"/>
    </xf>
    <xf numFmtId="0" fontId="1" fillId="0" borderId="15" xfId="0" applyFont="1" applyBorder="1" applyAlignment="1">
      <alignment horizontal="center" vertical="top"/>
    </xf>
    <xf numFmtId="0" fontId="1" fillId="0" borderId="27" xfId="0" applyFont="1" applyBorder="1" applyAlignment="1">
      <alignment horizontal="center" vertical="top"/>
    </xf>
    <xf numFmtId="0" fontId="1" fillId="0" borderId="5" xfId="0" applyFont="1" applyBorder="1" applyAlignment="1">
      <alignment horizontal="center" vertical="top" wrapText="1"/>
    </xf>
    <xf numFmtId="0" fontId="1" fillId="0" borderId="6" xfId="0" applyFont="1" applyBorder="1" applyAlignment="1">
      <alignment horizontal="center" vertical="top"/>
    </xf>
    <xf numFmtId="0" fontId="1" fillId="0" borderId="1" xfId="0" applyFont="1" applyBorder="1" applyAlignment="1">
      <alignment horizontal="left" vertical="top"/>
    </xf>
    <xf numFmtId="3" fontId="1" fillId="0" borderId="1" xfId="0" applyNumberFormat="1" applyFont="1" applyBorder="1" applyAlignment="1">
      <alignment horizontal="center" vertical="top"/>
    </xf>
    <xf numFmtId="3" fontId="1" fillId="0" borderId="1" xfId="0" applyNumberFormat="1" applyFont="1" applyBorder="1" applyAlignment="1">
      <alignment vertical="top"/>
    </xf>
    <xf numFmtId="0" fontId="9" fillId="0" borderId="1" xfId="0" applyFont="1" applyBorder="1" applyAlignment="1">
      <alignment horizontal="center" vertical="top"/>
    </xf>
    <xf numFmtId="0" fontId="0" fillId="0" borderId="37" xfId="0" applyBorder="1" applyAlignment="1">
      <alignment horizontal="center" vertical="top"/>
    </xf>
    <xf numFmtId="0" fontId="0" fillId="0" borderId="38" xfId="0" applyBorder="1" applyAlignment="1">
      <alignment horizontal="center" vertical="top"/>
    </xf>
    <xf numFmtId="3" fontId="0" fillId="0" borderId="23" xfId="0" applyNumberFormat="1" applyBorder="1" applyAlignment="1">
      <alignment horizontal="center" vertical="top"/>
    </xf>
    <xf numFmtId="3" fontId="0" fillId="0" borderId="13" xfId="0" applyNumberFormat="1" applyBorder="1" applyAlignment="1">
      <alignment horizontal="center" vertical="top"/>
    </xf>
    <xf numFmtId="0" fontId="0" fillId="0" borderId="39" xfId="0" applyBorder="1" applyAlignment="1">
      <alignment horizontal="center" vertical="top"/>
    </xf>
    <xf numFmtId="0" fontId="0" fillId="2" borderId="20" xfId="0" applyFill="1" applyBorder="1" applyAlignment="1">
      <alignment vertical="top"/>
    </xf>
    <xf numFmtId="0" fontId="0" fillId="2" borderId="21" xfId="0" applyFill="1" applyBorder="1" applyAlignment="1">
      <alignment vertical="top"/>
    </xf>
    <xf numFmtId="0" fontId="10" fillId="0" borderId="1" xfId="0" applyFont="1" applyBorder="1" applyAlignment="1">
      <alignment horizontal="center" vertical="top"/>
    </xf>
    <xf numFmtId="3" fontId="10" fillId="0" borderId="1" xfId="0" applyNumberFormat="1" applyFont="1" applyBorder="1" applyAlignment="1">
      <alignment horizontal="center" vertical="top"/>
    </xf>
    <xf numFmtId="164" fontId="0" fillId="0" borderId="34" xfId="0" applyNumberFormat="1" applyBorder="1" applyAlignment="1">
      <alignment horizontal="center" vertical="top"/>
    </xf>
    <xf numFmtId="0" fontId="11" fillId="0" borderId="1" xfId="0" applyFont="1" applyBorder="1" applyAlignment="1">
      <alignment vertical="top"/>
    </xf>
  </cellXfs>
  <cellStyles count="1">
    <cellStyle name="Normal" xfId="0" builtinId="0"/>
  </cellStyles>
  <dxfs count="0"/>
  <tableStyles count="0" defaultTableStyle="TableStyleMedium2" defaultPivotStyle="PivotStyleLight16"/>
  <colors>
    <mruColors>
      <color rgb="FFFFFE00"/>
      <color rgb="FFFF7F82"/>
      <color rgb="FF00FF01"/>
      <color rgb="FF00F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279401</xdr:colOff>
      <xdr:row>35</xdr:row>
      <xdr:rowOff>112060</xdr:rowOff>
    </xdr:from>
    <xdr:to>
      <xdr:col>11</xdr:col>
      <xdr:colOff>854636</xdr:colOff>
      <xdr:row>71</xdr:row>
      <xdr:rowOff>99360</xdr:rowOff>
    </xdr:to>
    <xdr:sp macro="" textlink="">
      <xdr:nvSpPr>
        <xdr:cNvPr id="12" name="TextBox 11">
          <a:extLst>
            <a:ext uri="{FF2B5EF4-FFF2-40B4-BE49-F238E27FC236}">
              <a16:creationId xmlns:a16="http://schemas.microsoft.com/office/drawing/2014/main" id="{809504F4-9F59-2546-B952-C4A51AAF20F6}"/>
            </a:ext>
          </a:extLst>
        </xdr:cNvPr>
        <xdr:cNvSpPr txBox="1"/>
      </xdr:nvSpPr>
      <xdr:spPr>
        <a:xfrm>
          <a:off x="7152342" y="7433236"/>
          <a:ext cx="6521823" cy="7517653"/>
        </a:xfrm>
        <a:prstGeom prst="rect">
          <a:avLst/>
        </a:prstGeom>
        <a:solidFill>
          <a:srgbClr val="FFFE00"/>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INSTRUCTIONS:</a:t>
          </a:r>
        </a:p>
        <a:p>
          <a:endParaRPr lang="en-US" sz="1600"/>
        </a:p>
        <a:p>
          <a:r>
            <a:rPr lang="en-US" sz="1600"/>
            <a:t>1. Enter the problem definition for the problem to be solved.</a:t>
          </a:r>
        </a:p>
        <a:p>
          <a:r>
            <a:rPr lang="en-US" sz="1600"/>
            <a:t>2. Do an initial setting of the solver settings.  Recommend starting with all these set to 1: num_proc_field, num_proc_repl, num_tc_steps,</a:t>
          </a:r>
          <a:r>
            <a:rPr lang="en-US" sz="1600" baseline="0"/>
            <a:t> </a:t>
          </a:r>
          <a:r>
            <a:rPr lang="en-US" sz="1600"/>
            <a:t>num_phase,</a:t>
          </a:r>
          <a:r>
            <a:rPr lang="en-US" sz="1600" baseline="0"/>
            <a:t> </a:t>
          </a:r>
          <a:r>
            <a:rPr lang="en-US" sz="1600"/>
            <a:t>num_stage.</a:t>
          </a:r>
        </a:p>
        <a:p>
          <a:r>
            <a:rPr lang="en-US" sz="1600"/>
            <a:t>3. Adjust settings until all cells in the "VALUE" column are green (to the extent possible).  Some are hard (memory) limits, some are soft (performance) limits.  See hover-over notes for the various cells for further guidance.</a:t>
          </a:r>
        </a:p>
        <a:p>
          <a:endParaRPr lang="en-US" sz="1600"/>
        </a:p>
        <a:p>
          <a:r>
            <a:rPr lang="en-US" sz="1600"/>
            <a:t>NOTES:</a:t>
          </a:r>
        </a:p>
        <a:p>
          <a:endParaRPr lang="en-US" sz="1600"/>
        </a:p>
        <a:p>
          <a:r>
            <a:rPr lang="en-US" sz="1600"/>
            <a:t>- ONLY change entries</a:t>
          </a:r>
          <a:r>
            <a:rPr lang="en-US" sz="1600" baseline="0"/>
            <a:t> in the white cells with red borders</a:t>
          </a:r>
        </a:p>
        <a:p>
          <a:r>
            <a:rPr lang="en-US" sz="1600" baseline="0"/>
            <a:t>- settings are set acceptably when ALL value cells in the "VALUE" column are green (best) or yellow (some performance-related cells may be allowed to be orange or red if absolutely necessary)</a:t>
          </a:r>
        </a:p>
        <a:p>
          <a:r>
            <a:rPr lang="en-US" sz="1600" baseline="0"/>
            <a:t>- the execution commands at the top of the sheet should run the given case, for one phase and one stage only.  for large node counts and long runs it is recommended that the commands be submitted as a batch script instead of running interactively, to avoid wasting allocation</a:t>
          </a:r>
        </a:p>
        <a:p>
          <a:r>
            <a:rPr lang="en-US" sz="1600" baseline="0"/>
            <a:t>- the number in the "performance fraction estimate" box should be inferred from a run.  The max tensor core rate on a large case for this code is ~ 82 TF.  so for example an ops_rate/proc of 1.64e+12 as reported from a run would be 2% efficiency.</a:t>
          </a:r>
        </a:p>
        <a:p>
          <a:r>
            <a:rPr lang="en-US" sz="1600" baseline="0"/>
            <a:t>- NOTE: I/O time is not counted here - it could be inferred from a run on real data</a:t>
          </a:r>
        </a:p>
        <a:p>
          <a:endParaRPr lang="en-US"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49693-509E-D84D-8D62-271E15A24091}">
  <dimension ref="A1:AC115"/>
  <sheetViews>
    <sheetView tabSelected="1" zoomScale="85" zoomScaleNormal="85" workbookViewId="0"/>
  </sheetViews>
  <sheetFormatPr baseColWidth="10" defaultRowHeight="16"/>
  <cols>
    <col min="1" max="1" width="9.1640625" style="1" customWidth="1"/>
    <col min="2" max="2" width="30.83203125" style="2" customWidth="1"/>
    <col min="3" max="3" width="23.33203125" style="3" customWidth="1"/>
    <col min="4" max="4" width="1.83203125" style="1" customWidth="1"/>
    <col min="5" max="5" width="25" style="1" customWidth="1"/>
    <col min="6" max="6" width="15" style="2" customWidth="1"/>
    <col min="7" max="7" width="15" style="1" customWidth="1"/>
    <col min="8" max="8" width="15" style="2" customWidth="1"/>
    <col min="9" max="9" width="15" style="1" customWidth="1"/>
    <col min="10" max="10" width="1.83203125" style="1" customWidth="1"/>
    <col min="11" max="11" width="15.83203125" style="2" customWidth="1"/>
    <col min="12" max="12" width="15" style="2" customWidth="1"/>
    <col min="13" max="13" width="1.83203125" style="1" customWidth="1"/>
    <col min="14" max="14" width="27.5" style="49" customWidth="1"/>
    <col min="15" max="15" width="14.1640625" style="49" customWidth="1"/>
    <col min="16" max="16" width="10.83203125" style="1"/>
    <col min="17" max="17" width="5.1640625" style="2" customWidth="1"/>
    <col min="18" max="18" width="3" style="1" customWidth="1"/>
    <col min="19" max="19" width="41" style="1" customWidth="1"/>
    <col min="20" max="16384" width="10.83203125" style="1"/>
  </cols>
  <sheetData>
    <row r="1" spans="1:29">
      <c r="B1" s="26"/>
      <c r="C1" s="32"/>
      <c r="Q1" s="1"/>
    </row>
    <row r="2" spans="1:29">
      <c r="A2" s="10"/>
      <c r="B2" s="57" t="s">
        <v>113</v>
      </c>
      <c r="C2" s="58" t="str">
        <f>IF(C16=L21,"m1759_g","stf006")</f>
        <v>m1759_g</v>
      </c>
      <c r="D2" s="59"/>
      <c r="E2" s="60"/>
      <c r="F2" s="26"/>
      <c r="G2" s="60"/>
      <c r="H2" s="26"/>
      <c r="I2" s="60"/>
      <c r="J2" s="60"/>
      <c r="K2" s="26"/>
      <c r="L2" s="26"/>
      <c r="M2" s="60"/>
      <c r="N2" s="61"/>
      <c r="O2" s="61"/>
      <c r="P2" s="60"/>
      <c r="Q2" s="60"/>
      <c r="R2" s="60"/>
      <c r="S2" s="60"/>
      <c r="T2" s="60"/>
      <c r="U2" s="60"/>
      <c r="V2" s="60"/>
      <c r="W2" s="60"/>
      <c r="X2" s="60"/>
      <c r="Y2" s="60"/>
      <c r="Z2" s="60"/>
      <c r="AA2" s="60"/>
      <c r="AB2" s="60"/>
      <c r="AC2" s="60"/>
    </row>
    <row r="3" spans="1:29">
      <c r="A3" s="90" t="s">
        <v>112</v>
      </c>
      <c r="B3" s="63" t="str">
        <f>IF(C$16=L$20,CONCATENATE("bsub -P ",C2," -nnodes ",C56," -W 10 -Is $SHELL"),IF(C16=L21,CONCATENATE("salloc --account ",C2," --nodes ",C56," --qos early_science --time 1:00:00 --constraint gpu --gpus-per-node 4 --exclusive"),""))</f>
        <v>salloc --account m1759_g --nodes 1479 --qos early_science --time 1:00:00 --constraint gpu --gpus-per-node 4 --exclusive</v>
      </c>
      <c r="C3" s="64"/>
      <c r="D3" s="65"/>
      <c r="E3" s="65"/>
      <c r="F3" s="66"/>
      <c r="G3" s="65"/>
      <c r="H3" s="66"/>
      <c r="I3" s="65"/>
      <c r="J3" s="65"/>
      <c r="K3" s="66"/>
      <c r="L3" s="66"/>
      <c r="M3" s="65"/>
      <c r="N3" s="67"/>
      <c r="O3" s="67"/>
      <c r="P3" s="65"/>
      <c r="Q3" s="65"/>
      <c r="R3" s="65"/>
      <c r="S3" s="65"/>
      <c r="T3" s="65"/>
      <c r="U3" s="65"/>
      <c r="V3" s="65"/>
      <c r="W3" s="65"/>
      <c r="X3" s="65"/>
      <c r="Y3" s="65"/>
      <c r="Z3" s="65"/>
      <c r="AA3" s="65"/>
      <c r="AB3" s="65"/>
      <c r="AC3" s="65"/>
    </row>
    <row r="4" spans="1:29">
      <c r="A4" s="91"/>
      <c r="B4" s="68" t="str">
        <f>IF(C$16=L$20,"executable=install_single_release_summit/bin/genomics_metric ar_opts='PAMI_IBV_ENABLE_DCT=1 PAMI_ENABLE_STRIPING=1 PAMI_IBV_ADAPTER_AFFINITY=0 PAMI_IBV_QP_SERVICE_LEVEL=8 PAMI_IBV_ENABLE_OOO_AR=1'",IF(C16=L21,"executable=install_single_release_perlmutter/bin/genomics_metric",""))</f>
        <v>executable=install_single_release_perlmutter/bin/genomics_metric</v>
      </c>
      <c r="Q4" s="1"/>
    </row>
    <row r="5" spans="1:29">
      <c r="A5" s="91"/>
      <c r="B5" s="68" t="str">
        <f>IF(C$16=L$20,CONCATENATE("launch_command=""env OMP_NUM_THREADS=7 $ar_opts jsrun --nrs ",C55," --bind packed:7 --cpu_per_rs 7 --gpu_per_rs 1 --rs_per_host 6 --tasks_per_rs 1 -X 1"""),IF(C16=L21,"launch_command=""env OMP_PROC_BIND=spread OMP_PLACES=sockets OMP_NUM_THREADS=16 srun -n 4 -c 16 -G 4 --gpus-per-task=1 --gpu-bind=single:1""",""))</f>
        <v>launch_command="env OMP_PROC_BIND=spread OMP_PLACES=sockets OMP_NUM_THREADS=16 srun -n 4 -c 16 -G 4 --gpus-per-task=1 --gpu-bind=single:1"</v>
      </c>
      <c r="Q5" s="1"/>
    </row>
    <row r="6" spans="1:29">
      <c r="A6" s="92"/>
      <c r="B6" s="69" t="str">
        <f>CONCATENATE("$launch_command $executable --num_way ",C10," --metric_type ",C11," --sparse ",C12," --num_vector ",C13," --num_field ",C14," --all2all yes --compute_method GPU --num_proc_vector ",C19," --num_proc_field ",C20," --num_proc_repl ",C21," --tc ",O41," --num_tc_steps ",C23," --num_phase ",C24," --num_stage ",C25," --verbosity 1 --checksum no --phase_min ",MAX(0,C24-1)," --phase_max ",C24-1," --stage_min ",MAX(0,C25-1)," --stage_max ",C25-1)</f>
        <v>$launch_command $executable --num_way 3 --metric_type duo --sparse yes --num_vector 672768 --num_field 1008000 --all2all yes --compute_method GPU --num_proc_vector 73 --num_proc_field 1 --num_proc_repl 81 --tc 2 --num_tc_steps 2 --num_phase 1 --num_stage 64 --verbosity 1 --checksum no --phase_min 0 --phase_max 0 --stage_min 63 --stage_max 63</v>
      </c>
      <c r="C6" s="70"/>
      <c r="D6" s="71"/>
      <c r="E6" s="71"/>
      <c r="F6" s="72"/>
      <c r="G6" s="71"/>
      <c r="H6" s="72"/>
      <c r="I6" s="71"/>
      <c r="J6" s="71"/>
      <c r="K6" s="72"/>
      <c r="L6" s="72"/>
      <c r="M6" s="71"/>
      <c r="N6" s="73"/>
      <c r="O6" s="73"/>
      <c r="P6" s="71"/>
      <c r="Q6" s="71"/>
      <c r="R6" s="71"/>
      <c r="S6" s="71"/>
      <c r="T6" s="71"/>
      <c r="U6" s="71"/>
      <c r="V6" s="71"/>
      <c r="W6" s="71"/>
      <c r="X6" s="71"/>
      <c r="Y6" s="71"/>
      <c r="Z6" s="71"/>
      <c r="AA6" s="71"/>
      <c r="AB6" s="71"/>
      <c r="AC6" s="71"/>
    </row>
    <row r="7" spans="1:29">
      <c r="B7" s="13"/>
      <c r="C7" s="33"/>
      <c r="D7" s="12"/>
      <c r="E7" s="12"/>
      <c r="F7" s="13"/>
      <c r="G7" s="12"/>
      <c r="H7" s="13"/>
      <c r="I7" s="12"/>
      <c r="J7" s="12"/>
      <c r="K7" s="13"/>
      <c r="L7" s="13"/>
      <c r="M7" s="12"/>
      <c r="N7" s="62"/>
      <c r="O7" s="62"/>
      <c r="P7" s="12"/>
      <c r="Q7" s="26">
        <f>7</f>
        <v>7</v>
      </c>
      <c r="R7" s="12"/>
      <c r="S7" s="12"/>
      <c r="T7" s="12"/>
      <c r="U7" s="12"/>
      <c r="V7" s="12"/>
      <c r="W7" s="12"/>
      <c r="X7" s="12"/>
      <c r="Y7" s="12"/>
      <c r="Z7" s="12"/>
      <c r="AA7" s="12"/>
      <c r="AB7" s="12"/>
      <c r="AC7" s="12"/>
    </row>
    <row r="8" spans="1:29">
      <c r="B8" s="7" t="s">
        <v>0</v>
      </c>
      <c r="C8" s="8" t="s">
        <v>1</v>
      </c>
      <c r="D8" s="7"/>
      <c r="E8" s="7"/>
      <c r="F8" s="93" t="s">
        <v>19</v>
      </c>
      <c r="G8" s="94"/>
      <c r="H8" s="95"/>
      <c r="I8" s="7"/>
      <c r="J8" s="7"/>
      <c r="K8" s="9" t="s">
        <v>20</v>
      </c>
      <c r="L8" s="9"/>
      <c r="M8" s="7"/>
      <c r="N8" s="50" t="s">
        <v>161</v>
      </c>
      <c r="O8" s="50"/>
      <c r="Q8" s="26">
        <f t="shared" ref="Q8:Q66" si="0">Q7+1</f>
        <v>8</v>
      </c>
    </row>
    <row r="9" spans="1:29">
      <c r="B9" s="26"/>
      <c r="C9" s="32"/>
      <c r="E9" s="15"/>
      <c r="F9" s="22" t="s">
        <v>16</v>
      </c>
      <c r="G9" s="23" t="s">
        <v>17</v>
      </c>
      <c r="H9" s="24" t="s">
        <v>127</v>
      </c>
      <c r="I9" s="43" t="s">
        <v>174</v>
      </c>
      <c r="K9" s="5" t="s">
        <v>6</v>
      </c>
      <c r="L9" s="5">
        <v>2</v>
      </c>
      <c r="N9" s="49" t="s">
        <v>38</v>
      </c>
      <c r="O9" s="51">
        <f>1024*1024*1024</f>
        <v>1073741824</v>
      </c>
      <c r="Q9" s="26">
        <f t="shared" si="0"/>
        <v>9</v>
      </c>
    </row>
    <row r="10" spans="1:29">
      <c r="A10" s="96" t="s">
        <v>120</v>
      </c>
      <c r="B10" s="27" t="s">
        <v>6</v>
      </c>
      <c r="C10" s="34">
        <v>3</v>
      </c>
      <c r="D10" s="31"/>
      <c r="E10" s="16" t="s">
        <v>30</v>
      </c>
      <c r="F10" s="19">
        <f>6*0.85</f>
        <v>5.0999999999999996</v>
      </c>
      <c r="G10" s="20">
        <f>16*0.95</f>
        <v>15.2</v>
      </c>
      <c r="H10" s="21">
        <f>40*0.975</f>
        <v>39</v>
      </c>
      <c r="I10" s="44">
        <f>IF(C$16=F$9,F10,IF(C$16=G$9,G10,H10))</f>
        <v>39</v>
      </c>
      <c r="K10" s="5"/>
      <c r="L10" s="5">
        <v>3</v>
      </c>
      <c r="N10" s="49" t="s">
        <v>39</v>
      </c>
      <c r="O10" s="51">
        <f>1000000000</f>
        <v>1000000000</v>
      </c>
      <c r="Q10" s="26">
        <f t="shared" si="0"/>
        <v>10</v>
      </c>
    </row>
    <row r="11" spans="1:29">
      <c r="A11" s="97"/>
      <c r="B11" s="28" t="s">
        <v>2</v>
      </c>
      <c r="C11" s="35" t="s">
        <v>128</v>
      </c>
      <c r="D11" s="31"/>
      <c r="E11" s="17" t="s">
        <v>29</v>
      </c>
      <c r="F11" s="18">
        <v>1</v>
      </c>
      <c r="G11" s="2">
        <v>6</v>
      </c>
      <c r="H11" s="14">
        <v>4</v>
      </c>
      <c r="I11" s="45">
        <f t="shared" ref="I11:I12" si="1">IF(C$16=F$9,F11,IF(C$16=G$9,G11,H11))</f>
        <v>4</v>
      </c>
      <c r="Q11" s="26">
        <f t="shared" si="0"/>
        <v>11</v>
      </c>
    </row>
    <row r="12" spans="1:29">
      <c r="A12" s="10"/>
      <c r="B12" s="28" t="s">
        <v>3</v>
      </c>
      <c r="C12" s="35" t="s">
        <v>24</v>
      </c>
      <c r="D12" s="31"/>
      <c r="E12" s="17" t="s">
        <v>31</v>
      </c>
      <c r="F12" s="18">
        <v>31</v>
      </c>
      <c r="G12" s="2">
        <v>420</v>
      </c>
      <c r="H12" s="14">
        <f>256*0.9</f>
        <v>230.4</v>
      </c>
      <c r="I12" s="45">
        <f t="shared" si="1"/>
        <v>230.4</v>
      </c>
      <c r="K12" s="5" t="s">
        <v>2</v>
      </c>
      <c r="L12" s="5" t="s">
        <v>21</v>
      </c>
      <c r="N12" s="49" t="s">
        <v>42</v>
      </c>
      <c r="O12" s="49">
        <v>8</v>
      </c>
      <c r="Q12" s="26">
        <f t="shared" si="0"/>
        <v>12</v>
      </c>
    </row>
    <row r="13" spans="1:29">
      <c r="A13" s="10"/>
      <c r="B13" s="28" t="s">
        <v>4</v>
      </c>
      <c r="C13" s="35">
        <v>672768</v>
      </c>
      <c r="D13" s="31"/>
      <c r="E13" s="110" t="s">
        <v>35</v>
      </c>
      <c r="F13" s="108">
        <v>18688</v>
      </c>
      <c r="G13" s="32">
        <v>4608</v>
      </c>
      <c r="H13" s="107">
        <v>1500</v>
      </c>
      <c r="I13" s="45">
        <f>IF(C$16=F$9,F13,IF(C$16=G$9,G13,H13))</f>
        <v>1500</v>
      </c>
      <c r="K13" s="5"/>
      <c r="L13" s="5" t="s">
        <v>22</v>
      </c>
      <c r="Q13" s="26">
        <f t="shared" si="0"/>
        <v>13</v>
      </c>
    </row>
    <row r="14" spans="1:29">
      <c r="A14" s="10"/>
      <c r="B14" s="29" t="s">
        <v>5</v>
      </c>
      <c r="C14" s="36">
        <v>1008000</v>
      </c>
      <c r="D14" s="31"/>
      <c r="E14" s="111" t="s">
        <v>173</v>
      </c>
      <c r="F14" s="109">
        <v>350</v>
      </c>
      <c r="G14" s="105">
        <v>700</v>
      </c>
      <c r="H14" s="106">
        <v>800</v>
      </c>
      <c r="I14" s="45">
        <f>IF(C$16=F$9,F14,IF(C$16=G$9,G14,H14))</f>
        <v>800</v>
      </c>
      <c r="L14" s="6" t="s">
        <v>128</v>
      </c>
      <c r="N14" s="49" t="s">
        <v>43</v>
      </c>
      <c r="O14" s="49">
        <v>4</v>
      </c>
      <c r="Q14" s="26">
        <f t="shared" si="0"/>
        <v>14</v>
      </c>
    </row>
    <row r="15" spans="1:29">
      <c r="B15" s="30"/>
      <c r="C15" s="37"/>
      <c r="E15" s="12"/>
      <c r="F15" s="13"/>
      <c r="G15" s="12"/>
      <c r="H15" s="13"/>
      <c r="N15" s="49" t="s">
        <v>44</v>
      </c>
      <c r="O15" s="49">
        <v>8</v>
      </c>
      <c r="Q15" s="26">
        <f t="shared" si="0"/>
        <v>15</v>
      </c>
    </row>
    <row r="16" spans="1:29">
      <c r="A16" s="90" t="s">
        <v>95</v>
      </c>
      <c r="B16" s="27" t="s">
        <v>18</v>
      </c>
      <c r="C16" s="34" t="s">
        <v>127</v>
      </c>
      <c r="D16" s="25"/>
      <c r="E16" s="46" t="s">
        <v>36</v>
      </c>
      <c r="F16" s="41">
        <f>F11*F13</f>
        <v>18688</v>
      </c>
      <c r="G16" s="41">
        <f>G11*G13</f>
        <v>27648</v>
      </c>
      <c r="H16" s="41">
        <f>H11*H13</f>
        <v>6000</v>
      </c>
      <c r="I16" s="45">
        <f>IF(C$16=F$9,F16,IF(C$16=G$9,G16,H16))</f>
        <v>6000</v>
      </c>
      <c r="K16" s="5" t="s">
        <v>3</v>
      </c>
      <c r="L16" s="5" t="s">
        <v>23</v>
      </c>
      <c r="N16" s="49" t="s">
        <v>180</v>
      </c>
      <c r="O16" s="49">
        <f>IF(C17=L23,O14,O15)</f>
        <v>4</v>
      </c>
      <c r="Q16" s="26">
        <f t="shared" si="0"/>
        <v>16</v>
      </c>
    </row>
    <row r="17" spans="1:17">
      <c r="A17" s="98"/>
      <c r="B17" s="28" t="s">
        <v>15</v>
      </c>
      <c r="C17" s="35" t="s">
        <v>27</v>
      </c>
      <c r="D17" s="25"/>
      <c r="E17" s="46" t="s">
        <v>37</v>
      </c>
      <c r="F17" s="41">
        <f>F10*$O9</f>
        <v>5476083302.3999996</v>
      </c>
      <c r="G17" s="41">
        <f>G10*$O9</f>
        <v>16320875724.799999</v>
      </c>
      <c r="H17" s="41">
        <f>H10*$O9</f>
        <v>41875931136</v>
      </c>
      <c r="I17" s="45">
        <f>IF(C$16=F$9,F17,IF(C$16=G$9,G17,H17))</f>
        <v>41875931136</v>
      </c>
      <c r="K17" s="5"/>
      <c r="L17" s="5" t="s">
        <v>24</v>
      </c>
      <c r="Q17" s="26">
        <f t="shared" si="0"/>
        <v>17</v>
      </c>
    </row>
    <row r="18" spans="1:17">
      <c r="A18" s="10"/>
      <c r="B18" s="28" t="s">
        <v>7</v>
      </c>
      <c r="C18" s="35" t="s">
        <v>8</v>
      </c>
      <c r="D18" s="25"/>
      <c r="E18" s="46" t="s">
        <v>40</v>
      </c>
      <c r="F18" s="41">
        <f>F12*$O9/F11</f>
        <v>33285996544</v>
      </c>
      <c r="G18" s="41">
        <f>G12*$O9/G11</f>
        <v>75161927680</v>
      </c>
      <c r="H18" s="41">
        <f>H12*$O9/H11</f>
        <v>61847529062.400002</v>
      </c>
      <c r="I18" s="45">
        <f>IF(C$16=F$9,F18,IF(C$16=G$9,G18,H18))</f>
        <v>61847529062.400002</v>
      </c>
      <c r="N18" s="49" t="s">
        <v>49</v>
      </c>
      <c r="O18" s="49">
        <v>8</v>
      </c>
      <c r="Q18" s="26">
        <f t="shared" si="0"/>
        <v>18</v>
      </c>
    </row>
    <row r="19" spans="1:17">
      <c r="A19" s="10"/>
      <c r="B19" s="28" t="s">
        <v>41</v>
      </c>
      <c r="C19" s="35">
        <v>73</v>
      </c>
      <c r="D19" s="25"/>
      <c r="K19" s="5" t="s">
        <v>18</v>
      </c>
      <c r="L19" s="5" t="s">
        <v>16</v>
      </c>
      <c r="Q19" s="26">
        <f t="shared" si="0"/>
        <v>19</v>
      </c>
    </row>
    <row r="20" spans="1:17">
      <c r="A20" s="10"/>
      <c r="B20" s="28" t="s">
        <v>9</v>
      </c>
      <c r="C20" s="35">
        <v>1</v>
      </c>
      <c r="D20" s="25"/>
      <c r="E20" s="1" t="s">
        <v>110</v>
      </c>
      <c r="F20" s="3">
        <f>100000000/30</f>
        <v>3333333.3333333335</v>
      </c>
      <c r="G20" s="3">
        <v>300000</v>
      </c>
      <c r="H20" s="3"/>
      <c r="I20" s="45">
        <f>IF(C$16=F$9,F20,IF(C$16=G$9,G20,H20))</f>
        <v>0</v>
      </c>
      <c r="K20" s="5"/>
      <c r="L20" s="5" t="s">
        <v>17</v>
      </c>
      <c r="N20" s="49" t="s">
        <v>45</v>
      </c>
      <c r="O20" s="49">
        <v>2</v>
      </c>
      <c r="Q20" s="26">
        <f t="shared" si="0"/>
        <v>20</v>
      </c>
    </row>
    <row r="21" spans="1:17">
      <c r="A21" s="10"/>
      <c r="B21" s="28" t="s">
        <v>10</v>
      </c>
      <c r="C21" s="35">
        <v>81</v>
      </c>
      <c r="D21" s="25"/>
      <c r="K21" s="5"/>
      <c r="L21" s="5" t="s">
        <v>127</v>
      </c>
      <c r="N21" s="49" t="s">
        <v>46</v>
      </c>
      <c r="O21" s="49">
        <v>1</v>
      </c>
      <c r="Q21" s="26">
        <f t="shared" si="0"/>
        <v>21</v>
      </c>
    </row>
    <row r="22" spans="1:17">
      <c r="A22" s="10"/>
      <c r="B22" s="28" t="s">
        <v>11</v>
      </c>
      <c r="C22" s="35" t="s">
        <v>129</v>
      </c>
      <c r="D22" s="25"/>
      <c r="E22" s="1" t="s">
        <v>94</v>
      </c>
      <c r="F22" s="2">
        <f>IF(N38=1,F23,F27)</f>
        <v>2.0579999999999998</v>
      </c>
      <c r="G22" s="2">
        <f>IF($O$38=1,G23,G27)</f>
        <v>132.9127</v>
      </c>
      <c r="H22" s="2">
        <f>IF($O$38=1,H23,H27)</f>
        <v>843.75</v>
      </c>
      <c r="I22" s="44">
        <f>IF(C$16=F$9,F22,IF(C$16=G$9,G22,H22))</f>
        <v>843.75</v>
      </c>
      <c r="N22" s="49" t="s">
        <v>132</v>
      </c>
      <c r="O22" s="49">
        <f>(1/O12)</f>
        <v>0.125</v>
      </c>
      <c r="Q22" s="26">
        <f t="shared" si="0"/>
        <v>22</v>
      </c>
    </row>
    <row r="23" spans="1:17">
      <c r="A23" s="10"/>
      <c r="B23" s="28" t="s">
        <v>12</v>
      </c>
      <c r="C23" s="35">
        <v>2</v>
      </c>
      <c r="D23" s="25"/>
      <c r="E23" s="4" t="s">
        <v>92</v>
      </c>
      <c r="F23" s="6">
        <f>IF(O38=1,F24,F25)</f>
        <v>9.1080000000000005</v>
      </c>
      <c r="G23" s="6">
        <f>IF($O$34=1,G24,IF($O$34=2,G25,G26))</f>
        <v>295.63299999999998</v>
      </c>
      <c r="H23" s="6">
        <f>IF($O$34=1,H24,IF($O$34=2,H25,H26))</f>
        <v>1687.5</v>
      </c>
      <c r="I23" s="11">
        <f>IF(C$16=F$9,F23,IF(C$16=G$9,G23,H23))</f>
        <v>1687.5</v>
      </c>
      <c r="K23" s="5" t="s">
        <v>15</v>
      </c>
      <c r="L23" s="5" t="s">
        <v>27</v>
      </c>
      <c r="N23" s="49" t="s">
        <v>47</v>
      </c>
      <c r="O23" s="49">
        <f>IF(C22=L31,O20,IF(C22=L32,O21,IF(C22=L33,O22,0)))</f>
        <v>0.125</v>
      </c>
      <c r="Q23" s="26">
        <f t="shared" si="0"/>
        <v>23</v>
      </c>
    </row>
    <row r="24" spans="1:17">
      <c r="A24" s="10"/>
      <c r="B24" s="28" t="s">
        <v>13</v>
      </c>
      <c r="C24" s="35">
        <v>1</v>
      </c>
      <c r="D24" s="25"/>
      <c r="E24" s="4" t="s">
        <v>88</v>
      </c>
      <c r="F24" s="6">
        <f>IF(C17=L23,4.289,1.697)</f>
        <v>4.2889999999999997</v>
      </c>
      <c r="G24" s="6">
        <f>IF($C$17=$L$23,94.768,29.586)</f>
        <v>94.768000000000001</v>
      </c>
      <c r="H24" s="6"/>
      <c r="I24" s="11">
        <f>IF(C$16=F$9,F24,IF(C$16=G$9,G24,H24))</f>
        <v>0</v>
      </c>
      <c r="K24" s="5"/>
      <c r="L24" s="5" t="s">
        <v>28</v>
      </c>
      <c r="Q24" s="26">
        <f t="shared" si="0"/>
        <v>24</v>
      </c>
    </row>
    <row r="25" spans="1:17">
      <c r="A25" s="10"/>
      <c r="B25" s="81" t="s">
        <v>14</v>
      </c>
      <c r="C25" s="82">
        <v>64</v>
      </c>
      <c r="D25" s="25"/>
      <c r="E25" s="4" t="s">
        <v>89</v>
      </c>
      <c r="F25" s="6">
        <f>9.108</f>
        <v>9.1080000000000005</v>
      </c>
      <c r="G25" s="6">
        <f>IF($O$37=1,295.633,IF($O$33=1,71.587,104.37))</f>
        <v>295.63299999999998</v>
      </c>
      <c r="H25" s="6"/>
      <c r="I25" s="11">
        <f>IF(C$16=F$9,F25,IF(C$16=G$9,G25,H25))</f>
        <v>0</v>
      </c>
      <c r="N25" s="49" t="s">
        <v>50</v>
      </c>
      <c r="O25" s="49">
        <f>O15</f>
        <v>8</v>
      </c>
      <c r="Q25" s="26">
        <f t="shared" si="0"/>
        <v>25</v>
      </c>
    </row>
    <row r="26" spans="1:17">
      <c r="A26" s="10"/>
      <c r="B26" s="83" t="s">
        <v>131</v>
      </c>
      <c r="C26" s="84">
        <v>400</v>
      </c>
      <c r="D26" s="25"/>
      <c r="E26" s="4" t="s">
        <v>133</v>
      </c>
      <c r="G26" s="6">
        <f>IF($O$37=1,295.633,IF($O$33=1,71.587,104.37))</f>
        <v>295.63299999999998</v>
      </c>
      <c r="H26" s="6">
        <v>1687.5</v>
      </c>
      <c r="I26" s="11">
        <f>IF(C$16=F$9,F26,IF(C$16=G$9,G26,H26))</f>
        <v>1687.5</v>
      </c>
      <c r="K26" s="5" t="s">
        <v>7</v>
      </c>
      <c r="L26" s="5" t="s">
        <v>25</v>
      </c>
      <c r="N26" s="49" t="s">
        <v>51</v>
      </c>
      <c r="O26" s="49">
        <f>2*O15</f>
        <v>16</v>
      </c>
      <c r="Q26" s="26">
        <f t="shared" si="0"/>
        <v>26</v>
      </c>
    </row>
    <row r="27" spans="1:17">
      <c r="B27" s="30"/>
      <c r="C27" s="37"/>
      <c r="E27" s="4" t="s">
        <v>93</v>
      </c>
      <c r="F27" s="6">
        <f>IF(O34=1,F28,F29)</f>
        <v>2.0579999999999998</v>
      </c>
      <c r="G27" s="6">
        <f>IF($O$34=1,G28,IF($O$35=1,G29,G30))</f>
        <v>132.9127</v>
      </c>
      <c r="H27" s="6">
        <f>IF($O$34=1,H28,IF($O$35=1,H29,H30))</f>
        <v>843.75</v>
      </c>
      <c r="I27" s="11">
        <f>IF(C$16=F$9,F27,IF(C$16=G$9,G27,H27))</f>
        <v>843.75</v>
      </c>
      <c r="K27" s="5"/>
      <c r="L27" s="5" t="s">
        <v>8</v>
      </c>
      <c r="N27" s="49" t="s">
        <v>83</v>
      </c>
      <c r="O27" s="49">
        <f>IF(C10=L9,O25,O26)</f>
        <v>16</v>
      </c>
      <c r="Q27" s="26">
        <f t="shared" si="0"/>
        <v>27</v>
      </c>
    </row>
    <row r="28" spans="1:17">
      <c r="A28" s="10"/>
      <c r="B28" s="80" t="s">
        <v>124</v>
      </c>
      <c r="C28" s="79">
        <v>0.1</v>
      </c>
      <c r="D28" s="25"/>
      <c r="E28" s="4" t="s">
        <v>90</v>
      </c>
      <c r="F28" s="6">
        <f>IF(C17=L23,5.695,2.445)</f>
        <v>5.6950000000000003</v>
      </c>
      <c r="G28" s="6">
        <f>IF($C$17=$L$23,72.499,27.755)</f>
        <v>72.498999999999995</v>
      </c>
      <c r="H28" s="6"/>
      <c r="I28" s="11">
        <f>IF(C$16=F$9,F28,IF(C$16=G$9,G28,H28))</f>
        <v>0</v>
      </c>
      <c r="K28" s="5"/>
      <c r="L28" s="5" t="s">
        <v>26</v>
      </c>
      <c r="Q28" s="26">
        <f t="shared" si="0"/>
        <v>28</v>
      </c>
    </row>
    <row r="29" spans="1:17">
      <c r="B29" s="13" t="s">
        <v>126</v>
      </c>
      <c r="C29" s="76">
        <f>O63*10*C14</f>
        <v>0.60076799999999997</v>
      </c>
      <c r="E29" s="4" t="s">
        <v>91</v>
      </c>
      <c r="F29" s="6">
        <f>2.058</f>
        <v>2.0579999999999998</v>
      </c>
      <c r="G29" s="6">
        <f>IF($O$37=1,132.9127,IF($O$33=1,21.163,23.672))</f>
        <v>132.9127</v>
      </c>
      <c r="H29" s="6"/>
      <c r="I29" s="11">
        <f>IF(C$16=F$9,F29,IF(C$16=G$9,G29,H29))</f>
        <v>0</v>
      </c>
      <c r="N29" s="49" t="s">
        <v>100</v>
      </c>
      <c r="O29" s="49">
        <f>IF(C11=L12,O16,IF(O37=1,O23,2*O15))</f>
        <v>0.125</v>
      </c>
      <c r="Q29" s="26">
        <f t="shared" si="0"/>
        <v>29</v>
      </c>
    </row>
    <row r="30" spans="1:17">
      <c r="B30" s="2" t="s">
        <v>125</v>
      </c>
      <c r="C30" s="38">
        <f>C29/C28</f>
        <v>6.0076799999999997</v>
      </c>
      <c r="E30" s="4" t="s">
        <v>134</v>
      </c>
      <c r="G30" s="6">
        <f>IF($O$37=1,132.9127,IF($O$33=1,21.163,23.672))</f>
        <v>132.9127</v>
      </c>
      <c r="H30" s="6">
        <v>843.75</v>
      </c>
      <c r="I30" s="11">
        <f>IF(C$16=F$9,F30,IF(C$16=G$9,G30,H30))</f>
        <v>843.75</v>
      </c>
      <c r="K30" s="5" t="s">
        <v>11</v>
      </c>
      <c r="L30" s="49" t="s">
        <v>32</v>
      </c>
      <c r="N30" s="49" t="s">
        <v>101</v>
      </c>
      <c r="O30" s="49">
        <f>IF(C11=L12,O16,IF(O37=1,4,2*O15))</f>
        <v>4</v>
      </c>
      <c r="Q30" s="26">
        <f t="shared" si="0"/>
        <v>30</v>
      </c>
    </row>
    <row r="31" spans="1:17">
      <c r="B31" s="2" t="s">
        <v>121</v>
      </c>
      <c r="C31" s="3">
        <f>CEILING(O61,POWER(2,O40))/POWER(2,O40)-1</f>
        <v>8388607</v>
      </c>
      <c r="K31" s="5"/>
      <c r="L31" s="49" t="s">
        <v>33</v>
      </c>
      <c r="Q31" s="26">
        <f t="shared" si="0"/>
        <v>31</v>
      </c>
    </row>
    <row r="32" spans="1:17">
      <c r="B32" s="2" t="s">
        <v>125</v>
      </c>
      <c r="C32" s="78">
        <f>C14/C31</f>
        <v>0.12016297819173076</v>
      </c>
      <c r="K32" s="5"/>
      <c r="L32" s="49" t="s">
        <v>34</v>
      </c>
      <c r="N32" s="49" t="s">
        <v>61</v>
      </c>
      <c r="O32" s="49">
        <f>IF(C20&gt;1,1,0)</f>
        <v>0</v>
      </c>
      <c r="Q32" s="26">
        <f t="shared" si="0"/>
        <v>32</v>
      </c>
    </row>
    <row r="33" spans="2:17">
      <c r="B33" s="2" t="s">
        <v>96</v>
      </c>
      <c r="C33" s="2">
        <f>IF(C16=L19,0,O42)</f>
        <v>5</v>
      </c>
      <c r="K33" s="6"/>
      <c r="L33" s="49" t="s">
        <v>129</v>
      </c>
      <c r="N33" s="49" t="s">
        <v>66</v>
      </c>
      <c r="O33" s="49">
        <f>IF(C12=L17,1,0)</f>
        <v>1</v>
      </c>
      <c r="Q33" s="26">
        <f t="shared" si="0"/>
        <v>33</v>
      </c>
    </row>
    <row r="34" spans="2:17">
      <c r="B34" s="40" t="s">
        <v>86</v>
      </c>
      <c r="C34" s="41">
        <f>IF(O38=1,1+FLOOR(C19,2)/2,(C19+1)*(C19+2)/2)</f>
        <v>2775</v>
      </c>
      <c r="L34" s="49" t="s">
        <v>130</v>
      </c>
      <c r="N34" s="49" t="s">
        <v>77</v>
      </c>
      <c r="O34" s="49">
        <f>IF(C11=L12,1,0)</f>
        <v>0</v>
      </c>
      <c r="Q34" s="26">
        <f t="shared" si="0"/>
        <v>34</v>
      </c>
    </row>
    <row r="35" spans="2:17">
      <c r="B35" s="2" t="s">
        <v>125</v>
      </c>
      <c r="C35" s="38">
        <f>C24/C34</f>
        <v>3.6036036036036037E-4</v>
      </c>
      <c r="L35" s="49"/>
      <c r="N35" s="49" t="s">
        <v>72</v>
      </c>
      <c r="O35" s="49">
        <f>IF(C11=L13,1,0)</f>
        <v>0</v>
      </c>
      <c r="Q35" s="26">
        <f t="shared" si="0"/>
        <v>35</v>
      </c>
    </row>
    <row r="36" spans="2:17">
      <c r="B36" s="40" t="s">
        <v>84</v>
      </c>
      <c r="C36" s="40">
        <f>IF(O38=1,1,O49)</f>
        <v>1E+30</v>
      </c>
      <c r="L36" s="49"/>
      <c r="N36" s="49" t="s">
        <v>135</v>
      </c>
      <c r="O36" s="49">
        <f>IF(C11=L14,1,0)</f>
        <v>1</v>
      </c>
      <c r="Q36" s="26">
        <f t="shared" si="0"/>
        <v>36</v>
      </c>
    </row>
    <row r="37" spans="2:17">
      <c r="B37" s="2" t="s">
        <v>125</v>
      </c>
      <c r="C37" s="38">
        <f>C25/C36</f>
        <v>6.3999999999999994E-29</v>
      </c>
      <c r="L37" s="49"/>
      <c r="N37" s="49" t="s">
        <v>75</v>
      </c>
      <c r="O37" s="49">
        <f>IF(AND(C22=L30,O34=0),0,1)</f>
        <v>1</v>
      </c>
      <c r="Q37" s="26">
        <f t="shared" si="0"/>
        <v>37</v>
      </c>
    </row>
    <row r="38" spans="2:17">
      <c r="B38" s="2" t="s">
        <v>98</v>
      </c>
      <c r="C38" s="56">
        <f>IF(O38=1,(1+FLOOR(C19,2)/2)/C21/C24,(C19+1)*(C19+2)/C21/C24)</f>
        <v>68.518518518518519</v>
      </c>
      <c r="L38" s="49"/>
      <c r="N38" s="49" t="s">
        <v>81</v>
      </c>
      <c r="O38" s="51">
        <f>IF(C10=L9,1,0)</f>
        <v>0</v>
      </c>
      <c r="Q38" s="26">
        <f t="shared" si="0"/>
        <v>38</v>
      </c>
    </row>
    <row r="39" spans="2:17">
      <c r="B39" s="2" t="s">
        <v>99</v>
      </c>
      <c r="C39" s="38">
        <f>(CEILING(C38,1)-C38)/C38</f>
        <v>7.0270270270270194E-3</v>
      </c>
      <c r="L39" s="49"/>
      <c r="N39" s="49" t="s">
        <v>82</v>
      </c>
      <c r="O39" s="51">
        <f>IF(C10=L10,1,0)</f>
        <v>1</v>
      </c>
      <c r="Q39" s="26">
        <f t="shared" si="0"/>
        <v>39</v>
      </c>
    </row>
    <row r="40" spans="2:17">
      <c r="B40" s="2" t="s">
        <v>114</v>
      </c>
      <c r="C40" s="56">
        <f>IF(O39=1,C78/6/C25,"N/A")</f>
        <v>24</v>
      </c>
      <c r="N40" s="49" t="s">
        <v>6</v>
      </c>
      <c r="O40" s="49">
        <f>O38*2+O39*3</f>
        <v>3</v>
      </c>
      <c r="Q40" s="26">
        <f t="shared" si="0"/>
        <v>40</v>
      </c>
    </row>
    <row r="41" spans="2:17">
      <c r="N41" s="49" t="s">
        <v>11</v>
      </c>
      <c r="O41" s="49">
        <f>IF(C22=L30,0,IF(C22=L31,1,2))</f>
        <v>2</v>
      </c>
      <c r="Q41" s="26">
        <f t="shared" si="0"/>
        <v>41</v>
      </c>
    </row>
    <row r="42" spans="2:17">
      <c r="B42" s="2" t="s">
        <v>60</v>
      </c>
      <c r="C42" s="3">
        <f>O37*2*(CEILING(C79,C23)/C23)*(2*C77)*O23</f>
        <v>2322432000</v>
      </c>
      <c r="N42" s="49" t="s">
        <v>97</v>
      </c>
      <c r="O42" s="49">
        <v>5</v>
      </c>
      <c r="Q42" s="26">
        <f t="shared" si="0"/>
        <v>42</v>
      </c>
    </row>
    <row r="43" spans="2:17">
      <c r="B43" s="2" t="s">
        <v>57</v>
      </c>
      <c r="C43" s="3" t="str">
        <f>IF(O38=1,L108,"N/A")</f>
        <v>N/A</v>
      </c>
      <c r="N43" s="49" t="s">
        <v>136</v>
      </c>
      <c r="O43" s="49">
        <f>O37</f>
        <v>1</v>
      </c>
      <c r="Q43" s="26">
        <f t="shared" si="0"/>
        <v>43</v>
      </c>
    </row>
    <row r="44" spans="2:17">
      <c r="B44" s="2" t="s">
        <v>59</v>
      </c>
      <c r="C44" s="3">
        <f>IF(O39=1,L108,"N/A")</f>
        <v>16085225664</v>
      </c>
      <c r="N44" s="49" t="s">
        <v>145</v>
      </c>
      <c r="O44" s="49">
        <v>1</v>
      </c>
      <c r="Q44" s="26">
        <f t="shared" si="0"/>
        <v>44</v>
      </c>
    </row>
    <row r="45" spans="2:17">
      <c r="B45" s="2" t="s">
        <v>58</v>
      </c>
      <c r="C45" s="3">
        <f>IF(O38=1,C43,C44)</f>
        <v>16085225664</v>
      </c>
      <c r="N45" s="49" t="s">
        <v>146</v>
      </c>
      <c r="O45" s="49">
        <v>1</v>
      </c>
      <c r="Q45" s="26">
        <f t="shared" si="0"/>
        <v>45</v>
      </c>
    </row>
    <row r="46" spans="2:17">
      <c r="B46" s="2" t="s">
        <v>70</v>
      </c>
      <c r="C46" s="38">
        <f>C45/I17</f>
        <v>0.38411625073506284</v>
      </c>
      <c r="N46" s="49" t="s">
        <v>152</v>
      </c>
      <c r="O46" s="49">
        <f>IF(AND(C22=L33, I14=750),1,0)</f>
        <v>0</v>
      </c>
      <c r="Q46" s="26">
        <f t="shared" si="0"/>
        <v>46</v>
      </c>
    </row>
    <row r="47" spans="2:17">
      <c r="B47" s="2" t="s">
        <v>119</v>
      </c>
      <c r="C47" s="38">
        <f>C45/I17</f>
        <v>0.38411625073506284</v>
      </c>
      <c r="N47" s="49" t="s">
        <v>153</v>
      </c>
      <c r="O47" s="49">
        <f>IF(AND(O37=1,C17="single"),1,0)</f>
        <v>1</v>
      </c>
      <c r="Q47" s="26">
        <f t="shared" si="0"/>
        <v>47</v>
      </c>
    </row>
    <row r="48" spans="2:17">
      <c r="Q48" s="26">
        <f t="shared" si="0"/>
        <v>48</v>
      </c>
    </row>
    <row r="49" spans="2:17">
      <c r="B49" s="2" t="s">
        <v>62</v>
      </c>
      <c r="C49" s="3" t="str">
        <f>IF(O38=1,K108,"N/A")</f>
        <v>N/A</v>
      </c>
      <c r="N49" s="49" t="s">
        <v>85</v>
      </c>
      <c r="O49" s="52">
        <v>1E+30</v>
      </c>
      <c r="Q49" s="26">
        <f t="shared" si="0"/>
        <v>49</v>
      </c>
    </row>
    <row r="50" spans="2:17">
      <c r="B50" s="2" t="s">
        <v>63</v>
      </c>
      <c r="C50" s="3">
        <f>IF(O39=1,K108,"N/A")</f>
        <v>59131383344.639999</v>
      </c>
      <c r="Q50" s="26">
        <f t="shared" si="0"/>
        <v>50</v>
      </c>
    </row>
    <row r="51" spans="2:17">
      <c r="B51" s="2" t="s">
        <v>64</v>
      </c>
      <c r="C51" s="3">
        <f>IF(O38=1,C49,C50)</f>
        <v>59131383344.639999</v>
      </c>
      <c r="D51" s="25"/>
      <c r="N51" s="49" t="s">
        <v>48</v>
      </c>
      <c r="O51" s="51">
        <f>IF(O34=1,O12*O16,2)</f>
        <v>2</v>
      </c>
      <c r="Q51" s="26">
        <f t="shared" si="0"/>
        <v>51</v>
      </c>
    </row>
    <row r="52" spans="2:17">
      <c r="B52" s="2" t="s">
        <v>71</v>
      </c>
      <c r="C52" s="38">
        <f>C51/I18</f>
        <v>0.95608319751918314</v>
      </c>
      <c r="N52" s="49" t="s">
        <v>166</v>
      </c>
      <c r="O52" s="49">
        <f>IF(O34=1,1,POWER(2,O40))</f>
        <v>8</v>
      </c>
      <c r="Q52" s="26">
        <f t="shared" si="0"/>
        <v>52</v>
      </c>
    </row>
    <row r="53" spans="2:17">
      <c r="N53" s="49" t="s">
        <v>162</v>
      </c>
      <c r="O53" s="51">
        <f>O52*O16</f>
        <v>32</v>
      </c>
      <c r="Q53" s="26">
        <f t="shared" si="0"/>
        <v>53</v>
      </c>
    </row>
    <row r="54" spans="2:17">
      <c r="B54" s="2" t="s">
        <v>102</v>
      </c>
      <c r="C54" s="3">
        <f>C19*C20*C21</f>
        <v>5913</v>
      </c>
      <c r="N54" s="49" t="s">
        <v>168</v>
      </c>
      <c r="O54" s="49">
        <f>IF(O34=1,O16,O15*POWER(2,2)/2)</f>
        <v>16</v>
      </c>
      <c r="Q54" s="26">
        <f t="shared" si="0"/>
        <v>54</v>
      </c>
    </row>
    <row r="55" spans="2:17">
      <c r="B55" s="2" t="s">
        <v>103</v>
      </c>
      <c r="C55" s="32">
        <f>CEILING(C54,I11)</f>
        <v>5916</v>
      </c>
      <c r="N55" s="49" t="s">
        <v>154</v>
      </c>
      <c r="O55" s="51">
        <f>O18</f>
        <v>8</v>
      </c>
      <c r="Q55" s="26">
        <f t="shared" si="0"/>
        <v>55</v>
      </c>
    </row>
    <row r="56" spans="2:17">
      <c r="B56" s="74" t="s">
        <v>104</v>
      </c>
      <c r="C56" s="77">
        <f>C55/I11</f>
        <v>1479</v>
      </c>
      <c r="N56" s="49" t="s">
        <v>163</v>
      </c>
      <c r="O56" s="51">
        <f>O27</f>
        <v>16</v>
      </c>
      <c r="Q56" s="26">
        <f t="shared" si="0"/>
        <v>56</v>
      </c>
    </row>
    <row r="57" spans="2:17">
      <c r="B57" s="2" t="s">
        <v>117</v>
      </c>
      <c r="C57" s="76">
        <f>C56/I13</f>
        <v>0.98599999999999999</v>
      </c>
      <c r="N57" s="49" t="s">
        <v>164</v>
      </c>
      <c r="O57" s="51">
        <f>IF(O33=1,O27,0)</f>
        <v>16</v>
      </c>
      <c r="Q57" s="26">
        <f t="shared" si="0"/>
        <v>57</v>
      </c>
    </row>
    <row r="58" spans="2:17">
      <c r="B58" s="2" t="s">
        <v>116</v>
      </c>
      <c r="C58" s="38">
        <f>C57/0.2</f>
        <v>4.93</v>
      </c>
      <c r="N58" s="49" t="s">
        <v>169</v>
      </c>
      <c r="O58" s="51" t="str">
        <f>IF(O43=0,O53+O55+O56+O57,"N/A")</f>
        <v>N/A</v>
      </c>
      <c r="Q58" s="26">
        <f t="shared" si="0"/>
        <v>58</v>
      </c>
    </row>
    <row r="59" spans="2:17">
      <c r="Q59" s="26">
        <f t="shared" si="0"/>
        <v>59</v>
      </c>
    </row>
    <row r="60" spans="2:17">
      <c r="B60" s="2" t="s">
        <v>73</v>
      </c>
      <c r="C60" s="3">
        <f>IF(O37=1,CEILING(C79,C23)/C23,IF(O35=0,C79,CEILING(C79,64)/64))</f>
        <v>504000</v>
      </c>
      <c r="N60" s="49" t="s">
        <v>122</v>
      </c>
      <c r="O60" s="49">
        <v>26</v>
      </c>
      <c r="Q60" s="26">
        <f t="shared" si="0"/>
        <v>60</v>
      </c>
    </row>
    <row r="61" spans="2:17">
      <c r="B61" s="2" t="s">
        <v>74</v>
      </c>
      <c r="C61" s="3">
        <f>C77*(1+O37)</f>
        <v>18432</v>
      </c>
      <c r="N61" s="49" t="s">
        <v>165</v>
      </c>
      <c r="O61" s="51">
        <f>POWER(2,O60)</f>
        <v>67108864</v>
      </c>
      <c r="Q61" s="26">
        <f t="shared" si="0"/>
        <v>61</v>
      </c>
    </row>
    <row r="62" spans="2:17">
      <c r="B62" s="2" t="s">
        <v>76</v>
      </c>
      <c r="C62" s="39">
        <f>MAX(C60/C61,C61/C60)</f>
        <v>27.34375</v>
      </c>
      <c r="Q62" s="26">
        <f t="shared" si="0"/>
        <v>62</v>
      </c>
    </row>
    <row r="63" spans="2:17">
      <c r="B63" s="2" t="s">
        <v>105</v>
      </c>
      <c r="C63" s="3">
        <f>2*C60*C61*O29+C61*C61*O30</f>
        <v>3681386496</v>
      </c>
      <c r="N63" s="49" t="s">
        <v>123</v>
      </c>
      <c r="O63" s="49">
        <f>IF(C17=L23,0.0000000596,0.000000000000000111)</f>
        <v>5.9599999999999998E-8</v>
      </c>
      <c r="Q63" s="26">
        <f t="shared" si="0"/>
        <v>63</v>
      </c>
    </row>
    <row r="64" spans="2:17">
      <c r="Q64" s="26">
        <f t="shared" si="0"/>
        <v>64</v>
      </c>
    </row>
    <row r="65" spans="1:17">
      <c r="B65" s="2" t="s">
        <v>78</v>
      </c>
      <c r="C65" s="3" t="str">
        <f>IF(O38=1,CEILING(CEILING(CEILING(C19+1,2)/2,C21)/C21,C24)/C24,"N/A")</f>
        <v>N/A</v>
      </c>
      <c r="N65" s="49" t="s">
        <v>167</v>
      </c>
      <c r="O65" s="49">
        <f>IF(O43=0,1,O52)</f>
        <v>8</v>
      </c>
      <c r="Q65" s="26">
        <f t="shared" si="0"/>
        <v>65</v>
      </c>
    </row>
    <row r="66" spans="1:17">
      <c r="B66" s="2" t="s">
        <v>79</v>
      </c>
      <c r="C66" s="3">
        <f>IF(O39=1,CEILING((C19+1)*(C19+2),C21*C24)/(C21*C24),"N/A")</f>
        <v>69</v>
      </c>
      <c r="N66" s="49" t="s">
        <v>177</v>
      </c>
      <c r="O66" s="49">
        <f>IF(O43=0,O58,O55+O30)</f>
        <v>12</v>
      </c>
      <c r="Q66" s="26">
        <f t="shared" si="0"/>
        <v>66</v>
      </c>
    </row>
    <row r="67" spans="1:17">
      <c r="B67" s="2" t="s">
        <v>80</v>
      </c>
      <c r="C67" s="3">
        <f>IF(O39=1,C84,"N/A")</f>
        <v>24</v>
      </c>
      <c r="N67" s="49" t="s">
        <v>175</v>
      </c>
      <c r="O67" s="49">
        <f>O52/O65</f>
        <v>1</v>
      </c>
      <c r="Q67" s="26">
        <f t="shared" ref="Q67:Q90" si="2">Q66+1</f>
        <v>67</v>
      </c>
    </row>
    <row r="68" spans="1:17">
      <c r="D68" s="25"/>
      <c r="Q68" s="26">
        <f t="shared" si="2"/>
        <v>68</v>
      </c>
    </row>
    <row r="69" spans="1:17">
      <c r="B69" s="2" t="s">
        <v>87</v>
      </c>
      <c r="C69" s="42">
        <f>IF(O38=1,C14*C13*C13/2,C14*C13*C13*C13/6)</f>
        <v>5.1157022628460364E+22</v>
      </c>
      <c r="Q69" s="26">
        <f t="shared" si="2"/>
        <v>69</v>
      </c>
    </row>
    <row r="70" spans="1:17">
      <c r="B70" s="26" t="s">
        <v>107</v>
      </c>
      <c r="C70" s="53">
        <f>I22*1000000000000000</f>
        <v>8.4375E+17</v>
      </c>
      <c r="Q70" s="26">
        <f t="shared" si="2"/>
        <v>70</v>
      </c>
    </row>
    <row r="71" spans="1:17">
      <c r="B71" s="55" t="s">
        <v>106</v>
      </c>
      <c r="C71" s="54">
        <f>C47</f>
        <v>0.38411625073506284</v>
      </c>
      <c r="Q71" s="26">
        <f t="shared" si="2"/>
        <v>71</v>
      </c>
    </row>
    <row r="72" spans="1:17">
      <c r="A72" s="99" t="s">
        <v>118</v>
      </c>
      <c r="B72" s="13" t="s">
        <v>108</v>
      </c>
      <c r="C72" s="75">
        <f>C70*C71</f>
        <v>3.2409808655770925E+17</v>
      </c>
      <c r="Q72" s="26">
        <f t="shared" si="2"/>
        <v>72</v>
      </c>
    </row>
    <row r="73" spans="1:17">
      <c r="A73" s="100"/>
      <c r="B73" s="74" t="s">
        <v>109</v>
      </c>
      <c r="C73" s="114">
        <f>C69/C72/3600*I13</f>
        <v>65768.441651679954</v>
      </c>
      <c r="E73" s="47"/>
      <c r="Q73" s="26">
        <f t="shared" si="2"/>
        <v>73</v>
      </c>
    </row>
    <row r="74" spans="1:17">
      <c r="B74" s="2" t="s">
        <v>111</v>
      </c>
      <c r="C74" s="76" t="e">
        <f>C73/I20</f>
        <v>#DIV/0!</v>
      </c>
      <c r="Q74" s="26">
        <f t="shared" si="2"/>
        <v>74</v>
      </c>
    </row>
    <row r="75" spans="1:17">
      <c r="C75" s="1"/>
      <c r="G75" s="48"/>
      <c r="Q75" s="26">
        <f t="shared" si="2"/>
        <v>75</v>
      </c>
    </row>
    <row r="76" spans="1:17">
      <c r="A76" s="1" t="s">
        <v>178</v>
      </c>
      <c r="Q76" s="26">
        <f t="shared" si="2"/>
        <v>76</v>
      </c>
    </row>
    <row r="77" spans="1:17">
      <c r="A77" s="10"/>
      <c r="B77" s="2" t="s">
        <v>52</v>
      </c>
      <c r="C77" s="3">
        <f>CEILING(CEILING(C13,C19)/C19,IF(O39=1,6,1))</f>
        <v>9216</v>
      </c>
      <c r="D77" s="25"/>
      <c r="Q77" s="26">
        <f t="shared" si="2"/>
        <v>77</v>
      </c>
    </row>
    <row r="78" spans="1:17">
      <c r="B78" s="2" t="s">
        <v>115</v>
      </c>
      <c r="C78" s="3">
        <f>IF(AND(O37=0,O39=0),C77,IF(O37=0,CEILING(C77,6),IF(O39=0,CEILING(C77,4),CEILING(C77,24))))</f>
        <v>9216</v>
      </c>
      <c r="Q78" s="26">
        <f t="shared" si="2"/>
        <v>78</v>
      </c>
    </row>
    <row r="79" spans="1:17">
      <c r="B79" s="2" t="s">
        <v>53</v>
      </c>
      <c r="C79" s="3">
        <f>CEILING(C14,C20)/C20</f>
        <v>1008000</v>
      </c>
      <c r="Q79" s="26">
        <f t="shared" si="2"/>
        <v>79</v>
      </c>
    </row>
    <row r="80" spans="1:17">
      <c r="Q80" s="26">
        <f t="shared" si="2"/>
        <v>80</v>
      </c>
    </row>
    <row r="81" spans="2:17">
      <c r="B81" s="2" t="s">
        <v>56</v>
      </c>
      <c r="C81" s="3">
        <f>CEILING(C79*O51,O12)/O12</f>
        <v>252000</v>
      </c>
      <c r="Q81" s="26">
        <f t="shared" si="2"/>
        <v>81</v>
      </c>
    </row>
    <row r="82" spans="2:17">
      <c r="B82" s="2" t="s">
        <v>54</v>
      </c>
      <c r="C82" s="3">
        <f>C81*C77</f>
        <v>2322432000</v>
      </c>
      <c r="Q82" s="26">
        <f t="shared" si="2"/>
        <v>82</v>
      </c>
    </row>
    <row r="83" spans="2:17">
      <c r="B83" s="2" t="s">
        <v>55</v>
      </c>
      <c r="C83" s="3">
        <f>O54*C77*C77</f>
        <v>1358954496</v>
      </c>
      <c r="Q83" s="26">
        <f t="shared" si="2"/>
        <v>83</v>
      </c>
    </row>
    <row r="84" spans="2:17">
      <c r="B84" s="2" t="s">
        <v>157</v>
      </c>
      <c r="C84" s="3">
        <f>CEILING(C77,6*C25)/(6*C25)</f>
        <v>24</v>
      </c>
      <c r="Q84" s="26">
        <f t="shared" si="2"/>
        <v>84</v>
      </c>
    </row>
    <row r="85" spans="2:17">
      <c r="B85" s="112" t="s">
        <v>158</v>
      </c>
      <c r="C85" s="113">
        <f>O66*C77*C77*C84</f>
        <v>24461180928</v>
      </c>
      <c r="E85" s="115" t="s">
        <v>181</v>
      </c>
      <c r="Q85" s="26">
        <f t="shared" si="2"/>
        <v>85</v>
      </c>
    </row>
    <row r="86" spans="2:17">
      <c r="B86" s="2" t="s">
        <v>65</v>
      </c>
      <c r="C86" s="3">
        <f>C77*O16*(1+O32)*(1+O33)</f>
        <v>73728</v>
      </c>
      <c r="Q86" s="26">
        <f t="shared" si="2"/>
        <v>86</v>
      </c>
    </row>
    <row r="87" spans="2:17">
      <c r="B87" s="112" t="s">
        <v>68</v>
      </c>
      <c r="C87" s="113" t="str">
        <f>IF(O38=1,C83*C65/C26,"N/A")</f>
        <v>N/A</v>
      </c>
      <c r="E87" s="115" t="s">
        <v>181</v>
      </c>
      <c r="Q87" s="26">
        <f t="shared" si="2"/>
        <v>87</v>
      </c>
    </row>
    <row r="88" spans="2:17">
      <c r="B88" s="112" t="s">
        <v>69</v>
      </c>
      <c r="C88" s="113">
        <f>IF(O39=1,C85*C66/C26,"N/A")</f>
        <v>4219553710.0799999</v>
      </c>
      <c r="E88" s="115" t="s">
        <v>181</v>
      </c>
      <c r="Q88" s="26">
        <f t="shared" si="2"/>
        <v>88</v>
      </c>
    </row>
    <row r="89" spans="2:17">
      <c r="B89" s="112" t="s">
        <v>67</v>
      </c>
      <c r="C89" s="113">
        <f>IF(O38=1,C87,C88)</f>
        <v>4219553710.0799999</v>
      </c>
      <c r="E89" s="115" t="s">
        <v>181</v>
      </c>
      <c r="Q89" s="26">
        <f t="shared" si="2"/>
        <v>89</v>
      </c>
    </row>
    <row r="90" spans="2:17">
      <c r="B90" s="2" t="s">
        <v>155</v>
      </c>
      <c r="C90" s="3" t="str">
        <f>IF(O38=1,C65*C78*C78,"N/A")</f>
        <v>N/A</v>
      </c>
      <c r="Q90" s="26">
        <f t="shared" si="2"/>
        <v>90</v>
      </c>
    </row>
    <row r="91" spans="2:17">
      <c r="B91" s="2" t="s">
        <v>156</v>
      </c>
      <c r="C91" s="3">
        <f>IF(O39=1,C84*C78*C78*C66,"N/A")</f>
        <v>140651790336</v>
      </c>
    </row>
    <row r="92" spans="2:17">
      <c r="B92" s="2" t="s">
        <v>170</v>
      </c>
      <c r="C92" s="3">
        <f>IF(O38=1,C90,C91)</f>
        <v>140651790336</v>
      </c>
    </row>
    <row r="93" spans="2:17">
      <c r="B93" s="2" t="s">
        <v>176</v>
      </c>
      <c r="C93" s="3">
        <f>C92*O65</f>
        <v>1125214322688</v>
      </c>
    </row>
    <row r="94" spans="2:17">
      <c r="B94" s="2" t="s">
        <v>179</v>
      </c>
      <c r="C94" s="3">
        <f>C93/C26</f>
        <v>2813035806.7199998</v>
      </c>
    </row>
    <row r="95" spans="2:17">
      <c r="B95" s="112" t="s">
        <v>159</v>
      </c>
      <c r="C95" s="113">
        <f>IF(O43=0,B92*(O53+O55),C92*O65*(O66+O55))/C26</f>
        <v>56260716134.400002</v>
      </c>
      <c r="E95" s="115" t="s">
        <v>181</v>
      </c>
    </row>
    <row r="98" spans="1:17">
      <c r="A98" s="87" t="s">
        <v>172</v>
      </c>
      <c r="F98" s="1"/>
      <c r="H98" s="1"/>
      <c r="K98" s="1"/>
      <c r="L98" s="1"/>
    </row>
    <row r="99" spans="1:17">
      <c r="A99" s="87"/>
      <c r="E99" s="89" t="s">
        <v>138</v>
      </c>
      <c r="F99" s="89" t="s">
        <v>139</v>
      </c>
      <c r="G99" s="89" t="s">
        <v>140</v>
      </c>
      <c r="H99" s="89" t="s">
        <v>148</v>
      </c>
      <c r="I99" s="89" t="s">
        <v>149</v>
      </c>
      <c r="J99" s="87"/>
      <c r="K99" s="89" t="s">
        <v>141</v>
      </c>
      <c r="L99" s="89" t="s">
        <v>142</v>
      </c>
    </row>
    <row r="100" spans="1:17">
      <c r="A100" s="85" t="s">
        <v>137</v>
      </c>
      <c r="E100" s="2">
        <v>4</v>
      </c>
      <c r="F100" s="2">
        <v>3</v>
      </c>
      <c r="G100" s="2"/>
      <c r="H100" s="3">
        <f>3 * C86</f>
        <v>221184</v>
      </c>
      <c r="I100" s="3">
        <f>H100</f>
        <v>221184</v>
      </c>
      <c r="J100" s="86"/>
      <c r="K100" s="3">
        <f>IF(O38=0,E100*C$82+F100*C$82+G100*C$83+H100,0)</f>
        <v>16257245184</v>
      </c>
      <c r="L100" s="3">
        <f>IF(O38=0,F100*C$82+G100*C$83+I100,0)</f>
        <v>6967517184</v>
      </c>
    </row>
    <row r="101" spans="1:17">
      <c r="A101" s="85" t="s">
        <v>143</v>
      </c>
      <c r="E101" s="2"/>
      <c r="G101" s="2">
        <f>2*(O32*1+1)+O34*3</f>
        <v>2</v>
      </c>
      <c r="H101" s="3">
        <f>2*(C81*IF(O44=1,1,C78))</f>
        <v>504000</v>
      </c>
      <c r="I101" s="3">
        <f>H101</f>
        <v>504000</v>
      </c>
      <c r="J101" s="86"/>
      <c r="K101" s="3">
        <f>IF(O38=0,E101*C$82+F101*C$82+G101*C$83+H101,0)</f>
        <v>2718412992</v>
      </c>
      <c r="L101" s="3">
        <f>IF(O38=0,F101*C$82+G101*C$83+I101,0)</f>
        <v>2718412992</v>
      </c>
    </row>
    <row r="102" spans="1:17">
      <c r="A102" s="85" t="s">
        <v>144</v>
      </c>
      <c r="E102" s="2"/>
      <c r="G102" s="2"/>
      <c r="H102" s="3">
        <f>IF(O45=1,C78*C78*4*(4+8),0)</f>
        <v>4076863488</v>
      </c>
      <c r="I102" s="3">
        <f>H102</f>
        <v>4076863488</v>
      </c>
      <c r="J102" s="86"/>
      <c r="K102" s="3">
        <f t="shared" ref="K102:K105" si="3">E102*C$82+F102*C$82+G102*C$83+H102</f>
        <v>4076863488</v>
      </c>
      <c r="L102" s="3">
        <f t="shared" ref="L102:L105" si="4">F102*C$82+G102*C$83+I102</f>
        <v>4076863488</v>
      </c>
    </row>
    <row r="103" spans="1:17">
      <c r="A103" s="85" t="s">
        <v>147</v>
      </c>
      <c r="E103" s="2"/>
      <c r="G103" s="2"/>
      <c r="H103" s="3"/>
      <c r="I103" s="3">
        <f>O37*(2*2*C78*C79*O29/C23+O46*C78*2*4)</f>
        <v>2322432000</v>
      </c>
      <c r="J103" s="86"/>
      <c r="K103" s="3">
        <f>E103*C$82+F103*C$82+G103*C$83+H103</f>
        <v>0</v>
      </c>
      <c r="L103" s="3">
        <f>F103*C$82+G103*C$83+I103</f>
        <v>2322432000</v>
      </c>
    </row>
    <row r="104" spans="1:17">
      <c r="A104" s="85" t="s">
        <v>150</v>
      </c>
      <c r="E104" s="2">
        <v>1</v>
      </c>
      <c r="G104" s="2"/>
      <c r="H104" s="3"/>
      <c r="I104" s="3"/>
      <c r="J104" s="86"/>
      <c r="K104" s="3">
        <f t="shared" si="3"/>
        <v>2322432000</v>
      </c>
      <c r="L104" s="3">
        <f t="shared" si="4"/>
        <v>0</v>
      </c>
    </row>
    <row r="105" spans="1:17">
      <c r="A105" s="85" t="s">
        <v>151</v>
      </c>
      <c r="G105" s="2"/>
      <c r="H105" s="3">
        <f>C94*O66+IF(O47=1,0,C92*(O56+O57))</f>
        <v>33756429680.639999</v>
      </c>
      <c r="I105" s="3"/>
      <c r="J105" s="86"/>
      <c r="K105" s="3">
        <f t="shared" si="3"/>
        <v>33756429680.639999</v>
      </c>
      <c r="L105" s="3">
        <f t="shared" si="4"/>
        <v>0</v>
      </c>
    </row>
    <row r="106" spans="1:17">
      <c r="A106" s="88" t="s">
        <v>160</v>
      </c>
      <c r="F106" s="2">
        <v>3</v>
      </c>
      <c r="G106" s="2">
        <f>2+O32*1</f>
        <v>2</v>
      </c>
      <c r="H106" s="3">
        <f>3 * C86</f>
        <v>221184</v>
      </c>
      <c r="I106" s="3">
        <f>H106</f>
        <v>221184</v>
      </c>
      <c r="J106" s="86"/>
      <c r="K106" s="3">
        <f>IF(O38=1,E106*C$82+F106*C$82+G106*C$83+H106,0)</f>
        <v>0</v>
      </c>
      <c r="L106" s="3">
        <f>IF(O38=1,F106*C$82+G106*C$83+I106,0)</f>
        <v>0</v>
      </c>
    </row>
    <row r="107" spans="1:17">
      <c r="A107" s="85"/>
      <c r="G107" s="2"/>
      <c r="H107" s="3"/>
      <c r="I107" s="3"/>
      <c r="J107" s="86"/>
      <c r="K107" s="3"/>
      <c r="L107" s="3"/>
    </row>
    <row r="108" spans="1:17" s="87" customFormat="1">
      <c r="A108" s="101" t="s">
        <v>171</v>
      </c>
      <c r="B108" s="89"/>
      <c r="C108" s="102"/>
      <c r="F108" s="89"/>
      <c r="G108" s="89"/>
      <c r="H108" s="89"/>
      <c r="I108" s="102"/>
      <c r="J108" s="103"/>
      <c r="K108" s="102">
        <f>SUM(K100:K106)</f>
        <v>59131383344.639999</v>
      </c>
      <c r="L108" s="102">
        <f>SUM(L100:L106)</f>
        <v>16085225664</v>
      </c>
      <c r="N108" s="104"/>
      <c r="O108" s="104"/>
      <c r="Q108" s="89"/>
    </row>
    <row r="109" spans="1:17">
      <c r="A109" s="85"/>
      <c r="G109" s="2"/>
      <c r="I109" s="3"/>
      <c r="J109" s="86"/>
      <c r="K109" s="3"/>
      <c r="L109" s="3"/>
    </row>
    <row r="110" spans="1:17">
      <c r="A110" s="85"/>
      <c r="G110" s="2"/>
      <c r="I110" s="3"/>
      <c r="J110" s="86"/>
      <c r="K110" s="3"/>
      <c r="L110" s="3"/>
    </row>
    <row r="111" spans="1:17">
      <c r="A111" s="85"/>
      <c r="G111" s="2"/>
      <c r="I111" s="3"/>
      <c r="J111" s="86"/>
      <c r="K111" s="3"/>
      <c r="L111" s="3"/>
    </row>
    <row r="112" spans="1:17">
      <c r="A112" s="85"/>
      <c r="G112" s="2"/>
      <c r="I112" s="3"/>
      <c r="J112" s="86"/>
      <c r="K112" s="3"/>
      <c r="L112" s="3"/>
    </row>
    <row r="113" spans="7:12">
      <c r="G113" s="2"/>
      <c r="I113" s="3"/>
      <c r="J113" s="86"/>
      <c r="K113" s="3"/>
      <c r="L113" s="3"/>
    </row>
    <row r="114" spans="7:12">
      <c r="K114" s="3"/>
    </row>
    <row r="115" spans="7:12">
      <c r="K115" s="3"/>
    </row>
  </sheetData>
  <mergeCells count="5">
    <mergeCell ref="A3:A6"/>
    <mergeCell ref="F8:H8"/>
    <mergeCell ref="A10:A11"/>
    <mergeCell ref="A16:A17"/>
    <mergeCell ref="A72:A73"/>
  </mergeCells>
  <conditionalFormatting sqref="C56">
    <cfRule type="colorScale" priority="14">
      <colorScale>
        <cfvo type="num" val="0"/>
        <cfvo type="num" val="$I$13 * 0.98"/>
        <cfvo type="num" val="$I$13"/>
        <color rgb="FF00FF01"/>
        <color rgb="FFFFFE00"/>
        <color rgb="FFFF7F82"/>
      </colorScale>
    </cfRule>
  </conditionalFormatting>
  <conditionalFormatting sqref="C45">
    <cfRule type="colorScale" priority="13">
      <colorScale>
        <cfvo type="num" val="0"/>
        <cfvo type="num" val="$I$17 * 0.95"/>
        <cfvo type="num" val="$I$17"/>
        <color rgb="FF00FF01"/>
        <color rgb="FFFFFE00"/>
        <color rgb="FFFF7F82"/>
      </colorScale>
    </cfRule>
  </conditionalFormatting>
  <conditionalFormatting sqref="C46">
    <cfRule type="colorScale" priority="12">
      <colorScale>
        <cfvo type="num" val="0"/>
        <cfvo type="num" val="0.95"/>
        <cfvo type="num" val="1"/>
        <color rgb="FF00FF01"/>
        <color rgb="FFFFFE00"/>
        <color rgb="FFFF7F82"/>
      </colorScale>
    </cfRule>
  </conditionalFormatting>
  <conditionalFormatting sqref="C52">
    <cfRule type="colorScale" priority="11">
      <colorScale>
        <cfvo type="num" val="0"/>
        <cfvo type="num" val="0.95"/>
        <cfvo type="num" val="1"/>
        <color rgb="FF00FF01"/>
        <color rgb="FFFFFE00"/>
        <color rgb="FFFF7F82"/>
      </colorScale>
    </cfRule>
  </conditionalFormatting>
  <conditionalFormatting sqref="C57">
    <cfRule type="colorScale" priority="10">
      <colorScale>
        <cfvo type="num" val="0"/>
        <cfvo type="num" val="0.98"/>
        <cfvo type="num" val="1"/>
        <color rgb="FF00FF01"/>
        <color rgb="FFFFFE00"/>
        <color rgb="FFFF7F82"/>
      </colorScale>
    </cfRule>
  </conditionalFormatting>
  <conditionalFormatting sqref="C47">
    <cfRule type="colorScale" priority="9">
      <colorScale>
        <cfvo type="num" val="0"/>
        <cfvo type="num" val="0.7"/>
        <cfvo type="num" val="1"/>
        <color rgb="FFFF7F82"/>
        <color rgb="FFFFFE00"/>
        <color rgb="FF00FF01"/>
      </colorScale>
    </cfRule>
  </conditionalFormatting>
  <conditionalFormatting sqref="C39">
    <cfRule type="colorScale" priority="8">
      <colorScale>
        <cfvo type="num" val="0"/>
        <cfvo type="num" val="0.2"/>
        <cfvo type="num" val="1"/>
        <color rgb="FF00FF01"/>
        <color rgb="FFFFFE00"/>
        <color rgb="FFFF7F82"/>
      </colorScale>
    </cfRule>
  </conditionalFormatting>
  <conditionalFormatting sqref="C65">
    <cfRule type="colorScale" priority="6">
      <colorScale>
        <cfvo type="num" val="1"/>
        <cfvo type="num" val="5"/>
        <cfvo type="num" val="20"/>
        <color rgb="FFFF7F82"/>
        <color rgb="FFFFFE00"/>
        <color rgb="FF00FF01"/>
      </colorScale>
    </cfRule>
  </conditionalFormatting>
  <conditionalFormatting sqref="C67">
    <cfRule type="colorScale" priority="5">
      <colorScale>
        <cfvo type="num" val="1"/>
        <cfvo type="num" val="5"/>
        <cfvo type="num" val="20"/>
        <color rgb="FFFF7F82"/>
        <color rgb="FFFFFE00"/>
        <color rgb="FF00FF01"/>
      </colorScale>
    </cfRule>
  </conditionalFormatting>
  <conditionalFormatting sqref="C74">
    <cfRule type="colorScale" priority="4">
      <colorScale>
        <cfvo type="num" val="0"/>
        <cfvo type="num" val="2"/>
        <cfvo type="num" val="4"/>
        <color rgb="FF00FF01"/>
        <color rgb="FFFFFE00"/>
        <color rgb="FFFF7F82"/>
      </colorScale>
    </cfRule>
  </conditionalFormatting>
  <conditionalFormatting sqref="C58">
    <cfRule type="colorScale" priority="3">
      <colorScale>
        <cfvo type="num" val="0.95"/>
        <cfvo type="num" val="1"/>
        <color rgb="FFFF7F82"/>
        <color rgb="FF00FF01"/>
      </colorScale>
    </cfRule>
  </conditionalFormatting>
  <conditionalFormatting sqref="C32">
    <cfRule type="colorScale" priority="2">
      <colorScale>
        <cfvo type="num" val="0"/>
        <cfvo type="num" val="1"/>
        <color rgb="FF00FF01"/>
        <color rgb="FFFF7F82"/>
      </colorScale>
    </cfRule>
  </conditionalFormatting>
  <conditionalFormatting sqref="C30">
    <cfRule type="colorScale" priority="1">
      <colorScale>
        <cfvo type="num" val="0"/>
        <cfvo type="num" val="100"/>
        <color rgb="FF00FF01"/>
        <color rgb="FFFF7F82"/>
      </colorScale>
    </cfRule>
  </conditionalFormatting>
  <conditionalFormatting sqref="C35">
    <cfRule type="colorScale" priority="31">
      <colorScale>
        <cfvo type="num" val="0"/>
        <cfvo type="formula" val="IF($C$35&gt;1,0.1,$O$49)"/>
        <color rgb="FF00FF01"/>
        <color rgb="FFFF7F82"/>
      </colorScale>
    </cfRule>
  </conditionalFormatting>
  <conditionalFormatting sqref="C37">
    <cfRule type="colorScale" priority="32">
      <colorScale>
        <cfvo type="num" val="0"/>
        <cfvo type="formula" val="IF($C$25&gt;$C$36,0.1,$O$49)"/>
        <color rgb="FF00FF01"/>
        <color rgb="FFFF7F82"/>
      </colorScale>
    </cfRule>
  </conditionalFormatting>
  <conditionalFormatting sqref="C33">
    <cfRule type="colorScale" priority="33">
      <colorScale>
        <cfvo type="num" val="-2"/>
        <cfvo type="formula" val="IF($O$41&gt;$C$33,-1,$O$49)"/>
        <color rgb="FF00FF01"/>
        <color rgb="FFFF7F82"/>
      </colorScale>
    </cfRule>
  </conditionalFormatting>
  <conditionalFormatting sqref="C51">
    <cfRule type="colorScale" priority="35">
      <colorScale>
        <cfvo type="num" val="0"/>
        <cfvo type="num" val="$I$18 * 0.95"/>
        <cfvo type="num" val="$I$18"/>
        <color rgb="FF00FF01"/>
        <color rgb="FFFFFE00"/>
        <color rgb="FFFF7F82"/>
      </colorScale>
    </cfRule>
  </conditionalFormatting>
  <dataValidations count="9">
    <dataValidation type="list" showInputMessage="1" showErrorMessage="1" sqref="C10" xr:uid="{5DA3BF6A-F4AE-C741-BD81-2AE26555EC93}">
      <formula1>$L$9:$L$10</formula1>
    </dataValidation>
    <dataValidation type="whole" operator="greaterThan" allowBlank="1" showInputMessage="1" showErrorMessage="1" sqref="C13:C14 C19:C21 C23:C25" xr:uid="{30F53BB1-F524-6B4F-A972-7F8FA729E014}">
      <formula1>0</formula1>
    </dataValidation>
    <dataValidation type="whole" operator="greaterThanOrEqual" allowBlank="1" showInputMessage="1" showErrorMessage="1" sqref="C26" xr:uid="{4C29BBFC-90F4-9743-99F0-9EBD13C295AD}">
      <formula1>1</formula1>
    </dataValidation>
    <dataValidation type="list" showInputMessage="1" showErrorMessage="1" sqref="C11" xr:uid="{A41A0E69-F7D3-A741-BD9A-54470CF0BDFA}">
      <formula1>$L$12:$L$14</formula1>
    </dataValidation>
    <dataValidation type="list" showInputMessage="1" showErrorMessage="1" sqref="C12" xr:uid="{2B4F3B99-A92F-0243-A82E-385C2FB88239}">
      <formula1>$L$16:$L$17</formula1>
    </dataValidation>
    <dataValidation type="list" showInputMessage="1" showErrorMessage="1" sqref="C16" xr:uid="{43A4C1FF-ABA3-5C44-8A75-FC0862D518A3}">
      <formula1>$L$19:$L$21</formula1>
    </dataValidation>
    <dataValidation type="list" showInputMessage="1" showErrorMessage="1" sqref="C17" xr:uid="{9E119CFB-DE75-D34D-852D-A0EED83568C6}">
      <formula1>$L$23:$L$24</formula1>
    </dataValidation>
    <dataValidation type="list" showInputMessage="1" showErrorMessage="1" sqref="C18" xr:uid="{80DA8438-8DCA-D24F-A57D-2B18243B5230}">
      <formula1>$L$27</formula1>
    </dataValidation>
    <dataValidation type="list" showInputMessage="1" showErrorMessage="1" sqref="C22" xr:uid="{BB74DD9C-C427-C847-911F-293B3DDC22E3}">
      <formula1>$L$30:$L$33</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CoMet_Settings_Tool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 Joubert</dc:creator>
  <cp:lastModifiedBy>Microsoft Office User</cp:lastModifiedBy>
  <dcterms:created xsi:type="dcterms:W3CDTF">2019-01-31T18:17:36Z</dcterms:created>
  <dcterms:modified xsi:type="dcterms:W3CDTF">2021-11-29T20:55:23Z</dcterms:modified>
</cp:coreProperties>
</file>