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wjd/Desktop/DESKTOP_FILES/Genomics/genomics_gpu/tools/"/>
    </mc:Choice>
  </mc:AlternateContent>
  <xr:revisionPtr revIDLastSave="0" documentId="13_ncr:1_{3608401F-6CFB-464F-81CE-AABBCCCC67ED}" xr6:coauthVersionLast="40" xr6:coauthVersionMax="40" xr10:uidLastSave="{00000000-0000-0000-0000-000000000000}"/>
  <bookViews>
    <workbookView xWindow="3240" yWindow="620" windowWidth="26520" windowHeight="26480" xr2:uid="{FA80413B-B473-9946-BFAA-BCC79B485766}"/>
  </bookViews>
  <sheets>
    <sheet name="CoMet_Settings_Tool" sheetId="6" r:id="rId1"/>
  </sheets>
  <calcPr calcId="191029"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6" i="6" l="1"/>
  <c r="C72" i="6"/>
  <c r="C34" i="6"/>
  <c r="C65" i="6"/>
  <c r="C52" i="6"/>
  <c r="B6" i="6"/>
  <c r="O36" i="6"/>
  <c r="O37" i="6"/>
  <c r="O33" i="6"/>
  <c r="O34" i="6"/>
  <c r="O38" i="6"/>
  <c r="O45" i="6"/>
  <c r="O47" i="6"/>
  <c r="O25" i="6"/>
  <c r="O26" i="6"/>
  <c r="O48" i="6"/>
  <c r="O32" i="6"/>
  <c r="O49" i="6"/>
  <c r="O50" i="6"/>
  <c r="C71" i="6"/>
  <c r="C78" i="6"/>
  <c r="C79" i="6"/>
  <c r="C60" i="6"/>
  <c r="C82" i="6"/>
  <c r="C83" i="6"/>
  <c r="C81" i="6"/>
  <c r="O16" i="6"/>
  <c r="O31" i="6"/>
  <c r="C80" i="6"/>
  <c r="O46" i="6"/>
  <c r="C77" i="6"/>
  <c r="C73" i="6"/>
  <c r="O44" i="6"/>
  <c r="C75" i="6"/>
  <c r="C76" i="6"/>
  <c r="O35" i="6"/>
  <c r="C63" i="6"/>
  <c r="G27" i="6"/>
  <c r="G25" i="6"/>
  <c r="G21" i="6"/>
  <c r="I21" i="6"/>
  <c r="C64" i="6"/>
  <c r="I13" i="6"/>
  <c r="C67" i="6"/>
  <c r="I19" i="6"/>
  <c r="C68" i="6"/>
  <c r="C61" i="6"/>
  <c r="C59" i="6"/>
  <c r="C54" i="6"/>
  <c r="C55" i="6"/>
  <c r="O22" i="6"/>
  <c r="O28" i="6"/>
  <c r="O29" i="6"/>
  <c r="C57" i="6"/>
  <c r="C56" i="6"/>
  <c r="C48" i="6"/>
  <c r="I11" i="6"/>
  <c r="C49" i="6"/>
  <c r="C50" i="6"/>
  <c r="C51" i="6"/>
  <c r="C36" i="6"/>
  <c r="C38" i="6"/>
  <c r="C44" i="6"/>
  <c r="C45" i="6"/>
  <c r="O9" i="6"/>
  <c r="G17" i="6"/>
  <c r="I17" i="6"/>
  <c r="C46" i="6"/>
  <c r="C43" i="6"/>
  <c r="C39" i="6"/>
  <c r="G10" i="6"/>
  <c r="G16" i="6"/>
  <c r="I16" i="6"/>
  <c r="C41" i="6"/>
  <c r="C40" i="6"/>
  <c r="O39" i="6"/>
  <c r="C37" i="6"/>
  <c r="C32" i="6"/>
  <c r="C33" i="6"/>
  <c r="C30" i="6"/>
  <c r="C31" i="6"/>
  <c r="C28" i="6"/>
  <c r="C29" i="6"/>
  <c r="I27" i="6"/>
  <c r="F27" i="6"/>
  <c r="C27" i="6"/>
  <c r="G26" i="6"/>
  <c r="I26" i="6"/>
  <c r="F26" i="6"/>
  <c r="I25" i="6"/>
  <c r="F25" i="6"/>
  <c r="O24" i="6"/>
  <c r="G24" i="6"/>
  <c r="I24" i="6"/>
  <c r="F24" i="6"/>
  <c r="G23" i="6"/>
  <c r="I23" i="6"/>
  <c r="F23" i="6"/>
  <c r="G22" i="6"/>
  <c r="I22" i="6"/>
  <c r="F22" i="6"/>
  <c r="F21" i="6"/>
  <c r="F19" i="6"/>
  <c r="H17" i="6"/>
  <c r="F17" i="6"/>
  <c r="H16" i="6"/>
  <c r="F10" i="6"/>
  <c r="F16" i="6"/>
  <c r="G15" i="6"/>
  <c r="I15" i="6"/>
  <c r="H15" i="6"/>
  <c r="F15" i="6"/>
  <c r="I12" i="6"/>
  <c r="O10" i="6"/>
  <c r="I10" i="6"/>
  <c r="B5" i="6"/>
  <c r="B4" i="6"/>
  <c r="B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Wayne Joubert</author>
  </authors>
  <commentList>
    <comment ref="C13" authorId="0" shapeId="0" xr:uid="{7355445C-FEEA-3148-95F3-AF9E88314C96}">
      <text>
        <r>
          <rPr>
            <sz val="10"/>
            <color rgb="FF000000"/>
            <rFont val="Tahoma"/>
            <family val="2"/>
          </rPr>
          <t xml:space="preserve">increasing this (by itself) increases CPU/GPU memory usage </t>
        </r>
        <r>
          <rPr>
            <u/>
            <sz val="10"/>
            <color rgb="FF000000"/>
            <rFont val="Tahoma"/>
            <family val="2"/>
          </rPr>
          <t>quadratically</t>
        </r>
        <r>
          <rPr>
            <sz val="10"/>
            <color rgb="FF000000"/>
            <rFont val="Tahoma"/>
            <family val="2"/>
          </rPr>
          <t xml:space="preserve"> (2-way) or </t>
        </r>
        <r>
          <rPr>
            <u/>
            <sz val="10"/>
            <color rgb="FF000000"/>
            <rFont val="Tahoma"/>
            <family val="2"/>
          </rPr>
          <t>cubically</t>
        </r>
        <r>
          <rPr>
            <sz val="10"/>
            <color rgb="FF000000"/>
            <rFont val="Tahoma"/>
            <family val="2"/>
          </rPr>
          <t xml:space="preserve"> (3-way)</t>
        </r>
      </text>
    </comment>
    <comment ref="C14" authorId="0" shapeId="0" xr:uid="{AEA9B9D2-716A-B140-BAD6-F8E266872AC2}">
      <text>
        <r>
          <rPr>
            <sz val="10"/>
            <color rgb="FF000000"/>
            <rFont val="Tahoma"/>
            <family val="2"/>
          </rPr>
          <t xml:space="preserve">increasing this (by itself) increaes CPU/GPU memory usage </t>
        </r>
        <r>
          <rPr>
            <u/>
            <sz val="10"/>
            <color rgb="FF000000"/>
            <rFont val="Tahoma"/>
            <family val="2"/>
          </rPr>
          <t>linearly</t>
        </r>
      </text>
    </comment>
    <comment ref="C18" authorId="0" shapeId="0" xr:uid="{80EC322D-9191-2A4E-B0CF-1F359AE6A4D8}">
      <text>
        <r>
          <rPr>
            <sz val="10"/>
            <color rgb="FF000000"/>
            <rFont val="Tahoma"/>
            <family val="2"/>
          </rPr>
          <t>this spreadsheet is only designed to work for GPU case</t>
        </r>
      </text>
    </comment>
    <comment ref="C20" authorId="0" shapeId="0" xr:uid="{32EA98C6-5967-174B-9C55-1D739CF956C3}">
      <text>
        <r>
          <rPr>
            <sz val="10"/>
            <color rgb="FF000000"/>
            <rFont val="Tahoma"/>
            <family val="2"/>
          </rPr>
          <t>not a commonly used setting because increases memory use and allreduce cost. suggest on Summit setting to 1 (preferred), 2, 3 or 6 to keep allreduces on-node</t>
        </r>
      </text>
    </comment>
    <comment ref="C21" authorId="0" shapeId="0" xr:uid="{C04F47A9-0341-3345-941F-874460EC5352}">
      <text>
        <r>
          <rPr>
            <sz val="10"/>
            <color rgb="FF000000"/>
            <rFont val="Tahoma"/>
            <family val="2"/>
          </rPr>
          <t xml:space="preserve">increasing this reduces wallclock time but increases total system memory needed for vectors </t>
        </r>
        <r>
          <rPr>
            <u/>
            <sz val="10"/>
            <color rgb="FF000000"/>
            <rFont val="Tahoma"/>
            <family val="2"/>
          </rPr>
          <t>linearly</t>
        </r>
        <r>
          <rPr>
            <sz val="10"/>
            <color rgb="FF000000"/>
            <rFont val="Tahoma"/>
            <family val="2"/>
          </rPr>
          <t xml:space="preserve"> and may introduce load imbalance (see below)</t>
        </r>
      </text>
    </comment>
    <comment ref="C22" authorId="0" shapeId="0" xr:uid="{F58EC965-6212-1A46-A074-1074B51A3897}">
      <text>
        <r>
          <rPr>
            <sz val="10"/>
            <color rgb="FF000000"/>
            <rFont val="Tahoma"/>
            <family val="2"/>
          </rPr>
          <t>use of tensor cores (tc = 2) can significantly increase performance for CCC</t>
        </r>
      </text>
    </comment>
    <comment ref="C23" authorId="0" shapeId="0" xr:uid="{E4980399-8144-AF40-AF75-45440C1B1C40}">
      <text>
        <r>
          <rPr>
            <sz val="10"/>
            <color rgb="FF000000"/>
            <rFont val="Tahoma"/>
            <family val="2"/>
          </rPr>
          <t xml:space="preserve">more tensor core steps reduces memory usage </t>
        </r>
        <r>
          <rPr>
            <u/>
            <sz val="10"/>
            <color rgb="FF000000"/>
            <rFont val="Tahoma"/>
            <family val="2"/>
          </rPr>
          <t>linearly</t>
        </r>
        <r>
          <rPr>
            <sz val="10"/>
            <color rgb="FF000000"/>
            <rFont val="Tahoma"/>
            <family val="2"/>
          </rPr>
          <t xml:space="preserve"> but may reduce GEMM performance</t>
        </r>
      </text>
    </comment>
    <comment ref="C24" authorId="0" shapeId="0" xr:uid="{01EA7FAC-C166-944D-B8A6-FC736C60F89A}">
      <text>
        <r>
          <rPr>
            <sz val="10"/>
            <color rgb="FF000000"/>
            <rFont val="Tahoma"/>
            <family val="2"/>
          </rPr>
          <t xml:space="preserve">increasing this reduces CPU memory usage </t>
        </r>
        <r>
          <rPr>
            <u/>
            <sz val="10"/>
            <color rgb="FF000000"/>
            <rFont val="Tahoma"/>
            <family val="2"/>
          </rPr>
          <t>linearly</t>
        </r>
        <r>
          <rPr>
            <sz val="10"/>
            <color rgb="FF000000"/>
            <rFont val="Tahoma"/>
            <family val="2"/>
          </rPr>
          <t xml:space="preserve"> but can reduce pipeline efficiency</t>
        </r>
      </text>
    </comment>
    <comment ref="C25" authorId="0" shapeId="0" xr:uid="{83E71B04-4D5B-0F48-8BFB-3D4547D6D3B9}">
      <text>
        <r>
          <rPr>
            <sz val="10"/>
            <color rgb="FF000000"/>
            <rFont val="Tahoma"/>
            <family val="2"/>
          </rPr>
          <t xml:space="preserve">for 3-way methods. increasing this reduces CPU mem usage </t>
        </r>
        <r>
          <rPr>
            <u/>
            <sz val="10"/>
            <color rgb="FF000000"/>
            <rFont val="Tahoma"/>
            <family val="2"/>
          </rPr>
          <t>linearly</t>
        </r>
        <r>
          <rPr>
            <sz val="10"/>
            <color rgb="FF000000"/>
            <rFont val="Tahoma"/>
            <family val="2"/>
          </rPr>
          <t xml:space="preserve"> but decreases pipeline efficiency</t>
        </r>
      </text>
    </comment>
    <comment ref="C27" authorId="0" shapeId="0" xr:uid="{ED506729-3795-C745-95AB-0AEAC70FE358}">
      <text>
        <r>
          <rPr>
            <sz val="10"/>
            <color rgb="FF000000"/>
            <rFont val="Tahoma"/>
            <family val="2"/>
          </rPr>
          <t>tensor cores only available on some systems</t>
        </r>
      </text>
    </comment>
    <comment ref="C28" authorId="0" shapeId="0" xr:uid="{56367034-E0EA-7C42-B15B-785625633B1D}">
      <text>
        <r>
          <rPr>
            <sz val="10"/>
            <color rgb="FF000000"/>
            <rFont val="Tahoma"/>
            <family val="2"/>
          </rPr>
          <t>limited by number of blocks in block row or slab</t>
        </r>
      </text>
    </comment>
    <comment ref="C30" authorId="0" shapeId="0" xr:uid="{89A09225-5646-6F4C-B5A8-57724FF1992C}">
      <text>
        <r>
          <rPr>
            <sz val="10"/>
            <color rgb="FF000000"/>
            <rFont val="Tahoma"/>
            <family val="2"/>
          </rPr>
          <t>can be &gt; 1 only if 3-way</t>
        </r>
      </text>
    </comment>
    <comment ref="C32" authorId="0" shapeId="0" xr:uid="{A43A2A89-B6CA-B341-97F3-A65248710DFD}">
      <text>
        <r>
          <rPr>
            <sz val="10"/>
            <color rgb="FF000000"/>
            <rFont val="Tahoma"/>
            <family val="2"/>
          </rPr>
          <t>this should be only slightly less than a whole number, for good load balance - see next cell</t>
        </r>
      </text>
    </comment>
    <comment ref="C34" authorId="0" shapeId="0" xr:uid="{F54BBA61-C6E4-B947-8FC4-DEAA11666DA4}">
      <text>
        <r>
          <rPr>
            <sz val="10"/>
            <color rgb="FF000000"/>
            <rFont val="Tahoma"/>
            <family val="2"/>
          </rPr>
          <t>similar to gpu pipeline len 3-way below</t>
        </r>
      </text>
    </comment>
    <comment ref="C39" authorId="0" shapeId="0" xr:uid="{A7C87AB7-9A8A-C847-B94A-628E7D078BA2}">
      <text>
        <r>
          <rPr>
            <sz val="10"/>
            <color rgb="FF000000"/>
            <rFont val="Tahoma"/>
            <family val="2"/>
          </rPr>
          <t>available memory limit on GPU may be ragged, may need to leave headroom</t>
        </r>
      </text>
    </comment>
    <comment ref="C40" authorId="0" shapeId="0" xr:uid="{ED64E219-E63C-D942-B4BB-BB76CB8D08C0}">
      <text>
        <r>
          <rPr>
            <sz val="10"/>
            <color rgb="FF000000"/>
            <rFont val="Tahoma"/>
            <family val="2"/>
          </rPr>
          <t>percent used of available</t>
        </r>
      </text>
    </comment>
    <comment ref="C41" authorId="0" shapeId="0" xr:uid="{5EE7F4FA-CEB5-EC4B-98C6-CB339FD6A81D}">
      <text>
        <r>
          <rPr>
            <sz val="10"/>
            <color rgb="FF000000"/>
            <rFont val="Tahoma"/>
            <family val="2"/>
          </rPr>
          <t xml:space="preserve">(crude) estimate of percent of max achievable peak perfomance for given method/system. this should be made AS LARGE AS POSSIBLE to maximize performance
</t>
        </r>
      </text>
    </comment>
    <comment ref="C45" authorId="0" shapeId="0" xr:uid="{3F0B7F9F-DFE6-114E-BF98-67DAAAC276D7}">
      <text>
        <r>
          <rPr>
            <sz val="10"/>
            <color rgb="FF000000"/>
            <rFont val="Tahoma"/>
            <family val="2"/>
          </rPr>
          <t>available memory limit on node may be ragged, may need to leave headroom</t>
        </r>
      </text>
    </comment>
    <comment ref="C46" authorId="0" shapeId="0" xr:uid="{0E6E5FB0-AA0A-2640-9C05-2B98230D3DA5}">
      <text>
        <r>
          <rPr>
            <sz val="10"/>
            <color rgb="FF000000"/>
            <rFont val="Tahoma"/>
            <family val="2"/>
          </rPr>
          <t>percent used of available</t>
        </r>
      </text>
    </comment>
    <comment ref="C49" authorId="0" shapeId="0" xr:uid="{9D68014A-D00F-394E-9808-8B8C39D5F02B}">
      <text>
        <r>
          <rPr>
            <sz val="10"/>
            <color rgb="FF000000"/>
            <rFont val="Tahoma"/>
            <family val="2"/>
          </rPr>
          <t>rounded up for divisibility</t>
        </r>
      </text>
    </comment>
    <comment ref="C56" authorId="0" shapeId="0" xr:uid="{2C1B4B88-7981-A74A-89A9-A7037DBB6656}">
      <text>
        <r>
          <rPr>
            <sz val="10"/>
            <color rgb="FF000000"/>
            <rFont val="Tahoma"/>
            <family val="2"/>
          </rPr>
          <t>a number much greater than 1 MAY be an indicator of low gemm performance</t>
        </r>
      </text>
    </comment>
    <comment ref="C57" authorId="0" shapeId="0" xr:uid="{44BC358F-FDD0-B942-85F1-218E53C613B3}">
      <text>
        <r>
          <rPr>
            <sz val="10"/>
            <color rgb="FF000000"/>
            <rFont val="Tahoma"/>
            <family val="2"/>
          </rPr>
          <t>roughly speaking, this should be a large fraction of GPU memory to maximize performance</t>
        </r>
      </text>
    </comment>
    <comment ref="C59" authorId="0" shapeId="0" xr:uid="{D3AB9A34-C0D1-C746-8520-94CAB011A1F0}">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improving performance</t>
        </r>
      </text>
    </comment>
    <comment ref="C60" authorId="0" shapeId="0" xr:uid="{61D26C27-6EDA-FD48-A1F5-BCF57F6CFCE9}">
      <text>
        <r>
          <rPr>
            <sz val="10"/>
            <color rgb="FF000000"/>
            <rFont val="Tahoma"/>
            <family val="2"/>
          </rPr>
          <t xml:space="preserve">higher values amortize pipeline fill/drain overheads </t>
        </r>
        <r>
          <rPr>
            <u/>
            <sz val="10"/>
            <color rgb="FF000000"/>
            <rFont val="Tahoma"/>
            <family val="2"/>
          </rPr>
          <t>linearly</t>
        </r>
        <r>
          <rPr>
            <sz val="10"/>
            <color rgb="FF000000"/>
            <rFont val="Tahoma"/>
            <family val="2"/>
          </rPr>
          <t>, improving performance. suggest setting &gt; 1 if possible</t>
        </r>
      </text>
    </comment>
    <comment ref="C61" authorId="0" shapeId="0" xr:uid="{C19F36C0-780B-D34F-AFC0-17B17002334F}">
      <text>
        <r>
          <rPr>
            <sz val="10"/>
            <color rgb="FF000000"/>
            <rFont val="Tahoma"/>
            <family val="2"/>
          </rPr>
          <t xml:space="preserve">higher values amortize pipeline fill/drain overhead </t>
        </r>
        <r>
          <rPr>
            <u/>
            <sz val="10"/>
            <color rgb="FF000000"/>
            <rFont val="Tahoma"/>
            <family val="2"/>
          </rPr>
          <t>linearly</t>
        </r>
        <r>
          <rPr>
            <sz val="10"/>
            <color rgb="FF000000"/>
            <rFont val="Tahoma"/>
            <family val="2"/>
          </rPr>
          <t>, thus imprving performance</t>
        </r>
      </text>
    </comment>
    <comment ref="C63" authorId="0" shapeId="0" xr:uid="{2487F8E9-BE74-134D-92A4-3FC5FC35E35B}">
      <text>
        <r>
          <rPr>
            <sz val="10"/>
            <color rgb="FF000000"/>
            <rFont val="Tahoma"/>
            <family val="2"/>
          </rPr>
          <t>total vector element comparisons for all phases, stages</t>
        </r>
      </text>
    </comment>
    <comment ref="C64" authorId="0" shapeId="0" xr:uid="{10F1ADAC-D64A-CE40-A638-5C30C7DEBDD4}">
      <text>
        <r>
          <rPr>
            <sz val="10"/>
            <color rgb="FF000000"/>
            <rFont val="Tahoma"/>
            <family val="2"/>
          </rPr>
          <t>limit, based on previous runs for extremely large problems</t>
        </r>
      </text>
    </comment>
    <comment ref="C65" authorId="0" shapeId="0" xr:uid="{76F522D1-1B6E-3A4B-BD9E-61519BE2A480}">
      <text>
        <r>
          <rPr>
            <sz val="10"/>
            <color rgb="FF000000"/>
            <rFont val="Tahoma"/>
            <family val="2"/>
          </rPr>
          <t>NOTE: this entry should be set bssed on empirical timing data</t>
        </r>
      </text>
    </comment>
    <comment ref="C68" authorId="0" shapeId="0" xr:uid="{D7956CF0-C904-DD44-8481-38B4D6DE3083}">
      <text>
        <r>
          <rPr>
            <sz val="10"/>
            <color rgb="FF000000"/>
            <rFont val="Tahoma"/>
            <family val="2"/>
          </rPr>
          <t>fraction based on extremely rough ballpark figure of typical INCITE project allocations</t>
        </r>
      </text>
    </comment>
  </commentList>
</comments>
</file>

<file path=xl/sharedStrings.xml><?xml version="1.0" encoding="utf-8"?>
<sst xmlns="http://schemas.openxmlformats.org/spreadsheetml/2006/main" count="154" uniqueCount="136">
  <si>
    <t>QUANTITY</t>
  </si>
  <si>
    <t>VALUE</t>
  </si>
  <si>
    <t>metric_type</t>
  </si>
  <si>
    <t>sparse</t>
  </si>
  <si>
    <t>num_vector</t>
  </si>
  <si>
    <t>num_field</t>
  </si>
  <si>
    <t>num_way</t>
  </si>
  <si>
    <t>compute_method</t>
  </si>
  <si>
    <t>GPU</t>
  </si>
  <si>
    <t>num_proc_field</t>
  </si>
  <si>
    <t>num_proc_repl</t>
  </si>
  <si>
    <t>tc</t>
  </si>
  <si>
    <t>num_tc_steps</t>
  </si>
  <si>
    <t>num_phase</t>
  </si>
  <si>
    <t>num_stage</t>
  </si>
  <si>
    <t>single/double</t>
  </si>
  <si>
    <t>Titan</t>
  </si>
  <si>
    <t>Summit</t>
  </si>
  <si>
    <t>system</t>
  </si>
  <si>
    <t>other</t>
  </si>
  <si>
    <t>SYSTEM</t>
  </si>
  <si>
    <t>dropdown options</t>
  </si>
  <si>
    <t>czek</t>
  </si>
  <si>
    <t>ccc</t>
  </si>
  <si>
    <t>no</t>
  </si>
  <si>
    <t>yes</t>
  </si>
  <si>
    <t>CPU</t>
  </si>
  <si>
    <t>REF</t>
  </si>
  <si>
    <t>single</t>
  </si>
  <si>
    <t>double</t>
  </si>
  <si>
    <t>GPUs per node</t>
  </si>
  <si>
    <t>mem per GPU (GB)</t>
  </si>
  <si>
    <t>CPU mem per node (GB)</t>
  </si>
  <si>
    <t>0 (none)</t>
  </si>
  <si>
    <t>1 (FP16)</t>
  </si>
  <si>
    <t>2 (INT8)</t>
  </si>
  <si>
    <t>num nodes</t>
  </si>
  <si>
    <t>num GPUs</t>
  </si>
  <si>
    <t>mem per GPU (bytes)</t>
  </si>
  <si>
    <t>GB</t>
  </si>
  <si>
    <t>GiB</t>
  </si>
  <si>
    <t>CPU mem per rank (bytes)</t>
  </si>
  <si>
    <t>(other)</t>
  </si>
  <si>
    <t>num_proc_vector</t>
  </si>
  <si>
    <t>bits per byte</t>
  </si>
  <si>
    <t>sizeof float</t>
  </si>
  <si>
    <t>sizeof double</t>
  </si>
  <si>
    <t>sizeof float_t (value)</t>
  </si>
  <si>
    <t>sizeof FP16</t>
  </si>
  <si>
    <t>sizeof INT8</t>
  </si>
  <si>
    <t>sizeof tc_t (value)</t>
  </si>
  <si>
    <t>bits per vector elt</t>
  </si>
  <si>
    <t>bytes per metric elt</t>
  </si>
  <si>
    <t>contstants etc.</t>
  </si>
  <si>
    <t>sizeof uint64</t>
  </si>
  <si>
    <t>bytes per S</t>
  </si>
  <si>
    <t>sizeof float2</t>
  </si>
  <si>
    <t>sizeof float3</t>
  </si>
  <si>
    <t>bytes per C</t>
  </si>
  <si>
    <t>bytes per metric</t>
  </si>
  <si>
    <t>bytes per elt index</t>
  </si>
  <si>
    <t>num vector local</t>
  </si>
  <si>
    <t>num field local</t>
  </si>
  <si>
    <t>bytes per vector 2dblock</t>
  </si>
  <si>
    <t>bytes per metrics 2dblock</t>
  </si>
  <si>
    <t>bytes per vector local</t>
  </si>
  <si>
    <t>bytes GPU 2-way</t>
  </si>
  <si>
    <t>bytes GPU</t>
  </si>
  <si>
    <t>bytes GPU 3-way</t>
  </si>
  <si>
    <t>bytes GPU tc bufs</t>
  </si>
  <si>
    <t>do reduce</t>
  </si>
  <si>
    <t>bytes CPU 2-way</t>
  </si>
  <si>
    <t>bytes CPU 3-way</t>
  </si>
  <si>
    <t>bytes CPU</t>
  </si>
  <si>
    <t>bytes per VectorSums</t>
  </si>
  <si>
    <t>is sparse</t>
  </si>
  <si>
    <t>bytes for metrics</t>
  </si>
  <si>
    <t>bytes for metrics 2-way</t>
  </si>
  <si>
    <t>bytes for metrics 3-way</t>
  </si>
  <si>
    <t>GPU mem percent</t>
  </si>
  <si>
    <t>CPU mem percent</t>
  </si>
  <si>
    <t>is ccc</t>
  </si>
  <si>
    <t>gemm rows</t>
  </si>
  <si>
    <t>gemm cols</t>
  </si>
  <si>
    <t>is tc</t>
  </si>
  <si>
    <t>aspect ratio</t>
  </si>
  <si>
    <t>is czek</t>
  </si>
  <si>
    <t>pipeline len 2-way</t>
  </si>
  <si>
    <t>comm pipeline len 3-way</t>
  </si>
  <si>
    <t>gpu pipeline len 3-way</t>
  </si>
  <si>
    <t>is 2-way</t>
  </si>
  <si>
    <t>is 3-way</t>
  </si>
  <si>
    <t>sizeof float2/3_t (value)</t>
  </si>
  <si>
    <t>num_stage limit</t>
  </si>
  <si>
    <t>bignum</t>
  </si>
  <si>
    <t>num_phase limit</t>
  </si>
  <si>
    <t>comparisons</t>
  </si>
  <si>
    <t xml:space="preserve">        2-way czek</t>
  </si>
  <si>
    <t xml:space="preserve">        2-way ccc</t>
  </si>
  <si>
    <t xml:space="preserve">        3-way czek</t>
  </si>
  <si>
    <t xml:space="preserve">        3-way ccc</t>
  </si>
  <si>
    <t xml:space="preserve">    2-way</t>
  </si>
  <si>
    <t xml:space="preserve">    3-way</t>
  </si>
  <si>
    <t>comparisons/sec limit X 1e15</t>
  </si>
  <si>
    <t>actual</t>
  </si>
  <si>
    <t>bytes per metric elt 2-way</t>
  </si>
  <si>
    <t>bytes / metrics 3d slice / stage</t>
  </si>
  <si>
    <t>planes / 3d slice / stage</t>
  </si>
  <si>
    <t>solver
settings</t>
  </si>
  <si>
    <t>tc limit</t>
  </si>
  <si>
    <t>tc max</t>
  </si>
  <si>
    <t>avg blocks/phase/proc</t>
  </si>
  <si>
    <t xml:space="preserve">   . . . percent</t>
  </si>
  <si>
    <t xml:space="preserve">   . . . performance penalty</t>
  </si>
  <si>
    <t>gemm input elt size</t>
  </si>
  <si>
    <t>gemm output elt size</t>
  </si>
  <si>
    <t>num ranks</t>
  </si>
  <si>
    <t>num ranks to request</t>
  </si>
  <si>
    <t>num nodes to request</t>
  </si>
  <si>
    <t>gemm matrices bytes</t>
  </si>
  <si>
    <t>performance fraction estimate</t>
  </si>
  <si>
    <t>full sys comparisons/sec limit</t>
  </si>
  <si>
    <t>full sys comparisons/sec est.</t>
  </si>
  <si>
    <t>node hours est.</t>
  </si>
  <si>
    <t>avg node hour allocation size</t>
  </si>
  <si>
    <t>fraction of avg allocation</t>
  </si>
  <si>
    <t>stf006</t>
  </si>
  <si>
    <t>exec cmds</t>
  </si>
  <si>
    <t>project</t>
  </si>
  <si>
    <t>probl
settings</t>
  </si>
  <si>
    <t>3-way avg planes/stage/proc</t>
  </si>
  <si>
    <t>num vector local round up</t>
  </si>
  <si>
    <t xml:space="preserve">   . . . fraction of INCITE metric</t>
  </si>
  <si>
    <t xml:space="preserve">   . . . percent of ful system</t>
  </si>
  <si>
    <t>aux
values</t>
  </si>
  <si>
    <t>rough perf fraction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</si>
</sst>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E+00"/>
    <numFmt numFmtId="165" formatCode="0.000"/>
    <numFmt numFmtId="166" formatCode="#,##0.000"/>
  </numFmts>
  <fonts count="8">
    <font>
      <sz val="12"/>
      <color theme="1"/>
      <name val="Calibri"/>
      <family val="2"/>
      <scheme val="minor"/>
    </font>
    <font>
      <b/>
      <sz val="12"/>
      <color theme="1"/>
      <name val="Calibri"/>
      <family val="2"/>
      <scheme val="minor"/>
    </font>
    <font>
      <sz val="12"/>
      <color theme="0" tint="-0.34998626667073579"/>
      <name val="Calibri"/>
      <family val="2"/>
      <scheme val="minor"/>
    </font>
    <font>
      <sz val="12"/>
      <color theme="0" tint="-0.34998626667073579"/>
      <name val="Calibri"/>
      <family val="2"/>
    </font>
    <font>
      <sz val="10"/>
      <color rgb="FF000000"/>
      <name val="Tahoma"/>
      <family val="2"/>
    </font>
    <font>
      <sz val="12"/>
      <color theme="1"/>
      <name val="Calibri"/>
      <family val="2"/>
    </font>
    <font>
      <u/>
      <sz val="10"/>
      <color rgb="FF000000"/>
      <name val="Tahoma"/>
      <family val="2"/>
    </font>
    <font>
      <sz val="12"/>
      <color theme="0" tint="-0.34998626667073579"/>
      <name val="Calibri (Body)_x0000_"/>
    </font>
  </fonts>
  <fills count="4">
    <fill>
      <patternFill patternType="none"/>
    </fill>
    <fill>
      <patternFill patternType="gray125"/>
    </fill>
    <fill>
      <patternFill patternType="solid">
        <fgColor rgb="FFFFFF00"/>
        <bgColor indexed="64"/>
      </patternFill>
    </fill>
    <fill>
      <patternFill patternType="solid">
        <fgColor rgb="FF00F5FF"/>
        <bgColor indexed="64"/>
      </patternFill>
    </fill>
  </fills>
  <borders count="39">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rgb="FFFF000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rgb="FFFF0000"/>
      </right>
      <top style="thin">
        <color theme="0" tint="-0.14996795556505021"/>
      </top>
      <bottom style="thin">
        <color theme="0" tint="-0.14996795556505021"/>
      </bottom>
      <diagonal/>
    </border>
    <border>
      <left style="thin">
        <color rgb="FFFF0000"/>
      </left>
      <right style="thin">
        <color theme="0" tint="-0.14996795556505021"/>
      </right>
      <top style="thin">
        <color theme="0" tint="-0.14996795556505021"/>
      </top>
      <bottom style="thin">
        <color rgb="FFFF0000"/>
      </bottom>
      <diagonal/>
    </border>
    <border>
      <left style="thin">
        <color theme="0" tint="-0.14996795556505021"/>
      </left>
      <right style="thin">
        <color theme="0" tint="-0.14996795556505021"/>
      </right>
      <top style="thin">
        <color theme="0" tint="-0.14996795556505021"/>
      </top>
      <bottom style="thin">
        <color rgb="FFFF0000"/>
      </bottom>
      <diagonal/>
    </border>
    <border>
      <left style="thin">
        <color theme="0" tint="-0.14996795556505021"/>
      </left>
      <right style="thin">
        <color rgb="FFFF0000"/>
      </right>
      <top style="thin">
        <color theme="0" tint="-0.14996795556505021"/>
      </top>
      <bottom style="thin">
        <color rgb="FFFF0000"/>
      </bottom>
      <diagonal/>
    </border>
    <border>
      <left style="thin">
        <color theme="0" tint="-0.14996795556505021"/>
      </left>
      <right/>
      <top style="thin">
        <color theme="0" tint="-0.14996795556505021"/>
      </top>
      <bottom/>
      <diagonal/>
    </border>
    <border>
      <left style="thin">
        <color rgb="FFFF0000"/>
      </left>
      <right/>
      <top style="thin">
        <color rgb="FFFF0000"/>
      </top>
      <bottom style="thin">
        <color theme="0" tint="-0.14996795556505021"/>
      </bottom>
      <diagonal/>
    </border>
    <border>
      <left style="thin">
        <color rgb="FFFF0000"/>
      </left>
      <right/>
      <top style="thin">
        <color theme="0" tint="-0.14996795556505021"/>
      </top>
      <bottom style="thin">
        <color theme="0" tint="-0.14996795556505021"/>
      </bottom>
      <diagonal/>
    </border>
    <border>
      <left style="thin">
        <color rgb="FFFF0000"/>
      </left>
      <right/>
      <top style="thin">
        <color theme="0" tint="-0.14996795556505021"/>
      </top>
      <bottom style="thin">
        <color rgb="FFFF0000"/>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rgb="FFFF0000"/>
      </left>
      <right style="thin">
        <color theme="0" tint="-0.14996795556505021"/>
      </right>
      <top/>
      <bottom style="thin">
        <color theme="0" tint="-0.14996795556505021"/>
      </bottom>
      <diagonal/>
    </border>
    <border>
      <left style="thin">
        <color theme="0" tint="-0.14996795556505021"/>
      </left>
      <right style="thin">
        <color rgb="FFFF0000"/>
      </right>
      <top/>
      <bottom style="thin">
        <color theme="0" tint="-0.14996795556505021"/>
      </bottom>
      <diagonal/>
    </border>
    <border>
      <left style="thin">
        <color rgb="FFFF0000"/>
      </left>
      <right style="thin">
        <color theme="0" tint="-0.14996795556505021"/>
      </right>
      <top style="thin">
        <color rgb="FFFF0000"/>
      </top>
      <bottom style="thin">
        <color rgb="FFFF0000"/>
      </bottom>
      <diagonal/>
    </border>
    <border>
      <left style="thin">
        <color theme="0" tint="-0.14996795556505021"/>
      </left>
      <right style="thin">
        <color theme="0" tint="-0.14996795556505021"/>
      </right>
      <top style="thin">
        <color rgb="FFFF0000"/>
      </top>
      <bottom style="thin">
        <color rgb="FFFF0000"/>
      </bottom>
      <diagonal/>
    </border>
    <border>
      <left style="thin">
        <color theme="0" tint="-0.14996795556505021"/>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theme="0" tint="-0.14996795556505021"/>
      </bottom>
      <diagonal/>
    </border>
    <border>
      <left style="thin">
        <color rgb="FFFF0000"/>
      </left>
      <right style="thin">
        <color rgb="FFFF0000"/>
      </right>
      <top style="thin">
        <color theme="0" tint="-0.14996795556505021"/>
      </top>
      <bottom style="thin">
        <color theme="0" tint="-0.14996795556505021"/>
      </bottom>
      <diagonal/>
    </border>
    <border>
      <left style="thin">
        <color rgb="FFFF0000"/>
      </left>
      <right style="thin">
        <color rgb="FFFF0000"/>
      </right>
      <top style="thin">
        <color theme="0" tint="-0.14996795556505021"/>
      </top>
      <bottom style="thin">
        <color rgb="FFFF0000"/>
      </bottom>
      <diagonal/>
    </border>
    <border>
      <left style="thin">
        <color theme="0" tint="-0.14996795556505021"/>
      </left>
      <right style="thin">
        <color theme="0" tint="-0.14996795556505021"/>
      </right>
      <top/>
      <bottom/>
      <diagonal/>
    </border>
    <border>
      <left style="thin">
        <color theme="0" tint="-0.14996795556505021"/>
      </left>
      <right style="thin">
        <color rgb="FFFF0000"/>
      </right>
      <top style="thin">
        <color theme="0" tint="-0.14996795556505021"/>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thin">
        <color theme="0" tint="-0.14996795556505021"/>
      </left>
      <right/>
      <top/>
      <bottom/>
      <diagonal/>
    </border>
    <border>
      <left style="thin">
        <color theme="0" tint="-0.14996795556505021"/>
      </left>
      <right/>
      <top/>
      <bottom style="thin">
        <color theme="0" tint="-0.14996795556505021"/>
      </bottom>
      <diagonal/>
    </border>
    <border>
      <left style="thin">
        <color rgb="FFFF0000"/>
      </left>
      <right style="thin">
        <color rgb="FFFF0000"/>
      </right>
      <top style="thin">
        <color rgb="FFFF0000"/>
      </top>
      <bottom/>
      <diagonal/>
    </border>
    <border>
      <left style="thin">
        <color theme="1"/>
      </left>
      <right style="thin">
        <color theme="0" tint="-0.14996795556505021"/>
      </right>
      <top style="thin">
        <color theme="1"/>
      </top>
      <bottom style="thin">
        <color theme="0" tint="-0.14996795556505021"/>
      </bottom>
      <diagonal/>
    </border>
    <border>
      <left style="thin">
        <color theme="0" tint="-0.14996795556505021"/>
      </left>
      <right style="thin">
        <color theme="0" tint="-0.14996795556505021"/>
      </right>
      <top style="thin">
        <color theme="1"/>
      </top>
      <bottom style="thin">
        <color theme="0" tint="-0.14996795556505021"/>
      </bottom>
      <diagonal/>
    </border>
    <border>
      <left style="thin">
        <color theme="1"/>
      </left>
      <right style="thin">
        <color theme="0" tint="-0.14996795556505021"/>
      </right>
      <top style="thin">
        <color theme="0" tint="-0.14996795556505021"/>
      </top>
      <bottom style="thin">
        <color theme="0" tint="-0.14996795556505021"/>
      </bottom>
      <diagonal/>
    </border>
    <border>
      <left style="thin">
        <color theme="1"/>
      </left>
      <right style="thin">
        <color theme="0" tint="-0.14996795556505021"/>
      </right>
      <top style="thin">
        <color theme="0" tint="-0.14996795556505021"/>
      </top>
      <bottom style="thin">
        <color theme="1"/>
      </bottom>
      <diagonal/>
    </border>
    <border>
      <left style="thin">
        <color theme="0" tint="-0.14996795556505021"/>
      </left>
      <right style="thin">
        <color theme="0" tint="-0.14996795556505021"/>
      </right>
      <top style="thin">
        <color theme="0" tint="-0.14996795556505021"/>
      </top>
      <bottom style="thin">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93">
    <xf numFmtId="0" fontId="0" fillId="0" borderId="0" xfId="0"/>
    <xf numFmtId="0" fontId="0" fillId="0" borderId="1" xfId="0" applyBorder="1" applyAlignment="1">
      <alignment vertical="top"/>
    </xf>
    <xf numFmtId="0" fontId="0" fillId="0" borderId="1" xfId="0" applyBorder="1" applyAlignment="1">
      <alignment horizontal="center" vertical="top"/>
    </xf>
    <xf numFmtId="3" fontId="0" fillId="0" borderId="1" xfId="0" applyNumberFormat="1" applyBorder="1" applyAlignment="1">
      <alignment horizontal="center" vertical="top"/>
    </xf>
    <xf numFmtId="0" fontId="2" fillId="0" borderId="1" xfId="0" applyFont="1" applyBorder="1" applyAlignment="1">
      <alignment vertical="top"/>
    </xf>
    <xf numFmtId="0" fontId="3" fillId="0" borderId="1" xfId="0" applyFont="1" applyBorder="1" applyAlignment="1">
      <alignment horizontal="center" vertical="top"/>
    </xf>
    <xf numFmtId="0" fontId="2" fillId="0" borderId="1" xfId="0" applyFont="1" applyBorder="1" applyAlignment="1">
      <alignment horizontal="center" vertical="top"/>
    </xf>
    <xf numFmtId="0" fontId="1" fillId="3" borderId="1" xfId="0" applyFont="1" applyFill="1" applyBorder="1" applyAlignment="1">
      <alignment horizontal="center" vertical="top"/>
    </xf>
    <xf numFmtId="3" fontId="1" fillId="3" borderId="1" xfId="0" applyNumberFormat="1" applyFont="1" applyFill="1" applyBorder="1" applyAlignment="1">
      <alignment horizontal="center" vertical="top"/>
    </xf>
    <xf numFmtId="0" fontId="3" fillId="3" borderId="1" xfId="0" applyFont="1" applyFill="1" applyBorder="1" applyAlignment="1">
      <alignment horizontal="center" vertical="top"/>
    </xf>
    <xf numFmtId="0" fontId="0" fillId="0" borderId="2" xfId="0" applyBorder="1" applyAlignment="1">
      <alignment vertical="top"/>
    </xf>
    <xf numFmtId="0" fontId="3" fillId="0" borderId="4" xfId="0" applyFont="1" applyBorder="1" applyAlignment="1">
      <alignment horizontal="center" vertical="top"/>
    </xf>
    <xf numFmtId="0" fontId="0" fillId="0" borderId="6" xfId="0" applyBorder="1" applyAlignment="1">
      <alignment vertical="top"/>
    </xf>
    <xf numFmtId="0" fontId="0" fillId="0" borderId="6" xfId="0" applyBorder="1" applyAlignment="1">
      <alignment horizontal="center" vertical="top"/>
    </xf>
    <xf numFmtId="0" fontId="0" fillId="0" borderId="8" xfId="0" applyBorder="1" applyAlignment="1">
      <alignment horizontal="center" vertical="top"/>
    </xf>
    <xf numFmtId="3" fontId="0" fillId="0" borderId="10" xfId="0" applyNumberFormat="1" applyBorder="1" applyAlignment="1">
      <alignment horizontal="center" vertical="top"/>
    </xf>
    <xf numFmtId="3" fontId="0" fillId="0" borderId="11" xfId="0" applyNumberFormat="1" applyBorder="1" applyAlignment="1">
      <alignment horizontal="center" vertical="top"/>
    </xf>
    <xf numFmtId="0" fontId="0" fillId="0" borderId="12" xfId="0" applyBorder="1" applyAlignment="1">
      <alignment vertical="top"/>
    </xf>
    <xf numFmtId="0" fontId="0" fillId="2" borderId="13" xfId="0" applyFill="1" applyBorder="1" applyAlignment="1">
      <alignment vertical="top"/>
    </xf>
    <xf numFmtId="0" fontId="0" fillId="2" borderId="14" xfId="0" applyFill="1" applyBorder="1" applyAlignment="1">
      <alignment vertical="top"/>
    </xf>
    <xf numFmtId="0" fontId="0" fillId="2" borderId="15" xfId="0" applyFill="1" applyBorder="1" applyAlignment="1">
      <alignment vertical="top"/>
    </xf>
    <xf numFmtId="0" fontId="0" fillId="0" borderId="7" xfId="0" applyBorder="1" applyAlignment="1">
      <alignment horizontal="center" vertical="top"/>
    </xf>
    <xf numFmtId="3" fontId="0" fillId="0" borderId="9" xfId="0" applyNumberFormat="1" applyBorder="1" applyAlignment="1">
      <alignment horizontal="center" vertical="top"/>
    </xf>
    <xf numFmtId="0" fontId="0" fillId="0" borderId="18" xfId="0" applyNumberFormat="1" applyBorder="1" applyAlignment="1">
      <alignment horizontal="center" vertical="top"/>
    </xf>
    <xf numFmtId="0" fontId="0" fillId="0" borderId="6" xfId="0" applyNumberFormat="1" applyBorder="1" applyAlignment="1">
      <alignment horizontal="center" vertical="top"/>
    </xf>
    <xf numFmtId="0" fontId="0" fillId="0" borderId="19" xfId="0" applyBorder="1" applyAlignment="1">
      <alignment horizontal="center" vertical="top"/>
    </xf>
    <xf numFmtId="0" fontId="1" fillId="0" borderId="20" xfId="0" applyFont="1" applyBorder="1" applyAlignment="1">
      <alignment horizontal="center" vertical="top"/>
    </xf>
    <xf numFmtId="0" fontId="1" fillId="0" borderId="21" xfId="0" applyFont="1" applyBorder="1" applyAlignment="1">
      <alignment horizontal="center" vertical="top"/>
    </xf>
    <xf numFmtId="0" fontId="1" fillId="0" borderId="22" xfId="0" quotePrefix="1" applyFont="1" applyBorder="1" applyAlignment="1">
      <alignment horizontal="center" vertical="top"/>
    </xf>
    <xf numFmtId="0" fontId="0" fillId="0" borderId="4" xfId="0" applyBorder="1" applyAlignment="1">
      <alignment vertical="top"/>
    </xf>
    <xf numFmtId="0" fontId="0" fillId="0" borderId="5" xfId="0" applyBorder="1" applyAlignment="1">
      <alignment horizontal="center" vertical="top"/>
    </xf>
    <xf numFmtId="0" fontId="0" fillId="2" borderId="23" xfId="0" applyFill="1" applyBorder="1" applyAlignment="1">
      <alignment horizontal="center" vertical="top"/>
    </xf>
    <xf numFmtId="0" fontId="0" fillId="2" borderId="24" xfId="0" applyFill="1" applyBorder="1" applyAlignment="1">
      <alignment horizontal="center" vertical="top"/>
    </xf>
    <xf numFmtId="0" fontId="0" fillId="2" borderId="25" xfId="0" applyFill="1" applyBorder="1" applyAlignment="1">
      <alignment horizontal="center" vertical="top"/>
    </xf>
    <xf numFmtId="0" fontId="0" fillId="0" borderId="26" xfId="0" applyBorder="1" applyAlignment="1">
      <alignment horizontal="center" vertical="top"/>
    </xf>
    <xf numFmtId="0" fontId="0" fillId="0" borderId="3" xfId="0" applyBorder="1" applyAlignment="1">
      <alignment vertical="top"/>
    </xf>
    <xf numFmtId="3" fontId="0" fillId="0" borderId="5" xfId="0" applyNumberFormat="1" applyBorder="1" applyAlignment="1">
      <alignment horizontal="center" vertical="top"/>
    </xf>
    <xf numFmtId="3" fontId="0" fillId="0" borderId="6" xfId="0" applyNumberFormat="1" applyBorder="1" applyAlignment="1">
      <alignment horizontal="center" vertical="top"/>
    </xf>
    <xf numFmtId="3" fontId="0" fillId="0" borderId="23" xfId="0" applyNumberFormat="1" applyBorder="1" applyAlignment="1">
      <alignment horizontal="center" vertical="top"/>
    </xf>
    <xf numFmtId="3" fontId="0" fillId="0" borderId="24" xfId="0" applyNumberFormat="1" applyBorder="1" applyAlignment="1">
      <alignment horizontal="center" vertical="top"/>
    </xf>
    <xf numFmtId="3" fontId="0" fillId="0" borderId="25" xfId="0" applyNumberFormat="1" applyBorder="1" applyAlignment="1">
      <alignment horizontal="center" vertical="top"/>
    </xf>
    <xf numFmtId="3" fontId="0" fillId="0" borderId="26" xfId="0" applyNumberFormat="1" applyBorder="1" applyAlignment="1">
      <alignment horizontal="center" vertical="top"/>
    </xf>
    <xf numFmtId="10" fontId="0" fillId="0" borderId="1" xfId="0" applyNumberFormat="1" applyBorder="1" applyAlignment="1">
      <alignment horizontal="center" vertical="top"/>
    </xf>
    <xf numFmtId="4" fontId="0" fillId="0" borderId="1" xfId="0" applyNumberFormat="1" applyBorder="1" applyAlignment="1">
      <alignment horizontal="center" vertical="top"/>
    </xf>
    <xf numFmtId="0" fontId="0" fillId="0" borderId="1" xfId="0" applyFont="1" applyBorder="1" applyAlignment="1">
      <alignment horizontal="center" vertical="top"/>
    </xf>
    <xf numFmtId="3" fontId="0" fillId="0" borderId="1" xfId="0" applyNumberFormat="1" applyFont="1" applyBorder="1" applyAlignment="1">
      <alignment horizontal="center" vertical="top"/>
    </xf>
    <xf numFmtId="164" fontId="0" fillId="0" borderId="1" xfId="0" applyNumberFormat="1" applyBorder="1" applyAlignment="1">
      <alignment horizontal="center" vertical="top"/>
    </xf>
    <xf numFmtId="0" fontId="5" fillId="0" borderId="4" xfId="0" quotePrefix="1" applyFont="1" applyBorder="1" applyAlignment="1">
      <alignment horizontal="center" vertical="top"/>
    </xf>
    <xf numFmtId="0" fontId="5" fillId="0" borderId="4" xfId="0" applyFont="1" applyBorder="1" applyAlignment="1">
      <alignment horizontal="center" vertical="top"/>
    </xf>
    <xf numFmtId="3" fontId="5" fillId="0" borderId="4" xfId="0" applyNumberFormat="1" applyFont="1" applyBorder="1" applyAlignment="1">
      <alignment horizontal="center" vertical="top"/>
    </xf>
    <xf numFmtId="0" fontId="0" fillId="0" borderId="1" xfId="0" applyFont="1" applyBorder="1" applyAlignment="1">
      <alignment vertical="top"/>
    </xf>
    <xf numFmtId="164" fontId="0" fillId="0" borderId="1" xfId="0" applyNumberFormat="1" applyBorder="1" applyAlignment="1">
      <alignment vertical="top"/>
    </xf>
    <xf numFmtId="165" fontId="0" fillId="0" borderId="1" xfId="0" applyNumberFormat="1" applyBorder="1" applyAlignment="1">
      <alignment vertical="top"/>
    </xf>
    <xf numFmtId="0" fontId="7" fillId="0" borderId="1" xfId="0" applyFont="1" applyBorder="1" applyAlignment="1">
      <alignment horizontal="center" vertical="top"/>
    </xf>
    <xf numFmtId="0" fontId="7" fillId="0" borderId="1" xfId="0" quotePrefix="1" applyFont="1" applyBorder="1" applyAlignment="1">
      <alignment horizontal="center" vertical="top"/>
    </xf>
    <xf numFmtId="0" fontId="7" fillId="3" borderId="1" xfId="0" applyFont="1" applyFill="1" applyBorder="1" applyAlignment="1">
      <alignment horizontal="center" vertical="top"/>
    </xf>
    <xf numFmtId="3" fontId="7" fillId="0" borderId="1" xfId="0" applyNumberFormat="1" applyFont="1" applyBorder="1" applyAlignment="1">
      <alignment horizontal="center" vertical="top"/>
    </xf>
    <xf numFmtId="11" fontId="7" fillId="0" borderId="1" xfId="0" applyNumberFormat="1" applyFont="1" applyBorder="1" applyAlignment="1">
      <alignment horizontal="center" vertical="top"/>
    </xf>
    <xf numFmtId="164" fontId="0" fillId="0" borderId="5" xfId="0" applyNumberFormat="1" applyBorder="1" applyAlignment="1">
      <alignment horizontal="center" vertical="top"/>
    </xf>
    <xf numFmtId="10" fontId="0" fillId="0" borderId="28" xfId="0" applyNumberFormat="1" applyBorder="1" applyAlignment="1">
      <alignment horizontal="center" vertical="top"/>
    </xf>
    <xf numFmtId="0" fontId="0" fillId="2" borderId="29" xfId="0" applyFill="1" applyBorder="1" applyAlignment="1">
      <alignment horizontal="center" vertical="top"/>
    </xf>
    <xf numFmtId="166" fontId="0" fillId="0" borderId="1" xfId="0" applyNumberFormat="1" applyBorder="1" applyAlignment="1">
      <alignment horizontal="center" vertical="top"/>
    </xf>
    <xf numFmtId="0" fontId="0" fillId="2" borderId="32" xfId="0" applyFill="1" applyBorder="1" applyAlignment="1">
      <alignment horizontal="center" vertical="top"/>
    </xf>
    <xf numFmtId="0" fontId="0" fillId="0" borderId="32" xfId="0" applyBorder="1" applyAlignment="1">
      <alignment horizontal="center" vertical="top"/>
    </xf>
    <xf numFmtId="0" fontId="0" fillId="0" borderId="17" xfId="0" applyBorder="1" applyAlignment="1">
      <alignment vertical="top"/>
    </xf>
    <xf numFmtId="0" fontId="0" fillId="0" borderId="5" xfId="0" applyBorder="1" applyAlignment="1">
      <alignment vertical="top"/>
    </xf>
    <xf numFmtId="0" fontId="7" fillId="0" borderId="5" xfId="0" applyFont="1" applyBorder="1" applyAlignment="1">
      <alignment horizontal="center" vertical="top"/>
    </xf>
    <xf numFmtId="0" fontId="7" fillId="0" borderId="6" xfId="0" applyFont="1" applyBorder="1" applyAlignment="1">
      <alignment horizontal="center" vertical="top"/>
    </xf>
    <xf numFmtId="0" fontId="0" fillId="0" borderId="33" xfId="0" applyBorder="1" applyAlignment="1">
      <alignment horizontal="left" vertical="top"/>
    </xf>
    <xf numFmtId="3" fontId="0" fillId="0" borderId="34" xfId="0" applyNumberFormat="1" applyBorder="1" applyAlignment="1">
      <alignment horizontal="center" vertical="top"/>
    </xf>
    <xf numFmtId="0" fontId="0" fillId="0" borderId="34" xfId="0" applyBorder="1" applyAlignment="1">
      <alignment vertical="top"/>
    </xf>
    <xf numFmtId="0" fontId="0" fillId="0" borderId="34" xfId="0" applyBorder="1" applyAlignment="1">
      <alignment horizontal="center" vertical="top"/>
    </xf>
    <xf numFmtId="0" fontId="7" fillId="0" borderId="34" xfId="0" applyFont="1" applyBorder="1" applyAlignment="1">
      <alignment horizontal="center" vertical="top"/>
    </xf>
    <xf numFmtId="0" fontId="0" fillId="0" borderId="35" xfId="0" applyBorder="1" applyAlignment="1">
      <alignment horizontal="left" vertical="top"/>
    </xf>
    <xf numFmtId="0" fontId="0" fillId="0" borderId="36" xfId="0" applyBorder="1" applyAlignment="1">
      <alignment horizontal="left" vertical="top"/>
    </xf>
    <xf numFmtId="3" fontId="0" fillId="0" borderId="37" xfId="0" applyNumberFormat="1" applyBorder="1" applyAlignment="1">
      <alignment horizontal="center" vertical="top"/>
    </xf>
    <xf numFmtId="0" fontId="0" fillId="0" borderId="37" xfId="0" applyBorder="1" applyAlignment="1">
      <alignment vertical="top"/>
    </xf>
    <xf numFmtId="0" fontId="0" fillId="0" borderId="37" xfId="0" applyBorder="1" applyAlignment="1">
      <alignment horizontal="center" vertical="top"/>
    </xf>
    <xf numFmtId="0" fontId="7" fillId="0" borderId="37" xfId="0" applyFont="1" applyBorder="1" applyAlignment="1">
      <alignment horizontal="center" vertical="top"/>
    </xf>
    <xf numFmtId="0" fontId="0" fillId="0" borderId="2" xfId="0" applyBorder="1" applyAlignment="1">
      <alignment horizontal="center" vertical="top"/>
    </xf>
    <xf numFmtId="11" fontId="0" fillId="0" borderId="26" xfId="0" applyNumberFormat="1" applyBorder="1" applyAlignment="1">
      <alignment horizontal="center" vertical="top"/>
    </xf>
    <xf numFmtId="10" fontId="0" fillId="0" borderId="6" xfId="0" applyNumberFormat="1" applyBorder="1" applyAlignment="1">
      <alignment horizontal="center" vertical="top"/>
    </xf>
    <xf numFmtId="3" fontId="0" fillId="0" borderId="38" xfId="0" applyNumberFormat="1" applyBorder="1" applyAlignment="1">
      <alignment horizontal="center" vertical="top"/>
    </xf>
    <xf numFmtId="0" fontId="1" fillId="0" borderId="12" xfId="0" applyFont="1" applyBorder="1" applyAlignment="1">
      <alignment horizontal="center" vertical="top" wrapText="1"/>
    </xf>
    <xf numFmtId="0" fontId="1" fillId="0" borderId="30" xfId="0" applyFont="1" applyBorder="1" applyAlignment="1">
      <alignment horizontal="center" vertical="top" wrapText="1"/>
    </xf>
    <xf numFmtId="0" fontId="1" fillId="0" borderId="31" xfId="0" applyFont="1" applyBorder="1" applyAlignment="1">
      <alignment horizontal="center" vertical="top" wrapText="1"/>
    </xf>
    <xf numFmtId="0" fontId="1" fillId="3" borderId="12" xfId="0" applyFont="1" applyFill="1" applyBorder="1" applyAlignment="1">
      <alignment horizontal="center" vertical="top"/>
    </xf>
    <xf numFmtId="0" fontId="1" fillId="3" borderId="16" xfId="0" applyFont="1" applyFill="1" applyBorder="1" applyAlignment="1">
      <alignment horizontal="center" vertical="top"/>
    </xf>
    <xf numFmtId="0" fontId="1" fillId="3" borderId="17" xfId="0" applyFont="1" applyFill="1" applyBorder="1" applyAlignment="1">
      <alignment horizontal="center" vertical="top"/>
    </xf>
    <xf numFmtId="0" fontId="1" fillId="0" borderId="27" xfId="0" applyFont="1" applyBorder="1" applyAlignment="1">
      <alignment horizontal="center" vertical="top" wrapText="1"/>
    </xf>
    <xf numFmtId="0" fontId="1" fillId="0" borderId="19" xfId="0" applyFont="1" applyBorder="1" applyAlignment="1">
      <alignment horizontal="center" vertical="top"/>
    </xf>
    <xf numFmtId="0" fontId="1" fillId="0" borderId="5" xfId="0" applyFont="1" applyBorder="1" applyAlignment="1">
      <alignment horizontal="center" vertical="top" wrapText="1"/>
    </xf>
    <xf numFmtId="0" fontId="1" fillId="0" borderId="6"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FFFE00"/>
      <color rgb="FF00FF01"/>
      <color rgb="FFFF7F82"/>
      <color rgb="FF00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88900</xdr:colOff>
      <xdr:row>28</xdr:row>
      <xdr:rowOff>50800</xdr:rowOff>
    </xdr:from>
    <xdr:to>
      <xdr:col>11</xdr:col>
      <xdr:colOff>660400</xdr:colOff>
      <xdr:row>51</xdr:row>
      <xdr:rowOff>63500</xdr:rowOff>
    </xdr:to>
    <xdr:sp macro="" textlink="">
      <xdr:nvSpPr>
        <xdr:cNvPr id="12" name="TextBox 11">
          <a:extLst>
            <a:ext uri="{FF2B5EF4-FFF2-40B4-BE49-F238E27FC236}">
              <a16:creationId xmlns:a16="http://schemas.microsoft.com/office/drawing/2014/main" id="{809504F4-9F59-2546-B952-C4A51AAF20F6}"/>
            </a:ext>
          </a:extLst>
        </xdr:cNvPr>
        <xdr:cNvSpPr txBox="1"/>
      </xdr:nvSpPr>
      <xdr:spPr>
        <a:xfrm>
          <a:off x="6540500" y="5740400"/>
          <a:ext cx="5981700" cy="4686300"/>
        </a:xfrm>
        <a:prstGeom prst="rect">
          <a:avLst/>
        </a:prstGeom>
        <a:solidFill>
          <a:srgbClr val="FFFE00"/>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INSTRUCTIONS:</a:t>
          </a:r>
        </a:p>
        <a:p>
          <a:endParaRPr lang="en-US" sz="1600"/>
        </a:p>
        <a:p>
          <a:r>
            <a:rPr lang="en-US" sz="1600"/>
            <a:t>- ONLY change entries</a:t>
          </a:r>
          <a:r>
            <a:rPr lang="en-US" sz="1600" baseline="0"/>
            <a:t> in the white cells with red borders</a:t>
          </a:r>
        </a:p>
        <a:p>
          <a:r>
            <a:rPr lang="en-US" sz="1600" baseline="0"/>
            <a:t>- settings are set acceptably when ALL value cells in Column C are green (best) or yellow (some performance-related cells may be allowed to be orange or red if absolutely necessary)</a:t>
          </a:r>
        </a:p>
        <a:p>
          <a:r>
            <a:rPr lang="en-US" sz="1600"/>
            <a:t>- see</a:t>
          </a:r>
          <a:r>
            <a:rPr lang="en-US" sz="1600" baseline="0"/>
            <a:t> hover-over notes on specific cells for guidance</a:t>
          </a:r>
        </a:p>
        <a:p>
          <a:r>
            <a:rPr lang="en-US" sz="1600" baseline="0"/>
            <a:t>- the execution commands at the top of the sheet should run the given case, for one phase and one stage only.  for large node counts and long runs it is recommended that the commands be submitted as a batch script instead of running interactively, to avoid wasting allocation</a:t>
          </a:r>
        </a:p>
        <a:p>
          <a:r>
            <a:rPr lang="en-US" sz="1600" baseline="0"/>
            <a:t>- the number in the "performance fraction estimate" box should be inferred from a run.  The max tensor core rate on a large case for this code is ~ 82 TF.  so for example an ops_rate/proc of 1.64e+12 as reported from a run would be 2% efficiency.</a:t>
          </a:r>
        </a:p>
        <a:p>
          <a:r>
            <a:rPr lang="en-US" sz="1600" baseline="0"/>
            <a:t>- NOTE: I/O time is not counted here - it could be inferred from a run on real data</a:t>
          </a:r>
        </a:p>
        <a:p>
          <a:endParaRPr lang="en-US" sz="1800"/>
        </a:p>
      </xdr:txBody>
    </xdr:sp>
    <xdr:clientData/>
  </xdr:twoCellAnchor>
</xdr:wsDr>
</file>

<file path=xl/persons/person.xml><?xml version="1.0" encoding="utf-8"?>
<personList xmlns="http://schemas.microsoft.com/office/spreadsheetml/2018/threadedcomments" xmlns:x="http://schemas.openxmlformats.org/spreadsheetml/2006/main">
  <person displayName="Wayne Joubert" id="{4FDEEA99-810F-2C4C-BD96-7D4A3D6E0D28}" userId="Wayne Jouber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49693-509E-D84D-8D62-271E15A24091}">
  <dimension ref="A1:AC83"/>
  <sheetViews>
    <sheetView tabSelected="1" zoomScaleNormal="100" workbookViewId="0"/>
  </sheetViews>
  <sheetFormatPr baseColWidth="10" defaultRowHeight="16"/>
  <cols>
    <col min="1" max="1" width="7.6640625" style="1" customWidth="1"/>
    <col min="2" max="2" width="26.83203125" style="2" customWidth="1"/>
    <col min="3" max="3" width="23.33203125" style="3" customWidth="1"/>
    <col min="4" max="4" width="1.83203125" style="1" customWidth="1"/>
    <col min="5" max="5" width="25" style="1" customWidth="1"/>
    <col min="6" max="6" width="14.33203125" style="2" customWidth="1"/>
    <col min="7" max="7" width="14.33203125" style="1" customWidth="1"/>
    <col min="8" max="8" width="11" style="2" bestFit="1" customWidth="1"/>
    <col min="9" max="9" width="13.6640625" style="1" bestFit="1" customWidth="1"/>
    <col min="10" max="10" width="1.83203125" style="1" customWidth="1"/>
    <col min="11" max="11" width="15.83203125" style="2" customWidth="1"/>
    <col min="12" max="12" width="10.83203125" style="2"/>
    <col min="13" max="13" width="1.83203125" style="1" customWidth="1"/>
    <col min="14" max="14" width="22.6640625" style="53" customWidth="1"/>
    <col min="15" max="15" width="11.1640625" style="53" bestFit="1" customWidth="1"/>
    <col min="16" max="16384" width="10.83203125" style="1"/>
  </cols>
  <sheetData>
    <row r="1" spans="1:29">
      <c r="B1" s="30"/>
      <c r="C1" s="36"/>
    </row>
    <row r="2" spans="1:29">
      <c r="A2" s="10"/>
      <c r="B2" s="62" t="s">
        <v>128</v>
      </c>
      <c r="C2" s="63" t="s">
        <v>126</v>
      </c>
      <c r="D2" s="64"/>
      <c r="E2" s="65"/>
      <c r="F2" s="30"/>
      <c r="G2" s="65"/>
      <c r="H2" s="30"/>
      <c r="I2" s="65"/>
      <c r="J2" s="65"/>
      <c r="K2" s="30"/>
      <c r="L2" s="30"/>
      <c r="M2" s="65"/>
      <c r="N2" s="66"/>
      <c r="O2" s="66"/>
      <c r="P2" s="65"/>
      <c r="Q2" s="65"/>
      <c r="R2" s="65"/>
      <c r="S2" s="65"/>
      <c r="T2" s="65"/>
      <c r="U2" s="65"/>
      <c r="V2" s="65"/>
      <c r="W2" s="65"/>
      <c r="X2" s="65"/>
      <c r="Y2" s="65"/>
      <c r="Z2" s="65"/>
      <c r="AA2" s="65"/>
      <c r="AB2" s="65"/>
      <c r="AC2" s="65"/>
    </row>
    <row r="3" spans="1:29">
      <c r="A3" s="83" t="s">
        <v>127</v>
      </c>
      <c r="B3" s="68" t="str">
        <f>IF(C$16=L$16,CONCATENATE("bsub -P ",C2," -nnodes ",C50," -W 10 -Is $SHELL"),"")</f>
        <v>bsub -P stf006 -nnodes 1334 -W 10 -Is $SHELL</v>
      </c>
      <c r="C3" s="69"/>
      <c r="D3" s="70"/>
      <c r="E3" s="70"/>
      <c r="F3" s="71"/>
      <c r="G3" s="70"/>
      <c r="H3" s="71"/>
      <c r="I3" s="70"/>
      <c r="J3" s="70"/>
      <c r="K3" s="71"/>
      <c r="L3" s="71"/>
      <c r="M3" s="70"/>
      <c r="N3" s="72"/>
      <c r="O3" s="72"/>
      <c r="P3" s="70"/>
      <c r="Q3" s="70"/>
      <c r="R3" s="70"/>
      <c r="S3" s="70"/>
      <c r="T3" s="70"/>
      <c r="U3" s="70"/>
      <c r="V3" s="70"/>
      <c r="W3" s="70"/>
      <c r="X3" s="70"/>
      <c r="Y3" s="70"/>
      <c r="Z3" s="70"/>
      <c r="AA3" s="70"/>
      <c r="AB3" s="70"/>
      <c r="AC3" s="70"/>
    </row>
    <row r="4" spans="1:29">
      <c r="A4" s="84"/>
      <c r="B4" s="73" t="str">
        <f>IF(C$16=L$16,"executable=install_single_release_summit/bin/genomics_metric ar_opts='PAMI_IBV_ENABLE_DCT=1 PAMI_ENABLE_STRIPING=1 PAMI_IBV_ADAPTER_AFFINITY=0 PAMI_IBV_QP_SERVICE_LEVEL=8 PAMI_IBV_ENABLE_OOO_AR=1'","")</f>
        <v>executable=install_single_release_summit/bin/genomics_metric ar_opts='PAMI_IBV_ENABLE_DCT=1 PAMI_ENABLE_STRIPING=1 PAMI_IBV_ADAPTER_AFFINITY=0 PAMI_IBV_QP_SERVICE_LEVEL=8 PAMI_IBV_ENABLE_OOO_AR=1'</v>
      </c>
    </row>
    <row r="5" spans="1:29">
      <c r="A5" s="84"/>
      <c r="B5" s="73" t="str">
        <f>IF(C$16=L$16,CONCATENATE("launch_command=""env OMP_NUM_THREADS=7 $ar_opts jsrun --nrs ",C49," --bind packed:7 --cpu_per_rs 7 --gpu_per_rs 1 --rs_per_host 6 --tasks_per_rs 1 -X 1"""),"")</f>
        <v>launch_command="env OMP_NUM_THREADS=7 $ar_opts jsrun --nrs 8004 --bind packed:7 --cpu_per_rs 7 --gpu_per_rs 1 --rs_per_host 6 --tasks_per_rs 1 -X 1"</v>
      </c>
    </row>
    <row r="6" spans="1:29">
      <c r="A6" s="85"/>
      <c r="B6" s="74" t="str">
        <f>IF(C$16=L$16,CONCATENATE("$launch_command $executable --num_way ",C10," --metric_type ",C11," --sparse ",C12," --num_vector ",C13," --num_field ",C14," --all2all yes --compute_method GPU --num_proc_vector ",C19," --num_proc_field ",C20," --num_proc_repl ",C21," --tc ",O39," --num_tc_steps ",C23," --num_phase ",C24," --num_stage ",C25," --verbosity 1 --checksum no --phase_min ",MAX(0,C24-1)," --phase_max ",C24-1," --stage_min ",MAX(0,C25-1)," --stage_max ",C25-1),"")</f>
        <v>$launch_command $executable --num_way 3 --metric_type ccc --sparse yes --num_vector 1000000 --num_field 2000 --all2all yes --compute_method GPU --num_proc_vector 100 --num_proc_field 1 --num_proc_repl 80 --tc 1 --num_tc_steps 1 --num_phase 130 --num_stage 280 --verbosity 1 --checksum no --phase_min 129 --phase_max 129 --stage_min 279 --stage_max 279</v>
      </c>
      <c r="C6" s="75"/>
      <c r="D6" s="76"/>
      <c r="E6" s="76"/>
      <c r="F6" s="77"/>
      <c r="G6" s="76"/>
      <c r="H6" s="77"/>
      <c r="I6" s="76"/>
      <c r="J6" s="76"/>
      <c r="K6" s="77"/>
      <c r="L6" s="77"/>
      <c r="M6" s="76"/>
      <c r="N6" s="78"/>
      <c r="O6" s="78"/>
      <c r="P6" s="76"/>
      <c r="Q6" s="76"/>
      <c r="R6" s="76"/>
      <c r="S6" s="76"/>
      <c r="T6" s="76"/>
      <c r="U6" s="76"/>
      <c r="V6" s="76"/>
      <c r="W6" s="76"/>
      <c r="X6" s="76"/>
      <c r="Y6" s="76"/>
      <c r="Z6" s="76"/>
      <c r="AA6" s="76"/>
      <c r="AB6" s="76"/>
      <c r="AC6" s="76"/>
    </row>
    <row r="7" spans="1:29">
      <c r="B7" s="13"/>
      <c r="C7" s="37"/>
      <c r="D7" s="12"/>
      <c r="E7" s="12"/>
      <c r="F7" s="13"/>
      <c r="G7" s="12"/>
      <c r="H7" s="13"/>
      <c r="I7" s="12"/>
      <c r="J7" s="12"/>
      <c r="K7" s="13"/>
      <c r="L7" s="13"/>
      <c r="M7" s="12"/>
      <c r="N7" s="67"/>
      <c r="O7" s="67"/>
      <c r="P7" s="12"/>
      <c r="Q7" s="12"/>
      <c r="R7" s="12"/>
      <c r="S7" s="12"/>
      <c r="T7" s="12"/>
      <c r="U7" s="12"/>
      <c r="V7" s="12"/>
      <c r="W7" s="12"/>
      <c r="X7" s="12"/>
      <c r="Y7" s="12"/>
      <c r="Z7" s="12"/>
      <c r="AA7" s="12"/>
      <c r="AB7" s="12"/>
      <c r="AC7" s="12"/>
    </row>
    <row r="8" spans="1:29">
      <c r="B8" s="7" t="s">
        <v>0</v>
      </c>
      <c r="C8" s="8" t="s">
        <v>1</v>
      </c>
      <c r="D8" s="7"/>
      <c r="E8" s="7"/>
      <c r="F8" s="86" t="s">
        <v>20</v>
      </c>
      <c r="G8" s="87"/>
      <c r="H8" s="88"/>
      <c r="I8" s="7"/>
      <c r="J8" s="7"/>
      <c r="K8" s="9" t="s">
        <v>21</v>
      </c>
      <c r="L8" s="9"/>
      <c r="M8" s="7"/>
      <c r="N8" s="55" t="s">
        <v>53</v>
      </c>
      <c r="O8" s="55"/>
    </row>
    <row r="9" spans="1:29">
      <c r="B9" s="30"/>
      <c r="C9" s="36"/>
      <c r="E9" s="17"/>
      <c r="F9" s="26" t="s">
        <v>16</v>
      </c>
      <c r="G9" s="27" t="s">
        <v>17</v>
      </c>
      <c r="H9" s="28" t="s">
        <v>42</v>
      </c>
      <c r="I9" s="47" t="s">
        <v>104</v>
      </c>
      <c r="K9" s="5" t="s">
        <v>6</v>
      </c>
      <c r="L9" s="5">
        <v>2</v>
      </c>
      <c r="N9" s="53" t="s">
        <v>39</v>
      </c>
      <c r="O9" s="53">
        <f>1024*1024*1024</f>
        <v>1073741824</v>
      </c>
    </row>
    <row r="10" spans="1:29">
      <c r="A10" s="89" t="s">
        <v>129</v>
      </c>
      <c r="B10" s="31" t="s">
        <v>6</v>
      </c>
      <c r="C10" s="38">
        <v>3</v>
      </c>
      <c r="D10" s="35"/>
      <c r="E10" s="18" t="s">
        <v>31</v>
      </c>
      <c r="F10" s="23">
        <f>6*0.85</f>
        <v>5.0999999999999996</v>
      </c>
      <c r="G10" s="24">
        <f>16*0.95</f>
        <v>15.2</v>
      </c>
      <c r="H10" s="25"/>
      <c r="I10" s="48">
        <f>IF(C$16=F$9,F10,IF(C$16=G$9,G10,H10))</f>
        <v>15.2</v>
      </c>
      <c r="K10" s="5"/>
      <c r="L10" s="5">
        <v>3</v>
      </c>
      <c r="N10" s="53" t="s">
        <v>40</v>
      </c>
      <c r="O10" s="53">
        <f>1000000000</f>
        <v>1000000000</v>
      </c>
    </row>
    <row r="11" spans="1:29">
      <c r="A11" s="90"/>
      <c r="B11" s="32" t="s">
        <v>2</v>
      </c>
      <c r="C11" s="39" t="s">
        <v>23</v>
      </c>
      <c r="D11" s="35"/>
      <c r="E11" s="19" t="s">
        <v>30</v>
      </c>
      <c r="F11" s="21">
        <v>1</v>
      </c>
      <c r="G11" s="2">
        <v>6</v>
      </c>
      <c r="H11" s="14">
        <v>1</v>
      </c>
      <c r="I11" s="49">
        <f t="shared" ref="I11:I12" si="0">IF(C$16=F$9,F11,IF(C$16=G$9,G11,H11))</f>
        <v>6</v>
      </c>
      <c r="K11" s="5" t="s">
        <v>2</v>
      </c>
      <c r="L11" s="5" t="s">
        <v>22</v>
      </c>
    </row>
    <row r="12" spans="1:29">
      <c r="A12" s="10"/>
      <c r="B12" s="32" t="s">
        <v>3</v>
      </c>
      <c r="C12" s="39" t="s">
        <v>25</v>
      </c>
      <c r="D12" s="35"/>
      <c r="E12" s="19" t="s">
        <v>32</v>
      </c>
      <c r="F12" s="21">
        <v>31</v>
      </c>
      <c r="G12" s="2">
        <v>420</v>
      </c>
      <c r="H12" s="14"/>
      <c r="I12" s="49">
        <f t="shared" si="0"/>
        <v>420</v>
      </c>
      <c r="K12" s="5"/>
      <c r="L12" s="5" t="s">
        <v>23</v>
      </c>
      <c r="N12" s="53" t="s">
        <v>44</v>
      </c>
      <c r="O12" s="53">
        <v>8</v>
      </c>
    </row>
    <row r="13" spans="1:29">
      <c r="A13" s="10"/>
      <c r="B13" s="32" t="s">
        <v>4</v>
      </c>
      <c r="C13" s="39">
        <v>1000000</v>
      </c>
      <c r="D13" s="35"/>
      <c r="E13" s="20" t="s">
        <v>36</v>
      </c>
      <c r="F13" s="22">
        <v>18688</v>
      </c>
      <c r="G13" s="15">
        <v>4608</v>
      </c>
      <c r="H13" s="16"/>
      <c r="I13" s="49">
        <f>IF(C$16=F$9,F13,IF(C$16=G$9,G13,H13))</f>
        <v>4608</v>
      </c>
      <c r="K13" s="5" t="s">
        <v>3</v>
      </c>
      <c r="L13" s="5" t="s">
        <v>24</v>
      </c>
    </row>
    <row r="14" spans="1:29">
      <c r="A14" s="10"/>
      <c r="B14" s="33" t="s">
        <v>5</v>
      </c>
      <c r="C14" s="40">
        <v>2000</v>
      </c>
      <c r="D14" s="29"/>
      <c r="E14" s="12"/>
      <c r="F14" s="13"/>
      <c r="G14" s="12"/>
      <c r="H14" s="13"/>
      <c r="I14" s="49"/>
      <c r="K14" s="5"/>
      <c r="L14" s="5" t="s">
        <v>25</v>
      </c>
      <c r="N14" s="53" t="s">
        <v>45</v>
      </c>
      <c r="O14" s="53">
        <v>4</v>
      </c>
    </row>
    <row r="15" spans="1:29">
      <c r="B15" s="34"/>
      <c r="C15" s="41"/>
      <c r="E15" s="50" t="s">
        <v>37</v>
      </c>
      <c r="F15" s="45">
        <f>F11*F13</f>
        <v>18688</v>
      </c>
      <c r="G15" s="45">
        <f>G11*G13</f>
        <v>27648</v>
      </c>
      <c r="H15" s="45">
        <f>H10*O9</f>
        <v>0</v>
      </c>
      <c r="I15" s="49">
        <f t="shared" ref="I15:I19" si="1">IF(C$16=F$9,F15,IF(C$16=G$9,G15,H15))</f>
        <v>27648</v>
      </c>
      <c r="K15" s="5" t="s">
        <v>18</v>
      </c>
      <c r="L15" s="5" t="s">
        <v>16</v>
      </c>
      <c r="N15" s="53" t="s">
        <v>46</v>
      </c>
      <c r="O15" s="53">
        <v>8</v>
      </c>
    </row>
    <row r="16" spans="1:29">
      <c r="A16" s="89" t="s">
        <v>108</v>
      </c>
      <c r="B16" s="31" t="s">
        <v>18</v>
      </c>
      <c r="C16" s="38" t="s">
        <v>17</v>
      </c>
      <c r="D16" s="29"/>
      <c r="E16" s="50" t="s">
        <v>38</v>
      </c>
      <c r="F16" s="45">
        <f>F10*$O9</f>
        <v>5476083302.3999996</v>
      </c>
      <c r="G16" s="45">
        <f t="shared" ref="G16:H16" si="2">G10*$O9</f>
        <v>16320875724.799999</v>
      </c>
      <c r="H16" s="45">
        <f t="shared" si="2"/>
        <v>0</v>
      </c>
      <c r="I16" s="49">
        <f t="shared" si="1"/>
        <v>16320875724.799999</v>
      </c>
      <c r="K16" s="5"/>
      <c r="L16" s="5" t="s">
        <v>17</v>
      </c>
      <c r="N16" s="53" t="s">
        <v>47</v>
      </c>
      <c r="O16" s="53">
        <f>IF(C17=L18,O14,O15)</f>
        <v>4</v>
      </c>
    </row>
    <row r="17" spans="1:15">
      <c r="A17" s="90"/>
      <c r="B17" s="32" t="s">
        <v>15</v>
      </c>
      <c r="C17" s="39" t="s">
        <v>28</v>
      </c>
      <c r="D17" s="29"/>
      <c r="E17" s="50" t="s">
        <v>41</v>
      </c>
      <c r="F17" s="45">
        <f>F12*$O9/F11</f>
        <v>33285996544</v>
      </c>
      <c r="G17" s="45">
        <f t="shared" ref="G17:H17" si="3">G12*$O9/G11</f>
        <v>75161927680</v>
      </c>
      <c r="H17" s="45">
        <f t="shared" si="3"/>
        <v>0</v>
      </c>
      <c r="I17" s="49">
        <f t="shared" si="1"/>
        <v>75161927680</v>
      </c>
      <c r="K17" s="5"/>
      <c r="L17" s="5" t="s">
        <v>19</v>
      </c>
    </row>
    <row r="18" spans="1:15">
      <c r="A18" s="10"/>
      <c r="B18" s="32" t="s">
        <v>7</v>
      </c>
      <c r="C18" s="39" t="s">
        <v>8</v>
      </c>
      <c r="D18" s="29"/>
      <c r="I18" s="49"/>
      <c r="K18" s="5" t="s">
        <v>15</v>
      </c>
      <c r="L18" s="5" t="s">
        <v>28</v>
      </c>
      <c r="N18" s="53" t="s">
        <v>54</v>
      </c>
      <c r="O18" s="53">
        <v>8</v>
      </c>
    </row>
    <row r="19" spans="1:15">
      <c r="A19" s="10"/>
      <c r="B19" s="32" t="s">
        <v>43</v>
      </c>
      <c r="C19" s="39">
        <v>100</v>
      </c>
      <c r="D19" s="29"/>
      <c r="E19" s="1" t="s">
        <v>124</v>
      </c>
      <c r="F19" s="3">
        <f>100000000/30</f>
        <v>3333333.3333333335</v>
      </c>
      <c r="G19" s="3">
        <v>300000</v>
      </c>
      <c r="H19" s="3"/>
      <c r="I19" s="49">
        <f t="shared" si="1"/>
        <v>300000</v>
      </c>
      <c r="K19" s="5"/>
      <c r="L19" s="5" t="s">
        <v>29</v>
      </c>
    </row>
    <row r="20" spans="1:15">
      <c r="A20" s="10"/>
      <c r="B20" s="32" t="s">
        <v>9</v>
      </c>
      <c r="C20" s="39">
        <v>1</v>
      </c>
      <c r="D20" s="29"/>
      <c r="K20" s="5" t="s">
        <v>7</v>
      </c>
      <c r="L20" s="5" t="s">
        <v>26</v>
      </c>
      <c r="N20" s="53" t="s">
        <v>48</v>
      </c>
      <c r="O20" s="53">
        <v>2</v>
      </c>
    </row>
    <row r="21" spans="1:15">
      <c r="A21" s="10"/>
      <c r="B21" s="32" t="s">
        <v>10</v>
      </c>
      <c r="C21" s="39">
        <v>80</v>
      </c>
      <c r="D21" s="29"/>
      <c r="E21" s="1" t="s">
        <v>103</v>
      </c>
      <c r="F21" s="2">
        <f>IF(N36=1,F22,F25)</f>
        <v>2.0579999999999998</v>
      </c>
      <c r="G21" s="2">
        <f>IF(O36=1,G22,G25)</f>
        <v>81.611000000000004</v>
      </c>
      <c r="I21" s="48">
        <f t="shared" ref="I21:I27" si="4">IF(C$16=F$9,F21,IF(C$16=G$9,G21,H21))</f>
        <v>81.611000000000004</v>
      </c>
      <c r="K21" s="5"/>
      <c r="L21" s="5" t="s">
        <v>8</v>
      </c>
      <c r="N21" s="53" t="s">
        <v>49</v>
      </c>
      <c r="O21" s="53">
        <v>1</v>
      </c>
    </row>
    <row r="22" spans="1:15">
      <c r="A22" s="10"/>
      <c r="B22" s="32" t="s">
        <v>11</v>
      </c>
      <c r="C22" s="39" t="s">
        <v>34</v>
      </c>
      <c r="D22" s="29"/>
      <c r="E22" s="4" t="s">
        <v>101</v>
      </c>
      <c r="F22" s="6">
        <f>IF(O36=1,F23,F24)</f>
        <v>9.1080000000000005</v>
      </c>
      <c r="G22" s="6">
        <f>IF(O34=1,G23,G24)</f>
        <v>295.63299999999998</v>
      </c>
      <c r="H22" s="6"/>
      <c r="I22" s="11">
        <f t="shared" si="4"/>
        <v>295.63299999999998</v>
      </c>
      <c r="K22" s="5"/>
      <c r="L22" s="5" t="s">
        <v>27</v>
      </c>
      <c r="N22" s="53" t="s">
        <v>50</v>
      </c>
      <c r="O22" s="53">
        <f>IF(C22=L24,O20,IF(C22=L25,O21,0))</f>
        <v>2</v>
      </c>
    </row>
    <row r="23" spans="1:15">
      <c r="A23" s="10"/>
      <c r="B23" s="32" t="s">
        <v>12</v>
      </c>
      <c r="C23" s="39">
        <v>1</v>
      </c>
      <c r="D23" s="29"/>
      <c r="E23" s="4" t="s">
        <v>97</v>
      </c>
      <c r="F23" s="6">
        <f>IF(C17=L18,4.289,1.697)</f>
        <v>4.2889999999999997</v>
      </c>
      <c r="G23" s="6">
        <f>IF(C17=L18,94.768,29.586)</f>
        <v>94.768000000000001</v>
      </c>
      <c r="H23" s="6"/>
      <c r="I23" s="11">
        <f t="shared" si="4"/>
        <v>94.768000000000001</v>
      </c>
      <c r="K23" s="5" t="s">
        <v>11</v>
      </c>
      <c r="L23" s="53" t="s">
        <v>33</v>
      </c>
    </row>
    <row r="24" spans="1:15">
      <c r="A24" s="10"/>
      <c r="B24" s="32" t="s">
        <v>13</v>
      </c>
      <c r="C24" s="39">
        <v>130</v>
      </c>
      <c r="D24" s="29"/>
      <c r="E24" s="4" t="s">
        <v>98</v>
      </c>
      <c r="F24" s="6">
        <f>9.108</f>
        <v>9.1080000000000005</v>
      </c>
      <c r="G24" s="6">
        <f>IF(O35=1,295.633,IF(O32=1,71.587,104.37))</f>
        <v>295.63299999999998</v>
      </c>
      <c r="H24" s="6"/>
      <c r="I24" s="11">
        <f t="shared" si="4"/>
        <v>295.63299999999998</v>
      </c>
      <c r="K24" s="5"/>
      <c r="L24" s="53" t="s">
        <v>34</v>
      </c>
      <c r="N24" s="53" t="s">
        <v>56</v>
      </c>
      <c r="O24" s="53">
        <f>O15</f>
        <v>8</v>
      </c>
    </row>
    <row r="25" spans="1:15">
      <c r="A25" s="10"/>
      <c r="B25" s="33" t="s">
        <v>14</v>
      </c>
      <c r="C25" s="40">
        <v>280</v>
      </c>
      <c r="D25" s="29"/>
      <c r="E25" s="4" t="s">
        <v>102</v>
      </c>
      <c r="F25" s="6">
        <f>IF(O34=1,F26,F27)</f>
        <v>2.0579999999999998</v>
      </c>
      <c r="G25" s="6">
        <f>IF(O34=1,G26,G27)</f>
        <v>81.611000000000004</v>
      </c>
      <c r="H25" s="6"/>
      <c r="I25" s="11">
        <f t="shared" si="4"/>
        <v>81.611000000000004</v>
      </c>
      <c r="K25" s="5"/>
      <c r="L25" s="53" t="s">
        <v>35</v>
      </c>
      <c r="N25" s="53" t="s">
        <v>57</v>
      </c>
      <c r="O25" s="53">
        <f>2*O15</f>
        <v>16</v>
      </c>
    </row>
    <row r="26" spans="1:15">
      <c r="B26" s="13"/>
      <c r="C26" s="37"/>
      <c r="E26" s="4" t="s">
        <v>99</v>
      </c>
      <c r="F26" s="6">
        <f>IF(C17=L18,5.695,2.445)</f>
        <v>5.6950000000000003</v>
      </c>
      <c r="G26" s="6">
        <f>IF(C17=L18,72.499,27.755)</f>
        <v>72.498999999999995</v>
      </c>
      <c r="H26" s="6"/>
      <c r="I26" s="11">
        <f t="shared" si="4"/>
        <v>72.498999999999995</v>
      </c>
      <c r="K26" s="6"/>
      <c r="L26" s="53"/>
      <c r="N26" s="53" t="s">
        <v>92</v>
      </c>
      <c r="O26" s="53">
        <f>IF(C10=L9,O24,O25)</f>
        <v>16</v>
      </c>
    </row>
    <row r="27" spans="1:15">
      <c r="B27" s="2" t="s">
        <v>109</v>
      </c>
      <c r="C27" s="2">
        <f>IF(C16=L15,0,O40)</f>
        <v>2</v>
      </c>
      <c r="E27" s="4" t="s">
        <v>100</v>
      </c>
      <c r="F27" s="6">
        <f>2.058</f>
        <v>2.0579999999999998</v>
      </c>
      <c r="G27" s="6">
        <f>IF(O35=1,81.611,IF(O32=1,21.163,23.672))</f>
        <v>81.611000000000004</v>
      </c>
      <c r="H27" s="6"/>
      <c r="I27" s="11">
        <f t="shared" si="4"/>
        <v>81.611000000000004</v>
      </c>
      <c r="L27" s="53"/>
    </row>
    <row r="28" spans="1:15">
      <c r="B28" s="44" t="s">
        <v>95</v>
      </c>
      <c r="C28" s="45">
        <f>IF(O36=1,1+FLOOR(C19,2)/2,(C19+1)*(C19+2)/2)</f>
        <v>5151</v>
      </c>
      <c r="L28" s="54"/>
      <c r="N28" s="53" t="s">
        <v>114</v>
      </c>
      <c r="O28" s="53">
        <f>IF(C11=L11,O16,IF(O35=1,O22,2*O15))</f>
        <v>2</v>
      </c>
    </row>
    <row r="29" spans="1:15">
      <c r="B29" s="2" t="s">
        <v>112</v>
      </c>
      <c r="C29" s="42">
        <f>C24/C28</f>
        <v>2.5237817899437003E-2</v>
      </c>
      <c r="L29" s="53"/>
      <c r="N29" s="53" t="s">
        <v>115</v>
      </c>
      <c r="O29" s="53">
        <f>IF(C11=L11,O16,IF(O35=1,4,2*O15))</f>
        <v>4</v>
      </c>
    </row>
    <row r="30" spans="1:15">
      <c r="B30" s="44" t="s">
        <v>93</v>
      </c>
      <c r="C30" s="44">
        <f>IF(O36=1,1,O42)</f>
        <v>1E+30</v>
      </c>
      <c r="L30" s="53"/>
    </row>
    <row r="31" spans="1:15">
      <c r="B31" s="2" t="s">
        <v>112</v>
      </c>
      <c r="C31" s="42">
        <f>C25/C30</f>
        <v>2.7999999999999998E-28</v>
      </c>
      <c r="L31" s="53"/>
      <c r="N31" s="53" t="s">
        <v>70</v>
      </c>
      <c r="O31" s="53">
        <f>IF(C20&gt;1,1,0)</f>
        <v>0</v>
      </c>
    </row>
    <row r="32" spans="1:15">
      <c r="B32" s="2" t="s">
        <v>111</v>
      </c>
      <c r="C32" s="61">
        <f>IF(O36=1,(1+FLOOR(C19,2)/2)/C21/C24,(C19+1)*(C19+2)/C21/C24)</f>
        <v>0.99057692307692313</v>
      </c>
      <c r="L32" s="53"/>
      <c r="N32" s="53" t="s">
        <v>75</v>
      </c>
      <c r="O32" s="53">
        <f>IF(C12=L14,1,0)</f>
        <v>1</v>
      </c>
    </row>
    <row r="33" spans="2:15">
      <c r="B33" s="2" t="s">
        <v>113</v>
      </c>
      <c r="C33" s="42">
        <f>(CEILING(C32,1)-C32)/C32</f>
        <v>9.5127159774800445E-3</v>
      </c>
      <c r="L33" s="53"/>
      <c r="N33" s="53" t="s">
        <v>81</v>
      </c>
      <c r="O33" s="53">
        <f>IF(C11=L12,1,0)</f>
        <v>1</v>
      </c>
    </row>
    <row r="34" spans="2:15">
      <c r="B34" s="2" t="s">
        <v>130</v>
      </c>
      <c r="C34" s="61">
        <f>IF(O37=1,C72/6/C25,"N/A")</f>
        <v>5.9571428571428573</v>
      </c>
      <c r="L34" s="53"/>
      <c r="N34" s="53" t="s">
        <v>86</v>
      </c>
      <c r="O34" s="53">
        <f>1-O33</f>
        <v>0</v>
      </c>
    </row>
    <row r="35" spans="2:15">
      <c r="L35" s="53"/>
      <c r="N35" s="53" t="s">
        <v>84</v>
      </c>
      <c r="O35" s="53">
        <f>IF(C22=L23,0,1)</f>
        <v>1</v>
      </c>
    </row>
    <row r="36" spans="2:15">
      <c r="B36" s="2" t="s">
        <v>69</v>
      </c>
      <c r="C36" s="3">
        <f>O35*2*(CEILING(C73,C23)/C23)*(2*C71)*O22</f>
        <v>160032000</v>
      </c>
      <c r="L36" s="53"/>
      <c r="N36" s="53" t="s">
        <v>90</v>
      </c>
      <c r="O36" s="56">
        <f>IF(C10=L9,1,0)</f>
        <v>0</v>
      </c>
    </row>
    <row r="37" spans="2:15">
      <c r="B37" s="2" t="s">
        <v>66</v>
      </c>
      <c r="C37" s="3" t="str">
        <f>IF(O36=1,3*C76+(2+O31)*C77+C36,"N/A")</f>
        <v>N/A</v>
      </c>
      <c r="L37" s="53"/>
      <c r="N37" s="53" t="s">
        <v>91</v>
      </c>
      <c r="O37" s="56">
        <f>IF(C10=L10,1,0)</f>
        <v>1</v>
      </c>
    </row>
    <row r="38" spans="2:15">
      <c r="B38" s="2" t="s">
        <v>68</v>
      </c>
      <c r="C38" s="3">
        <f>O37*((3*C76)+(2*C76+2*C77+O31*2*C77+O34*3*C77)+C36)</f>
        <v>3386317128</v>
      </c>
      <c r="L38" s="53"/>
      <c r="N38" s="53" t="s">
        <v>6</v>
      </c>
      <c r="O38" s="53">
        <f>O36*2+O37*3</f>
        <v>3</v>
      </c>
    </row>
    <row r="39" spans="2:15">
      <c r="B39" s="2" t="s">
        <v>67</v>
      </c>
      <c r="C39" s="3">
        <f>IF(O36=1,C37,C38)</f>
        <v>3386317128</v>
      </c>
      <c r="N39" s="53" t="s">
        <v>11</v>
      </c>
      <c r="O39" s="53">
        <f>IF(C22=L23,0,IF(C22=L24,1,2))</f>
        <v>1</v>
      </c>
    </row>
    <row r="40" spans="2:15">
      <c r="B40" s="2" t="s">
        <v>79</v>
      </c>
      <c r="C40" s="42">
        <f>C39/I16</f>
        <v>0.20748378856009558</v>
      </c>
      <c r="N40" s="53" t="s">
        <v>110</v>
      </c>
      <c r="O40" s="53">
        <v>2</v>
      </c>
    </row>
    <row r="41" spans="2:15">
      <c r="B41" s="2" t="s">
        <v>135</v>
      </c>
      <c r="C41" s="42">
        <f>C39/I16</f>
        <v>0.20748378856009558</v>
      </c>
    </row>
    <row r="42" spans="2:15">
      <c r="N42" s="53" t="s">
        <v>94</v>
      </c>
      <c r="O42" s="57">
        <v>1E+30</v>
      </c>
    </row>
    <row r="43" spans="2:15">
      <c r="B43" s="2" t="s">
        <v>71</v>
      </c>
      <c r="C43" s="3" t="str">
        <f>IF(O36=1,C76+(C37-C36)+2*C80+C83,"N/A")</f>
        <v>N/A</v>
      </c>
    </row>
    <row r="44" spans="2:15">
      <c r="B44" s="2" t="s">
        <v>72</v>
      </c>
      <c r="C44" s="3">
        <f>IF(O37=1,C76+(C38-C36)+3*C80+C83,"N/A")</f>
        <v>46448807904</v>
      </c>
      <c r="N44" s="53" t="s">
        <v>51</v>
      </c>
      <c r="O44" s="56">
        <f>IF(O33=1,2,O12*O16)</f>
        <v>2</v>
      </c>
    </row>
    <row r="45" spans="2:15">
      <c r="B45" s="2" t="s">
        <v>73</v>
      </c>
      <c r="C45" s="3">
        <f>IF(O36=1,C43,C44)</f>
        <v>46448807904</v>
      </c>
      <c r="N45" s="53" t="s">
        <v>52</v>
      </c>
      <c r="O45" s="56">
        <f>IF(O34=1,O16,O15*POWER(2,O38)/2)</f>
        <v>32</v>
      </c>
    </row>
    <row r="46" spans="2:15">
      <c r="B46" s="2" t="s">
        <v>80</v>
      </c>
      <c r="C46" s="42">
        <f>C45/I17</f>
        <v>0.61798319092818665</v>
      </c>
      <c r="N46" s="53" t="s">
        <v>105</v>
      </c>
      <c r="O46" s="53">
        <f>IF(O34=1,O16,O15*POWER(2,2)/2)</f>
        <v>16</v>
      </c>
    </row>
    <row r="47" spans="2:15">
      <c r="N47" s="53" t="s">
        <v>60</v>
      </c>
      <c r="O47" s="56">
        <f>O18</f>
        <v>8</v>
      </c>
    </row>
    <row r="48" spans="2:15">
      <c r="B48" s="2" t="s">
        <v>116</v>
      </c>
      <c r="C48" s="3">
        <f>C19*C20*C21</f>
        <v>8000</v>
      </c>
      <c r="N48" s="53" t="s">
        <v>55</v>
      </c>
      <c r="O48" s="56">
        <f>IF(O33=1,O26,0)</f>
        <v>16</v>
      </c>
    </row>
    <row r="49" spans="2:15">
      <c r="B49" s="2" t="s">
        <v>117</v>
      </c>
      <c r="C49" s="36">
        <f>CEILING(C48,I11)</f>
        <v>8004</v>
      </c>
      <c r="N49" s="53" t="s">
        <v>58</v>
      </c>
      <c r="O49" s="56">
        <f>IF(O32=1, O48,0)</f>
        <v>16</v>
      </c>
    </row>
    <row r="50" spans="2:15">
      <c r="B50" s="79" t="s">
        <v>118</v>
      </c>
      <c r="C50" s="82">
        <f>C49/I11</f>
        <v>1334</v>
      </c>
      <c r="D50" s="29"/>
      <c r="N50" s="53" t="s">
        <v>59</v>
      </c>
      <c r="O50" s="56">
        <f>O45+O47+O48+O49</f>
        <v>72</v>
      </c>
    </row>
    <row r="51" spans="2:15">
      <c r="B51" s="2" t="s">
        <v>133</v>
      </c>
      <c r="C51" s="81">
        <f>C50/I13</f>
        <v>0.28949652777777779</v>
      </c>
    </row>
    <row r="52" spans="2:15">
      <c r="B52" s="2" t="s">
        <v>132</v>
      </c>
      <c r="C52" s="42">
        <f>C51/0.2</f>
        <v>1.4474826388888888</v>
      </c>
    </row>
    <row r="54" spans="2:15">
      <c r="B54" s="2" t="s">
        <v>82</v>
      </c>
      <c r="C54" s="3">
        <f>IF(O35=1,CEILING(C73,C23)/C23,IF(O33=0,C73,CEILING(C73,64)/64))</f>
        <v>2000</v>
      </c>
    </row>
    <row r="55" spans="2:15">
      <c r="B55" s="2" t="s">
        <v>83</v>
      </c>
      <c r="C55" s="3">
        <f>C71*(1+O35)</f>
        <v>20004</v>
      </c>
    </row>
    <row r="56" spans="2:15">
      <c r="B56" s="2" t="s">
        <v>85</v>
      </c>
      <c r="C56" s="43">
        <f>MAX(C54/C55,C55/C54)</f>
        <v>10.002000000000001</v>
      </c>
    </row>
    <row r="57" spans="2:15">
      <c r="B57" s="2" t="s">
        <v>119</v>
      </c>
      <c r="C57" s="3">
        <f>2*C54*C55*O28+C55*C55*O29</f>
        <v>1760672064</v>
      </c>
    </row>
    <row r="59" spans="2:15">
      <c r="B59" s="2" t="s">
        <v>87</v>
      </c>
      <c r="C59" s="3" t="str">
        <f>IF(O36=1,CEILING(CEILING(CEILING(C19+1,2)/2,C21)/C21,C24)/C24,"N/A")</f>
        <v>N/A</v>
      </c>
    </row>
    <row r="60" spans="2:15">
      <c r="B60" s="2" t="s">
        <v>88</v>
      </c>
      <c r="C60" s="3">
        <f>IF(O37=1,CEILING((C19+1)*(C19+2),C21*C24)/(C21*C24),"N/A")</f>
        <v>1</v>
      </c>
    </row>
    <row r="61" spans="2:15">
      <c r="B61" s="2" t="s">
        <v>89</v>
      </c>
      <c r="C61" s="3">
        <f>IF(O37=1,C78,"N/A")</f>
        <v>6</v>
      </c>
    </row>
    <row r="63" spans="2:15">
      <c r="B63" s="2" t="s">
        <v>96</v>
      </c>
      <c r="C63" s="46">
        <f>IF(O36=1,C14*C13*C13/2,C14*C13*C13*C13/6)</f>
        <v>3.3333333333333331E+20</v>
      </c>
    </row>
    <row r="64" spans="2:15">
      <c r="B64" s="30" t="s">
        <v>121</v>
      </c>
      <c r="C64" s="58">
        <f>I21*1000000000000000</f>
        <v>8.1611E+16</v>
      </c>
    </row>
    <row r="65" spans="1:7">
      <c r="B65" s="60" t="s">
        <v>120</v>
      </c>
      <c r="C65" s="59">
        <f>1.75/82</f>
        <v>2.1341463414634148E-2</v>
      </c>
    </row>
    <row r="66" spans="1:7">
      <c r="B66" s="13" t="s">
        <v>122</v>
      </c>
      <c r="C66" s="80">
        <f>C64*C65</f>
        <v>1741698170731707.5</v>
      </c>
    </row>
    <row r="67" spans="1:7">
      <c r="B67" s="79" t="s">
        <v>123</v>
      </c>
      <c r="C67" s="82">
        <f>C63/C66/3600*I13</f>
        <v>244971.6453956078</v>
      </c>
      <c r="D67" s="29"/>
    </row>
    <row r="68" spans="1:7">
      <c r="B68" s="2" t="s">
        <v>125</v>
      </c>
      <c r="C68" s="81">
        <f>C67/I19</f>
        <v>0.81657215131869265</v>
      </c>
    </row>
    <row r="69" spans="1:7">
      <c r="C69" s="1"/>
    </row>
    <row r="71" spans="1:7">
      <c r="A71" s="91" t="s">
        <v>134</v>
      </c>
      <c r="B71" s="2" t="s">
        <v>61</v>
      </c>
      <c r="C71" s="3">
        <f>CEILING(CEILING(C13,C19)/C19,IF(O37=1,6,1))</f>
        <v>10002</v>
      </c>
    </row>
    <row r="72" spans="1:7">
      <c r="A72" s="92"/>
      <c r="B72" s="2" t="s">
        <v>131</v>
      </c>
      <c r="C72" s="3">
        <f>IF(AND(O35=0,O37=0),C71,IF(O35=0,CEILING(C71,6),IF(O37=0,CEILING(C71,4),CEILING(C71,24))))</f>
        <v>10008</v>
      </c>
      <c r="E72" s="51"/>
    </row>
    <row r="73" spans="1:7">
      <c r="B73" s="2" t="s">
        <v>62</v>
      </c>
      <c r="C73" s="3">
        <f>CEILING(C14,C20)/C20</f>
        <v>2000</v>
      </c>
    </row>
    <row r="74" spans="1:7">
      <c r="G74" s="52"/>
    </row>
    <row r="75" spans="1:7">
      <c r="B75" s="2" t="s">
        <v>65</v>
      </c>
      <c r="C75" s="3">
        <f>CEILING(C73*O44,O12)/O12</f>
        <v>500</v>
      </c>
    </row>
    <row r="76" spans="1:7">
      <c r="A76" s="10"/>
      <c r="B76" s="2" t="s">
        <v>63</v>
      </c>
      <c r="C76" s="3">
        <f>C75*C71</f>
        <v>5001000</v>
      </c>
      <c r="D76" s="29"/>
    </row>
    <row r="77" spans="1:7">
      <c r="B77" s="2" t="s">
        <v>64</v>
      </c>
      <c r="C77" s="3">
        <f>O46*C71*C71</f>
        <v>1600640064</v>
      </c>
    </row>
    <row r="78" spans="1:7">
      <c r="B78" s="2" t="s">
        <v>107</v>
      </c>
      <c r="C78" s="3">
        <f>CEILING(C71,6*C25)/(6*C25)</f>
        <v>6</v>
      </c>
    </row>
    <row r="79" spans="1:7">
      <c r="B79" s="2" t="s">
        <v>106</v>
      </c>
      <c r="C79" s="3">
        <f>O50*C71*C71*C78</f>
        <v>43217281728</v>
      </c>
    </row>
    <row r="80" spans="1:7">
      <c r="B80" s="2" t="s">
        <v>74</v>
      </c>
      <c r="C80" s="3">
        <f>C71*O16*IF(O36=1,1,(1+O31)*(1+O32))</f>
        <v>80016</v>
      </c>
    </row>
    <row r="81" spans="2:3">
      <c r="B81" s="2" t="s">
        <v>77</v>
      </c>
      <c r="C81" s="3" t="str">
        <f>IF(O36=1,C77*C59,"N/A")</f>
        <v>N/A</v>
      </c>
    </row>
    <row r="82" spans="2:3">
      <c r="B82" s="2" t="s">
        <v>78</v>
      </c>
      <c r="C82" s="3">
        <f>IF(O37=1,C79*C60,"N/A")</f>
        <v>43217281728</v>
      </c>
    </row>
    <row r="83" spans="2:3">
      <c r="B83" s="2" t="s">
        <v>76</v>
      </c>
      <c r="C83" s="3">
        <f>IF(O36=1,C81,C82)</f>
        <v>43217281728</v>
      </c>
    </row>
  </sheetData>
  <mergeCells count="5">
    <mergeCell ref="A3:A6"/>
    <mergeCell ref="F8:H8"/>
    <mergeCell ref="A10:A11"/>
    <mergeCell ref="A16:A17"/>
    <mergeCell ref="A71:A72"/>
  </mergeCells>
  <conditionalFormatting sqref="C39">
    <cfRule type="colorScale" priority="13">
      <colorScale>
        <cfvo type="num" val="0"/>
        <cfvo type="num" val="$I$16 * 0.95"/>
        <cfvo type="num" val="$I$16"/>
        <color rgb="FF00FF01"/>
        <color rgb="FFFFFE00"/>
        <color rgb="FFFF7F82"/>
      </colorScale>
    </cfRule>
  </conditionalFormatting>
  <conditionalFormatting sqref="C50">
    <cfRule type="colorScale" priority="12">
      <colorScale>
        <cfvo type="num" val="0"/>
        <cfvo type="num" val="$I$13 * 0.98"/>
        <cfvo type="num" val="$I$13"/>
        <color rgb="FF00FF01"/>
        <color rgb="FFFFFE00"/>
        <color rgb="FFFF7F82"/>
      </colorScale>
    </cfRule>
  </conditionalFormatting>
  <conditionalFormatting sqref="C45">
    <cfRule type="colorScale" priority="11">
      <colorScale>
        <cfvo type="num" val="0"/>
        <cfvo type="num" val="$I$17 * 0.95"/>
        <cfvo type="num" val="$I$17"/>
        <color rgb="FF00FF01"/>
        <color rgb="FFFFFE00"/>
        <color rgb="FFFF7F82"/>
      </colorScale>
    </cfRule>
  </conditionalFormatting>
  <conditionalFormatting sqref="C40">
    <cfRule type="colorScale" priority="10">
      <colorScale>
        <cfvo type="num" val="0"/>
        <cfvo type="num" val="0.95"/>
        <cfvo type="num" val="1"/>
        <color rgb="FF00FF01"/>
        <color rgb="FFFFFE00"/>
        <color rgb="FFFF7F82"/>
      </colorScale>
    </cfRule>
  </conditionalFormatting>
  <conditionalFormatting sqref="C46">
    <cfRule type="colorScale" priority="9">
      <colorScale>
        <cfvo type="num" val="0"/>
        <cfvo type="num" val="0.95"/>
        <cfvo type="num" val="1"/>
        <color rgb="FF00FF01"/>
        <color rgb="FFFFFE00"/>
        <color rgb="FFFF7F82"/>
      </colorScale>
    </cfRule>
  </conditionalFormatting>
  <conditionalFormatting sqref="C51">
    <cfRule type="colorScale" priority="8">
      <colorScale>
        <cfvo type="num" val="0"/>
        <cfvo type="num" val="0.98"/>
        <cfvo type="num" val="1"/>
        <color rgb="FF00FF01"/>
        <color rgb="FFFFFE00"/>
        <color rgb="FFFF7F82"/>
      </colorScale>
    </cfRule>
  </conditionalFormatting>
  <conditionalFormatting sqref="C41">
    <cfRule type="colorScale" priority="7">
      <colorScale>
        <cfvo type="num" val="0"/>
        <cfvo type="num" val="0.7"/>
        <cfvo type="num" val="1"/>
        <color rgb="FFFF7F82"/>
        <color rgb="FFFFFE00"/>
        <color rgb="FF00FF01"/>
      </colorScale>
    </cfRule>
  </conditionalFormatting>
  <conditionalFormatting sqref="C33">
    <cfRule type="colorScale" priority="6">
      <colorScale>
        <cfvo type="num" val="0"/>
        <cfvo type="num" val="0.2"/>
        <cfvo type="num" val="1"/>
        <color rgb="FF00FF01"/>
        <color rgb="FFFFFE00"/>
        <color rgb="FFFF7F82"/>
      </colorScale>
    </cfRule>
  </conditionalFormatting>
  <conditionalFormatting sqref="C29">
    <cfRule type="colorScale" priority="14">
      <colorScale>
        <cfvo type="num" val="0"/>
        <cfvo type="formula" val="IF($C$29&gt;1,0.1,$O$42)"/>
        <color rgb="FF00FF01"/>
        <color rgb="FFFF7F82"/>
      </colorScale>
    </cfRule>
  </conditionalFormatting>
  <conditionalFormatting sqref="C31">
    <cfRule type="colorScale" priority="15">
      <colorScale>
        <cfvo type="num" val="0"/>
        <cfvo type="formula" val="IF($C$25&gt;$C$30,0.1,$O$42)"/>
        <color rgb="FF00FF01"/>
        <color rgb="FFFF7F82"/>
      </colorScale>
    </cfRule>
  </conditionalFormatting>
  <conditionalFormatting sqref="C27">
    <cfRule type="colorScale" priority="16">
      <colorScale>
        <cfvo type="num" val="-2"/>
        <cfvo type="formula" val="IF($O$39&gt;$C$27,-1,$O$42)"/>
        <color rgb="FF00FF01"/>
        <color rgb="FFFF7F82"/>
      </colorScale>
    </cfRule>
  </conditionalFormatting>
  <conditionalFormatting sqref="C59">
    <cfRule type="colorScale" priority="4">
      <colorScale>
        <cfvo type="num" val="1"/>
        <cfvo type="num" val="5"/>
        <cfvo type="num" val="20"/>
        <color rgb="FFFF7F82"/>
        <color rgb="FFFFFE00"/>
        <color rgb="FF00FF01"/>
      </colorScale>
    </cfRule>
  </conditionalFormatting>
  <conditionalFormatting sqref="C61">
    <cfRule type="colorScale" priority="3">
      <colorScale>
        <cfvo type="num" val="1"/>
        <cfvo type="num" val="5"/>
        <cfvo type="num" val="20"/>
        <color rgb="FFFF7F82"/>
        <color rgb="FFFFFE00"/>
        <color rgb="FF00FF01"/>
      </colorScale>
    </cfRule>
  </conditionalFormatting>
  <conditionalFormatting sqref="C68">
    <cfRule type="colorScale" priority="2">
      <colorScale>
        <cfvo type="num" val="0"/>
        <cfvo type="num" val="2"/>
        <cfvo type="num" val="4"/>
        <color rgb="FF00FF01"/>
        <color rgb="FFFFFE00"/>
        <color rgb="FFFF7F82"/>
      </colorScale>
    </cfRule>
  </conditionalFormatting>
  <conditionalFormatting sqref="C52">
    <cfRule type="colorScale" priority="1">
      <colorScale>
        <cfvo type="num" val="0.95"/>
        <cfvo type="num" val="1"/>
        <color rgb="FFFF7F82"/>
        <color rgb="FF00FF01"/>
      </colorScale>
    </cfRule>
  </conditionalFormatting>
  <dataValidations count="8">
    <dataValidation type="list" showInputMessage="1" showErrorMessage="1" sqref="C10" xr:uid="{5DA3BF6A-F4AE-C741-BD81-2AE26555EC93}">
      <formula1>$L$9:$L$10</formula1>
    </dataValidation>
    <dataValidation type="list" showInputMessage="1" showErrorMessage="1" sqref="C11" xr:uid="{A41A0E69-F7D3-A741-BD9A-54470CF0BDFA}">
      <formula1>$L$11:$L$12</formula1>
    </dataValidation>
    <dataValidation type="list" showInputMessage="1" showErrorMessage="1" sqref="C12" xr:uid="{2B4F3B99-A92F-0243-A82E-385C2FB88239}">
      <formula1>$L$13:$L$14</formula1>
    </dataValidation>
    <dataValidation type="whole" operator="greaterThan" allowBlank="1" showInputMessage="1" showErrorMessage="1" sqref="C13:C14 C19:C21 C23:C25" xr:uid="{30F53BB1-F524-6B4F-A972-7F8FA729E014}">
      <formula1>0</formula1>
    </dataValidation>
    <dataValidation type="list" showInputMessage="1" showErrorMessage="1" sqref="C16" xr:uid="{43A4C1FF-ABA3-5C44-8A75-FC0862D518A3}">
      <formula1>$L$15:$L$17</formula1>
    </dataValidation>
    <dataValidation type="list" showInputMessage="1" showErrorMessage="1" sqref="C18" xr:uid="{80DA8438-8DCA-D24F-A57D-2B18243B5230}">
      <formula1>$L$21</formula1>
    </dataValidation>
    <dataValidation type="list" showInputMessage="1" showErrorMessage="1" sqref="C17" xr:uid="{9E119CFB-DE75-D34D-852D-A0EED83568C6}">
      <formula1>$L$18:$L$19</formula1>
    </dataValidation>
    <dataValidation type="list" showInputMessage="1" showErrorMessage="1" sqref="C22" xr:uid="{BB74DD9C-C427-C847-911F-293B3DDC22E3}">
      <formula1>$L$23:$L$25</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CoMet_Settings_Tool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 Joubert</dc:creator>
  <cp:lastModifiedBy>Wayne Joubert</cp:lastModifiedBy>
  <dcterms:created xsi:type="dcterms:W3CDTF">2019-01-31T18:17:36Z</dcterms:created>
  <dcterms:modified xsi:type="dcterms:W3CDTF">2019-02-04T16:40:35Z</dcterms:modified>
</cp:coreProperties>
</file>