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R\Whelan_Lab_Binding_Fit\"/>
    </mc:Choice>
  </mc:AlternateContent>
  <xr:revisionPtr revIDLastSave="0" documentId="13_ncr:1_{5C3D1174-30E6-468F-A6F5-88882B0B79A9}" xr6:coauthVersionLast="45" xr6:coauthVersionMax="45" xr10:uidLastSave="{00000000-0000-0000-0000-000000000000}"/>
  <bookViews>
    <workbookView xWindow="14604" yWindow="4584" windowWidth="23304" windowHeight="11544" activeTab="2" xr2:uid="{34433921-8FF8-4ADD-82E8-AFC60609B7F1}"/>
  </bookViews>
  <sheets>
    <sheet name="Sample Prep" sheetId="1" r:id="rId1"/>
    <sheet name="Results" sheetId="4" r:id="rId2"/>
    <sheet name="Imp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A11" i="5"/>
  <c r="C32" i="4"/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C11" i="5"/>
  <c r="Q11" i="4" l="1"/>
  <c r="AA3" i="4"/>
  <c r="W4" i="4"/>
  <c r="W5" i="4"/>
  <c r="W6" i="4"/>
  <c r="W7" i="4"/>
  <c r="W8" i="4"/>
  <c r="W9" i="4"/>
  <c r="W10" i="4"/>
  <c r="W11" i="4"/>
  <c r="W12" i="4"/>
  <c r="W3" i="4"/>
  <c r="V4" i="4"/>
  <c r="V5" i="4"/>
  <c r="V6" i="4"/>
  <c r="V7" i="4"/>
  <c r="V8" i="4"/>
  <c r="V9" i="4"/>
  <c r="V10" i="4"/>
  <c r="V11" i="4"/>
  <c r="V12" i="4"/>
  <c r="V3" i="4"/>
  <c r="O12" i="4" l="1"/>
  <c r="O15" i="4"/>
  <c r="O16" i="4"/>
  <c r="A32" i="4"/>
  <c r="B32" i="4" s="1"/>
  <c r="A33" i="4"/>
  <c r="B33" i="4" s="1"/>
  <c r="A37" i="4"/>
  <c r="B37" i="4" s="1"/>
  <c r="A40" i="4"/>
  <c r="B40" i="4" s="1"/>
  <c r="A31" i="4"/>
  <c r="C7" i="4"/>
  <c r="A35" i="4" s="1"/>
  <c r="B35" i="4" s="1"/>
  <c r="C4" i="4"/>
  <c r="C9" i="4"/>
  <c r="O17" i="4" s="1"/>
  <c r="C5" i="4"/>
  <c r="O13" i="4" s="1"/>
  <c r="C11" i="4"/>
  <c r="O19" i="4" s="1"/>
  <c r="C10" i="4"/>
  <c r="O18" i="4" s="1"/>
  <c r="C3" i="4"/>
  <c r="O11" i="4" s="1"/>
  <c r="C6" i="4"/>
  <c r="A34" i="4" s="1"/>
  <c r="B34" i="4" s="1"/>
  <c r="C8" i="4"/>
  <c r="A36" i="4" s="1"/>
  <c r="B36" i="4" s="1"/>
  <c r="C12" i="4"/>
  <c r="O20" i="4" s="1"/>
  <c r="K5" i="4"/>
  <c r="K7" i="4"/>
  <c r="K11" i="4"/>
  <c r="K4" i="4"/>
  <c r="K12" i="4"/>
  <c r="K6" i="4"/>
  <c r="K9" i="4"/>
  <c r="K8" i="4"/>
  <c r="K3" i="4"/>
  <c r="J5" i="4"/>
  <c r="L5" i="4" s="1"/>
  <c r="X5" i="4" s="1"/>
  <c r="J7" i="4"/>
  <c r="J11" i="4"/>
  <c r="L11" i="4" s="1"/>
  <c r="X11" i="4" s="1"/>
  <c r="J4" i="4"/>
  <c r="J12" i="4"/>
  <c r="L12" i="4" s="1"/>
  <c r="X12" i="4" s="1"/>
  <c r="J6" i="4"/>
  <c r="J9" i="4"/>
  <c r="L9" i="4" s="1"/>
  <c r="X9" i="4" s="1"/>
  <c r="J8" i="4"/>
  <c r="J3" i="4"/>
  <c r="L3" i="4" s="1"/>
  <c r="K10" i="4"/>
  <c r="J10" i="4"/>
  <c r="L10" i="4" s="1"/>
  <c r="X10" i="4" s="1"/>
  <c r="A39" i="4" l="1"/>
  <c r="B39" i="4" s="1"/>
  <c r="O14" i="4"/>
  <c r="A38" i="4"/>
  <c r="B38" i="4" s="1"/>
  <c r="U9" i="4"/>
  <c r="X3" i="4"/>
  <c r="U10" i="4"/>
  <c r="U11" i="4"/>
  <c r="U4" i="4"/>
  <c r="U12" i="4"/>
  <c r="U5" i="4"/>
  <c r="U3" i="4"/>
  <c r="U6" i="4"/>
  <c r="U7" i="4"/>
  <c r="L6" i="4"/>
  <c r="L7" i="4"/>
  <c r="X7" i="4" s="1"/>
  <c r="L8" i="4"/>
  <c r="U8" i="4" s="1"/>
  <c r="L4" i="4"/>
  <c r="M5" i="4"/>
  <c r="M12" i="4"/>
  <c r="M3" i="4"/>
  <c r="P11" i="4" s="1"/>
  <c r="M10" i="4"/>
  <c r="M9" i="4"/>
  <c r="M7" i="4"/>
  <c r="M11" i="4"/>
  <c r="C39" i="4" l="1"/>
  <c r="D39" i="4" s="1"/>
  <c r="E39" i="4" s="1"/>
  <c r="P19" i="4"/>
  <c r="P15" i="4"/>
  <c r="C35" i="4"/>
  <c r="D35" i="4" s="1"/>
  <c r="E35" i="4" s="1"/>
  <c r="Z9" i="4"/>
  <c r="AA9" i="4" s="1"/>
  <c r="Q17" i="4" s="1"/>
  <c r="C37" i="4"/>
  <c r="D37" i="4" s="1"/>
  <c r="E37" i="4" s="1"/>
  <c r="P17" i="4"/>
  <c r="M6" i="4"/>
  <c r="X6" i="4"/>
  <c r="Y6" i="4"/>
  <c r="Y7" i="4"/>
  <c r="Z7" i="4" s="1"/>
  <c r="AA7" i="4" s="1"/>
  <c r="Q15" i="4" s="1"/>
  <c r="Y9" i="4"/>
  <c r="Y8" i="4"/>
  <c r="Y10" i="4"/>
  <c r="Z10" i="4" s="1"/>
  <c r="AA10" i="4" s="1"/>
  <c r="Q18" i="4" s="1"/>
  <c r="Y11" i="4"/>
  <c r="Z11" i="4" s="1"/>
  <c r="AA11" i="4" s="1"/>
  <c r="Q19" i="4" s="1"/>
  <c r="Y12" i="4"/>
  <c r="Y5" i="4"/>
  <c r="Z5" i="4" s="1"/>
  <c r="AA5" i="4" s="1"/>
  <c r="Q13" i="4" s="1"/>
  <c r="Y3" i="4"/>
  <c r="C38" i="4"/>
  <c r="D38" i="4" s="1"/>
  <c r="E38" i="4" s="1"/>
  <c r="P18" i="4"/>
  <c r="P13" i="4"/>
  <c r="C33" i="4"/>
  <c r="D33" i="4" s="1"/>
  <c r="E33" i="4" s="1"/>
  <c r="M8" i="4"/>
  <c r="X8" i="4"/>
  <c r="Z12" i="4"/>
  <c r="AA12" i="4" s="1"/>
  <c r="Q20" i="4" s="1"/>
  <c r="P20" i="4"/>
  <c r="C40" i="4"/>
  <c r="M4" i="4"/>
  <c r="X4" i="4"/>
  <c r="Y4" i="4" s="1"/>
  <c r="K10" i="1"/>
  <c r="B14" i="1"/>
  <c r="B15" i="1"/>
  <c r="B16" i="1"/>
  <c r="B17" i="1"/>
  <c r="B18" i="1"/>
  <c r="B19" i="1"/>
  <c r="B20" i="1"/>
  <c r="B21" i="1"/>
  <c r="B22" i="1"/>
  <c r="B13" i="1"/>
  <c r="N19" i="1" l="1"/>
  <c r="N29" i="1" s="1"/>
  <c r="N30" i="1" s="1"/>
  <c r="Z6" i="4"/>
  <c r="AA6" i="4" s="1"/>
  <c r="Q14" i="4" s="1"/>
  <c r="P14" i="4"/>
  <c r="C34" i="4"/>
  <c r="D34" i="4" s="1"/>
  <c r="E34" i="4" s="1"/>
  <c r="Z8" i="4"/>
  <c r="AA8" i="4" s="1"/>
  <c r="Q16" i="4" s="1"/>
  <c r="C36" i="4"/>
  <c r="D36" i="4" s="1"/>
  <c r="E36" i="4" s="1"/>
  <c r="P16" i="4"/>
  <c r="Z4" i="4"/>
  <c r="AA4" i="4" s="1"/>
  <c r="Q12" i="4" s="1"/>
  <c r="P12" i="4"/>
  <c r="D32" i="4"/>
  <c r="E32" i="4" s="1"/>
  <c r="J14" i="1"/>
  <c r="J15" i="1" s="1"/>
  <c r="B27" i="1" s="1"/>
  <c r="F28" i="1"/>
  <c r="C22" i="1"/>
  <c r="D22" i="1" s="1"/>
  <c r="E22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17" i="1"/>
  <c r="D17" i="1" s="1"/>
  <c r="E17" i="1" s="1"/>
  <c r="C14" i="1"/>
  <c r="D14" i="1" s="1"/>
  <c r="E14" i="1" s="1"/>
  <c r="C15" i="1"/>
  <c r="D15" i="1" s="1"/>
  <c r="E15" i="1" s="1"/>
  <c r="C16" i="1"/>
  <c r="D16" i="1" s="1"/>
  <c r="E16" i="1" s="1"/>
  <c r="C13" i="1"/>
  <c r="D13" i="1" s="1"/>
  <c r="E13" i="1" s="1"/>
  <c r="J7" i="1"/>
  <c r="J8" i="1" s="1"/>
  <c r="F7" i="1"/>
  <c r="F8" i="1" s="1"/>
  <c r="K19" i="1" l="1"/>
  <c r="J29" i="1" s="1"/>
  <c r="J30" i="1" s="1"/>
  <c r="B29" i="1" s="1"/>
  <c r="B30" i="1" s="1"/>
  <c r="H19" i="1"/>
  <c r="F29" i="1" s="1"/>
  <c r="F30" i="1" s="1"/>
  <c r="B28" i="1" s="1"/>
  <c r="B6" i="1" s="1"/>
  <c r="B7" i="1" s="1"/>
  <c r="B8" i="1" l="1"/>
  <c r="B31" i="1"/>
</calcChain>
</file>

<file path=xl/sharedStrings.xml><?xml version="1.0" encoding="utf-8"?>
<sst xmlns="http://schemas.openxmlformats.org/spreadsheetml/2006/main" count="138" uniqueCount="78">
  <si>
    <t>Stock Conc</t>
  </si>
  <si>
    <t>Aptamer Stock Dilution</t>
  </si>
  <si>
    <t>Master Mix</t>
  </si>
  <si>
    <t>uM</t>
  </si>
  <si>
    <t>uL</t>
  </si>
  <si>
    <t>Desired Conc</t>
  </si>
  <si>
    <t>Total Volume</t>
  </si>
  <si>
    <t>Vol Stock</t>
  </si>
  <si>
    <t>Vol TGK</t>
  </si>
  <si>
    <t>Heat Cycled Aptamer</t>
  </si>
  <si>
    <t>Aptamer Vol</t>
  </si>
  <si>
    <t>Final Conc</t>
  </si>
  <si>
    <t>Vol Added</t>
  </si>
  <si>
    <t>BSA</t>
  </si>
  <si>
    <t>BSA Vol</t>
  </si>
  <si>
    <t>MilliQ Vol</t>
  </si>
  <si>
    <t>Buffer Vol</t>
  </si>
  <si>
    <t>Protein Stock Dilution</t>
  </si>
  <si>
    <t>Vol Buffer</t>
  </si>
  <si>
    <t>U/mL</t>
  </si>
  <si>
    <t>U'mL</t>
  </si>
  <si>
    <t>Protein Dilutions</t>
  </si>
  <si>
    <t>Conc before MM (U/mL)</t>
  </si>
  <si>
    <t>Conc with MM (U/mL)</t>
  </si>
  <si>
    <t>Vol before MM</t>
  </si>
  <si>
    <t>Vol after MM</t>
  </si>
  <si>
    <t>Protein Stock (U/mL)</t>
  </si>
  <si>
    <t>Vol Protein (uL)</t>
  </si>
  <si>
    <t>Vol Buffer (uL)</t>
  </si>
  <si>
    <t>mg/mL</t>
  </si>
  <si>
    <t>INPUT</t>
  </si>
  <si>
    <t>Dilution Factor</t>
  </si>
  <si>
    <t>CALC</t>
  </si>
  <si>
    <t>LINKED</t>
  </si>
  <si>
    <t>MM Dilutions</t>
  </si>
  <si>
    <t>SEM</t>
  </si>
  <si>
    <t>MEASURED</t>
  </si>
  <si>
    <t># of Samples:</t>
  </si>
  <si>
    <t>Vol MM per sample:</t>
  </si>
  <si>
    <t>Total Vol MM (w/ excess):</t>
  </si>
  <si>
    <t>Units to grams:</t>
  </si>
  <si>
    <t>U/mg</t>
  </si>
  <si>
    <t>Protein:</t>
  </si>
  <si>
    <t>Thrombin</t>
  </si>
  <si>
    <t>g/mol</t>
  </si>
  <si>
    <t>Molar mass:</t>
  </si>
  <si>
    <t>Log(Thr)</t>
  </si>
  <si>
    <t>Y</t>
  </si>
  <si>
    <t>Y/(1-Y)</t>
  </si>
  <si>
    <t>Log(Y/(1-Y))</t>
  </si>
  <si>
    <t>Aptamer Final Conc</t>
  </si>
  <si>
    <t>Aptamer MM Conc</t>
  </si>
  <si>
    <t>BSA Final Conc</t>
  </si>
  <si>
    <t>BSA MM Conc</t>
  </si>
  <si>
    <t>Rho110</t>
  </si>
  <si>
    <t>Rho110 Final Conc</t>
  </si>
  <si>
    <t>Rho110 MM Conc</t>
  </si>
  <si>
    <t>Thrombin Conc (U/mL)</t>
  </si>
  <si>
    <t>Thrombin Conc (nM)</t>
  </si>
  <si>
    <t>FA 1</t>
  </si>
  <si>
    <t>IS 1</t>
  </si>
  <si>
    <t>FA 2</t>
  </si>
  <si>
    <t>IS 2</t>
  </si>
  <si>
    <t>FA 3</t>
  </si>
  <si>
    <t>IS 3</t>
  </si>
  <si>
    <t>Avg FA</t>
  </si>
  <si>
    <t>Avg IS</t>
  </si>
  <si>
    <t>Avg FA/Avg IS</t>
  </si>
  <si>
    <t>(Io-I)/Io</t>
  </si>
  <si>
    <t>Sample Order</t>
  </si>
  <si>
    <t>FA St Dev</t>
  </si>
  <si>
    <t>IS St Dev</t>
  </si>
  <si>
    <t>FA/IS St Dev</t>
  </si>
  <si>
    <t>(Io-I)/Io St Dev</t>
  </si>
  <si>
    <t>Io - I St Dev</t>
  </si>
  <si>
    <t>Io-I</t>
  </si>
  <si>
    <t>change_y</t>
  </si>
  <si>
    <t>thrombin_conc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</si>
</sst>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0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" xfId="0" applyFill="1" applyBorder="1"/>
    <xf numFmtId="0" fontId="0" fillId="3" borderId="19" xfId="0" applyFill="1" applyBorder="1"/>
    <xf numFmtId="0" fontId="0" fillId="4" borderId="1" xfId="0" applyFill="1" applyBorder="1"/>
    <xf numFmtId="0" fontId="0" fillId="4" borderId="19" xfId="0" applyFill="1" applyBorder="1"/>
    <xf numFmtId="0" fontId="0" fillId="3" borderId="12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5" borderId="0" xfId="0" applyFill="1"/>
    <xf numFmtId="0" fontId="0" fillId="0" borderId="26" xfId="0" applyBorder="1"/>
    <xf numFmtId="0" fontId="0" fillId="0" borderId="0" xfId="0" applyFill="1" applyBorder="1"/>
    <xf numFmtId="0" fontId="0" fillId="0" borderId="17" xfId="0" applyFill="1" applyBorder="1"/>
    <xf numFmtId="0" fontId="0" fillId="4" borderId="27" xfId="0" applyFill="1" applyBorder="1"/>
    <xf numFmtId="0" fontId="0" fillId="4" borderId="20" xfId="0" applyFill="1" applyBorder="1"/>
    <xf numFmtId="0" fontId="0" fillId="4" borderId="23" xfId="0" applyFill="1" applyBorder="1"/>
    <xf numFmtId="0" fontId="0" fillId="4" borderId="28" xfId="0" applyFill="1" applyBorder="1"/>
    <xf numFmtId="0" fontId="0" fillId="4" borderId="24" xfId="0" applyFill="1" applyBorder="1"/>
    <xf numFmtId="0" fontId="0" fillId="4" borderId="25" xfId="0" applyFill="1" applyBorder="1"/>
    <xf numFmtId="164" fontId="0" fillId="3" borderId="9" xfId="0" applyNumberFormat="1" applyFill="1" applyBorder="1"/>
    <xf numFmtId="164" fontId="0" fillId="3" borderId="0" xfId="0" applyNumberFormat="1" applyFill="1" applyBorder="1"/>
    <xf numFmtId="0" fontId="0" fillId="0" borderId="29" xfId="0" applyBorder="1"/>
    <xf numFmtId="0" fontId="0" fillId="2" borderId="1" xfId="0" applyFill="1" applyBorder="1"/>
    <xf numFmtId="0" fontId="0" fillId="2" borderId="19" xfId="0" applyFill="1" applyBorder="1"/>
    <xf numFmtId="0" fontId="0" fillId="5" borderId="20" xfId="0" applyFont="1" applyFill="1" applyBorder="1"/>
    <xf numFmtId="0" fontId="0" fillId="2" borderId="20" xfId="0" applyFill="1" applyBorder="1"/>
    <xf numFmtId="0" fontId="0" fillId="3" borderId="20" xfId="0" applyFill="1" applyBorder="1"/>
    <xf numFmtId="0" fontId="0" fillId="3" borderId="20" xfId="0" applyFont="1" applyFill="1" applyBorder="1"/>
    <xf numFmtId="165" fontId="0" fillId="5" borderId="20" xfId="0" applyNumberFormat="1" applyFont="1" applyFill="1" applyBorder="1"/>
    <xf numFmtId="0" fontId="0" fillId="2" borderId="27" xfId="0" applyFill="1" applyBorder="1"/>
    <xf numFmtId="0" fontId="0" fillId="3" borderId="23" xfId="0" applyFont="1" applyFill="1" applyBorder="1"/>
    <xf numFmtId="0" fontId="0" fillId="2" borderId="28" xfId="0" applyFill="1" applyBorder="1"/>
    <xf numFmtId="0" fontId="0" fillId="2" borderId="24" xfId="0" applyFill="1" applyBorder="1"/>
    <xf numFmtId="0" fontId="0" fillId="3" borderId="24" xfId="0" applyFill="1" applyBorder="1"/>
    <xf numFmtId="0" fontId="0" fillId="5" borderId="24" xfId="0" applyFont="1" applyFill="1" applyBorder="1"/>
    <xf numFmtId="0" fontId="0" fillId="3" borderId="24" xfId="0" applyFont="1" applyFill="1" applyBorder="1"/>
    <xf numFmtId="0" fontId="0" fillId="3" borderId="25" xfId="0" applyFont="1" applyFill="1" applyBorder="1"/>
    <xf numFmtId="0" fontId="0" fillId="3" borderId="23" xfId="0" applyFill="1" applyBorder="1"/>
    <xf numFmtId="0" fontId="0" fillId="3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Results!$Q$11:$Q$20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1.4897683167950284E-2</c:v>
                  </c:pt>
                  <c:pt idx="2">
                    <c:v>2.6113981997197826E-2</c:v>
                  </c:pt>
                  <c:pt idx="3">
                    <c:v>1.3897407941930652E-2</c:v>
                  </c:pt>
                  <c:pt idx="4">
                    <c:v>7.7081888877824486E-3</c:v>
                  </c:pt>
                  <c:pt idx="5">
                    <c:v>1.2845774138067407E-2</c:v>
                  </c:pt>
                  <c:pt idx="6">
                    <c:v>6.6636788566658148E-3</c:v>
                  </c:pt>
                  <c:pt idx="7">
                    <c:v>2.7598020213479024E-2</c:v>
                  </c:pt>
                  <c:pt idx="8">
                    <c:v>7.3510196630927555E-3</c:v>
                  </c:pt>
                  <c:pt idx="9">
                    <c:v>7.5147269286484544E-3</c:v>
                  </c:pt>
                </c:numCache>
              </c:numRef>
            </c:plus>
            <c:minus>
              <c:numRef>
                <c:f>Results!$Q$11:$Q$20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1.4897683167950284E-2</c:v>
                  </c:pt>
                  <c:pt idx="2">
                    <c:v>2.6113981997197826E-2</c:v>
                  </c:pt>
                  <c:pt idx="3">
                    <c:v>1.3897407941930652E-2</c:v>
                  </c:pt>
                  <c:pt idx="4">
                    <c:v>7.7081888877824486E-3</c:v>
                  </c:pt>
                  <c:pt idx="5">
                    <c:v>1.2845774138067407E-2</c:v>
                  </c:pt>
                  <c:pt idx="6">
                    <c:v>6.6636788566658148E-3</c:v>
                  </c:pt>
                  <c:pt idx="7">
                    <c:v>2.7598020213479024E-2</c:v>
                  </c:pt>
                  <c:pt idx="8">
                    <c:v>7.3510196630927555E-3</c:v>
                  </c:pt>
                  <c:pt idx="9">
                    <c:v>7.5147269286484544E-3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Results!$C$3:$C$12</c:f>
              <c:numCache>
                <c:formatCode>General</c:formatCode>
                <c:ptCount val="10"/>
                <c:pt idx="0">
                  <c:v>0</c:v>
                </c:pt>
                <c:pt idx="1">
                  <c:v>15.479333026498551</c:v>
                </c:pt>
                <c:pt idx="2">
                  <c:v>25.798888377497587</c:v>
                </c:pt>
                <c:pt idx="3">
                  <c:v>51.597776754995174</c:v>
                </c:pt>
                <c:pt idx="4">
                  <c:v>77.396665132492757</c:v>
                </c:pt>
                <c:pt idx="5">
                  <c:v>103.19555350999035</c:v>
                </c:pt>
                <c:pt idx="6">
                  <c:v>154.79333026498551</c:v>
                </c:pt>
                <c:pt idx="7">
                  <c:v>257.98888377497593</c:v>
                </c:pt>
                <c:pt idx="8">
                  <c:v>515.97776754995186</c:v>
                </c:pt>
                <c:pt idx="9">
                  <c:v>1031.9555350999037</c:v>
                </c:pt>
              </c:numCache>
            </c:numRef>
          </c:xVal>
          <c:yVal>
            <c:numRef>
              <c:f>Results!$M$3:$M$12</c:f>
              <c:numCache>
                <c:formatCode>General</c:formatCode>
                <c:ptCount val="10"/>
                <c:pt idx="0">
                  <c:v>0</c:v>
                </c:pt>
                <c:pt idx="1">
                  <c:v>8.6042691172044092E-2</c:v>
                </c:pt>
                <c:pt idx="2">
                  <c:v>4.9283852343064746E-2</c:v>
                </c:pt>
                <c:pt idx="3">
                  <c:v>0.43127609926657007</c:v>
                </c:pt>
                <c:pt idx="4">
                  <c:v>0.61615593502540855</c:v>
                </c:pt>
                <c:pt idx="5">
                  <c:v>0.66072779340444265</c:v>
                </c:pt>
                <c:pt idx="6">
                  <c:v>0.71681245408161742</c:v>
                </c:pt>
                <c:pt idx="7">
                  <c:v>0.7110154851736985</c:v>
                </c:pt>
                <c:pt idx="8">
                  <c:v>0.78670989440059047</c:v>
                </c:pt>
                <c:pt idx="9">
                  <c:v>0.8119843497519329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80A-9DF5-6FFEAF69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1224"/>
        <c:axId val="663942864"/>
      </c:scatterChart>
      <c:valAx>
        <c:axId val="6639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Thrombin</a:t>
                </a:r>
                <a:r>
                  <a:rPr lang="en-US" baseline="0"/>
                  <a:t> Con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2864"/>
        <c:crosses val="autoZero"/>
        <c:crossBetween val="midCat"/>
      </c:valAx>
      <c:valAx>
        <c:axId val="6639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(Io-I)/Io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Results!$B$32:$B$39</c:f>
              <c:numCache>
                <c:formatCode>General</c:formatCode>
                <c:ptCount val="8"/>
                <c:pt idx="0">
                  <c:v>1.1897522438693762</c:v>
                </c:pt>
                <c:pt idx="1">
                  <c:v>1.4116009934857325</c:v>
                </c:pt>
                <c:pt idx="2">
                  <c:v>1.7126309891497138</c:v>
                </c:pt>
                <c:pt idx="3">
                  <c:v>1.8887222482053949</c:v>
                </c:pt>
                <c:pt idx="4">
                  <c:v>2.0136609848136948</c:v>
                </c:pt>
                <c:pt idx="5">
                  <c:v>2.1897522438693762</c:v>
                </c:pt>
                <c:pt idx="6">
                  <c:v>2.4116009934857328</c:v>
                </c:pt>
                <c:pt idx="7">
                  <c:v>2.712630989149714</c:v>
                </c:pt>
              </c:numCache>
            </c:numRef>
          </c:xVal>
          <c:yVal>
            <c:numRef>
              <c:f>Results!$E$32:$E$39</c:f>
              <c:numCache>
                <c:formatCode>General</c:formatCode>
                <c:ptCount val="8"/>
                <c:pt idx="0">
                  <c:v>-0.92618773392618337</c:v>
                </c:pt>
                <c:pt idx="1">
                  <c:v>-1.1896493818869676</c:v>
                </c:pt>
                <c:pt idx="2">
                  <c:v>5.4163102113739182E-2</c:v>
                </c:pt>
                <c:pt idx="3">
                  <c:v>0.49781492788981357</c:v>
                </c:pt>
                <c:pt idx="4">
                  <c:v>0.64030836711152572</c:v>
                </c:pt>
                <c:pt idx="5">
                  <c:v>0.87689682242058942</c:v>
                </c:pt>
                <c:pt idx="6">
                  <c:v>0.84769158678231182</c:v>
                </c:pt>
                <c:pt idx="7">
                  <c:v>1.4931328067074801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F-4E52-B532-C04EC33D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23512"/>
        <c:axId val="663921544"/>
      </c:scatterChart>
      <c:valAx>
        <c:axId val="6639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1544"/>
        <c:crosses val="autoZero"/>
        <c:crossBetween val="midCat"/>
      </c:valAx>
      <c:valAx>
        <c:axId val="6639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341842</xdr:colOff>
      <xdr:row>13</xdr:row>
      <xdr:rowOff>77864</xdr:rowOff>
    </xdr:from>
    <xdr:to>
      <xdr:col>13</xdr:col>
      <xdr:colOff>52464</xdr:colOff>
      <xdr:row>28</xdr:row>
      <xdr:rowOff>58813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39DB9-0802-40E7-A865-C19458E2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17136</xdr:colOff>
      <xdr:row>28</xdr:row>
      <xdr:rowOff>165503</xdr:rowOff>
    </xdr:from>
    <xdr:to>
      <xdr:col>13</xdr:col>
      <xdr:colOff>113898</xdr:colOff>
      <xdr:row>44</xdr:row>
      <xdr:rowOff>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C834-CA14-4690-BE35-659525F6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1ADB-96EB-4071-8929-49EE340410FF}">
  <dimension ref="A1:O31"/>
  <sheetViews>
    <sheetView zoomScale="71" workbookViewId="0">
      <selection activeCell="C56" sqref="C56"/>
    </sheetView>
  </sheetViews>
  <sheetFormatPr defaultRowHeight="14.4" x14ac:dyDescent="0.3"/>
  <cols>
    <col min="1" max="1" width="20.109375" bestFit="1" customWidth="1"/>
    <col min="2" max="2" width="19.33203125" bestFit="1" customWidth="1"/>
    <col min="3" max="3" width="18.109375" bestFit="1" customWidth="1"/>
    <col min="4" max="4" width="13.6640625" bestFit="1" customWidth="1"/>
    <col min="5" max="5" width="18.77734375" bestFit="1" customWidth="1"/>
    <col min="6" max="6" width="14.77734375" bestFit="1" customWidth="1"/>
    <col min="7" max="7" width="17.21875" bestFit="1" customWidth="1"/>
    <col min="9" max="9" width="16.21875" bestFit="1" customWidth="1"/>
    <col min="10" max="10" width="13.21875" bestFit="1" customWidth="1"/>
    <col min="13" max="13" width="16.33203125" bestFit="1" customWidth="1"/>
  </cols>
  <sheetData>
    <row r="1" spans="1:15" ht="15" thickBot="1" x14ac:dyDescent="0.35"/>
    <row r="2" spans="1:15" ht="15" thickTop="1" x14ac:dyDescent="0.3">
      <c r="A2" s="3" t="s">
        <v>1</v>
      </c>
      <c r="B2" s="4"/>
      <c r="C2" s="5"/>
      <c r="E2" s="3" t="s">
        <v>17</v>
      </c>
      <c r="F2" s="4"/>
      <c r="G2" s="4"/>
      <c r="H2" s="4"/>
      <c r="I2" s="4"/>
      <c r="J2" s="4"/>
      <c r="K2" s="5"/>
    </row>
    <row r="3" spans="1:15" x14ac:dyDescent="0.3">
      <c r="A3" s="6"/>
      <c r="B3" s="7"/>
      <c r="C3" s="8"/>
      <c r="E3" s="6"/>
      <c r="F3" s="7"/>
      <c r="G3" s="7"/>
      <c r="H3" s="7"/>
      <c r="I3" s="7"/>
      <c r="J3" s="7"/>
      <c r="K3" s="8"/>
      <c r="N3" s="13" t="s">
        <v>30</v>
      </c>
    </row>
    <row r="4" spans="1:15" x14ac:dyDescent="0.3">
      <c r="A4" s="6" t="s">
        <v>0</v>
      </c>
      <c r="B4" s="12">
        <v>2.5</v>
      </c>
      <c r="C4" s="8" t="s">
        <v>3</v>
      </c>
      <c r="E4" s="6" t="s">
        <v>0</v>
      </c>
      <c r="F4" s="12">
        <v>1000</v>
      </c>
      <c r="G4" s="7" t="s">
        <v>19</v>
      </c>
      <c r="H4" s="7"/>
      <c r="I4" s="7" t="s">
        <v>0</v>
      </c>
      <c r="J4" s="12">
        <v>1000</v>
      </c>
      <c r="K4" s="8" t="s">
        <v>19</v>
      </c>
      <c r="N4" s="14" t="s">
        <v>32</v>
      </c>
    </row>
    <row r="5" spans="1:15" x14ac:dyDescent="0.3">
      <c r="A5" s="6" t="s">
        <v>5</v>
      </c>
      <c r="B5" s="12">
        <v>0.45500000000000002</v>
      </c>
      <c r="C5" s="8" t="s">
        <v>3</v>
      </c>
      <c r="E5" s="6" t="s">
        <v>5</v>
      </c>
      <c r="F5" s="12">
        <v>1000</v>
      </c>
      <c r="G5" s="7" t="s">
        <v>19</v>
      </c>
      <c r="H5" s="7"/>
      <c r="I5" s="7" t="s">
        <v>5</v>
      </c>
      <c r="J5" s="12">
        <v>100</v>
      </c>
      <c r="K5" s="8" t="s">
        <v>20</v>
      </c>
      <c r="N5" s="15" t="s">
        <v>33</v>
      </c>
    </row>
    <row r="6" spans="1:15" x14ac:dyDescent="0.3">
      <c r="A6" s="6" t="s">
        <v>6</v>
      </c>
      <c r="B6" s="16">
        <f>B28</f>
        <v>181.31868131868131</v>
      </c>
      <c r="C6" s="8" t="s">
        <v>4</v>
      </c>
      <c r="E6" s="6" t="s">
        <v>6</v>
      </c>
      <c r="F6" s="12">
        <v>50</v>
      </c>
      <c r="G6" s="7" t="s">
        <v>4</v>
      </c>
      <c r="H6" s="7"/>
      <c r="I6" s="7" t="s">
        <v>6</v>
      </c>
      <c r="J6" s="12">
        <v>30</v>
      </c>
      <c r="K6" s="8" t="s">
        <v>4</v>
      </c>
      <c r="N6" s="38" t="s">
        <v>36</v>
      </c>
    </row>
    <row r="7" spans="1:15" x14ac:dyDescent="0.3">
      <c r="A7" s="6" t="s">
        <v>7</v>
      </c>
      <c r="B7" s="17">
        <f>B6*B5/B4</f>
        <v>33</v>
      </c>
      <c r="C7" s="8" t="s">
        <v>4</v>
      </c>
      <c r="E7" s="6" t="s">
        <v>7</v>
      </c>
      <c r="F7" s="17">
        <f>F6*F5/F4</f>
        <v>50</v>
      </c>
      <c r="G7" s="7" t="s">
        <v>4</v>
      </c>
      <c r="H7" s="7"/>
      <c r="I7" s="7" t="s">
        <v>7</v>
      </c>
      <c r="J7" s="17">
        <f>J6*J5/J4</f>
        <v>3</v>
      </c>
      <c r="K7" s="8" t="s">
        <v>4</v>
      </c>
    </row>
    <row r="8" spans="1:15" ht="15" thickBot="1" x14ac:dyDescent="0.35">
      <c r="A8" s="9" t="s">
        <v>8</v>
      </c>
      <c r="B8" s="48">
        <f>B6-B7</f>
        <v>148.31868131868131</v>
      </c>
      <c r="C8" s="11" t="s">
        <v>4</v>
      </c>
      <c r="E8" s="9" t="s">
        <v>18</v>
      </c>
      <c r="F8" s="18">
        <f>F6-F7</f>
        <v>0</v>
      </c>
      <c r="G8" s="10" t="s">
        <v>4</v>
      </c>
      <c r="H8" s="10"/>
      <c r="I8" s="10" t="s">
        <v>18</v>
      </c>
      <c r="J8" s="18">
        <f>J6-J7</f>
        <v>27</v>
      </c>
      <c r="K8" s="11" t="s">
        <v>4</v>
      </c>
    </row>
    <row r="9" spans="1:15" ht="15.6" thickTop="1" thickBot="1" x14ac:dyDescent="0.35"/>
    <row r="10" spans="1:15" x14ac:dyDescent="0.3">
      <c r="A10" s="19" t="s">
        <v>21</v>
      </c>
      <c r="B10" s="20"/>
      <c r="C10" s="20" t="s">
        <v>24</v>
      </c>
      <c r="D10" s="35">
        <v>10</v>
      </c>
      <c r="E10" s="20" t="s">
        <v>4</v>
      </c>
      <c r="F10" s="20"/>
      <c r="G10" s="20" t="s">
        <v>31</v>
      </c>
      <c r="H10" s="35">
        <v>10</v>
      </c>
      <c r="I10" s="20"/>
      <c r="J10" s="20" t="s">
        <v>25</v>
      </c>
      <c r="K10" s="34">
        <f>D10*H10</f>
        <v>100</v>
      </c>
      <c r="L10" s="20" t="s">
        <v>4</v>
      </c>
      <c r="M10" s="20"/>
      <c r="N10" s="20"/>
      <c r="O10" s="21"/>
    </row>
    <row r="11" spans="1:15" x14ac:dyDescent="0.3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3"/>
    </row>
    <row r="12" spans="1:15" x14ac:dyDescent="0.3">
      <c r="A12" s="1" t="s">
        <v>22</v>
      </c>
      <c r="B12" s="1" t="s">
        <v>23</v>
      </c>
      <c r="C12" s="1" t="s">
        <v>26</v>
      </c>
      <c r="D12" s="1" t="s">
        <v>27</v>
      </c>
      <c r="E12" s="50" t="s">
        <v>28</v>
      </c>
      <c r="F12" s="40"/>
      <c r="G12" s="7"/>
      <c r="H12" s="7"/>
      <c r="I12" s="7"/>
      <c r="J12" s="7"/>
      <c r="K12" s="7"/>
      <c r="L12" s="7"/>
      <c r="M12" s="7"/>
      <c r="N12" s="7"/>
      <c r="O12" s="23"/>
    </row>
    <row r="13" spans="1:15" x14ac:dyDescent="0.3">
      <c r="A13" s="51">
        <v>1000</v>
      </c>
      <c r="B13" s="30">
        <f>A13/10</f>
        <v>100</v>
      </c>
      <c r="C13" s="32">
        <f>$F$5</f>
        <v>1000</v>
      </c>
      <c r="D13" s="30">
        <f>A13*$D$10/C13</f>
        <v>10</v>
      </c>
      <c r="E13" s="17">
        <f>$D$10-D13</f>
        <v>0</v>
      </c>
      <c r="F13" s="40"/>
      <c r="G13" s="7"/>
      <c r="H13" s="7" t="s">
        <v>37</v>
      </c>
      <c r="I13" s="7"/>
      <c r="J13" s="12">
        <v>10</v>
      </c>
      <c r="K13" s="7"/>
      <c r="L13" s="7"/>
      <c r="M13" s="7"/>
      <c r="N13" s="7"/>
      <c r="O13" s="23"/>
    </row>
    <row r="14" spans="1:15" x14ac:dyDescent="0.3">
      <c r="A14" s="51">
        <v>500</v>
      </c>
      <c r="B14" s="30">
        <f t="shared" ref="B14:B22" si="0">A14/10</f>
        <v>50</v>
      </c>
      <c r="C14" s="32">
        <f t="shared" ref="C14:C16" si="1">$F$5</f>
        <v>1000</v>
      </c>
      <c r="D14" s="30">
        <f t="shared" ref="D14:D22" si="2">A14*$D$10/C14</f>
        <v>5</v>
      </c>
      <c r="E14" s="17">
        <f t="shared" ref="E14:E22" si="3">$D$10-D14</f>
        <v>5</v>
      </c>
      <c r="F14" s="40"/>
      <c r="G14" s="7"/>
      <c r="H14" s="7" t="s">
        <v>38</v>
      </c>
      <c r="I14" s="7"/>
      <c r="J14" s="17">
        <f>K10-D10</f>
        <v>90</v>
      </c>
      <c r="K14" s="7" t="s">
        <v>4</v>
      </c>
      <c r="L14" s="7"/>
      <c r="M14" s="7"/>
      <c r="N14" s="7"/>
      <c r="O14" s="23"/>
    </row>
    <row r="15" spans="1:15" x14ac:dyDescent="0.3">
      <c r="A15" s="51">
        <v>250</v>
      </c>
      <c r="B15" s="30">
        <f t="shared" si="0"/>
        <v>25</v>
      </c>
      <c r="C15" s="32">
        <f t="shared" si="1"/>
        <v>1000</v>
      </c>
      <c r="D15" s="30">
        <f t="shared" si="2"/>
        <v>2.5</v>
      </c>
      <c r="E15" s="17">
        <f t="shared" si="3"/>
        <v>7.5</v>
      </c>
      <c r="F15" s="40"/>
      <c r="G15" s="7"/>
      <c r="H15" s="7" t="s">
        <v>39</v>
      </c>
      <c r="I15" s="7"/>
      <c r="J15" s="17">
        <f>J14*(J13+1)</f>
        <v>990</v>
      </c>
      <c r="K15" s="7" t="s">
        <v>4</v>
      </c>
      <c r="L15" s="7"/>
      <c r="M15" s="7"/>
      <c r="N15" s="7"/>
      <c r="O15" s="23"/>
    </row>
    <row r="16" spans="1:15" x14ac:dyDescent="0.3">
      <c r="A16" s="51">
        <v>150</v>
      </c>
      <c r="B16" s="30">
        <f t="shared" si="0"/>
        <v>15</v>
      </c>
      <c r="C16" s="32">
        <f t="shared" si="1"/>
        <v>1000</v>
      </c>
      <c r="D16" s="30">
        <f t="shared" si="2"/>
        <v>1.5</v>
      </c>
      <c r="E16" s="17">
        <f t="shared" si="3"/>
        <v>8.5</v>
      </c>
      <c r="F16" s="40"/>
      <c r="G16" s="7"/>
      <c r="H16" s="7"/>
      <c r="I16" s="7"/>
      <c r="J16" s="7"/>
      <c r="K16" s="7"/>
      <c r="L16" s="7"/>
      <c r="M16" s="7"/>
      <c r="N16" s="7"/>
      <c r="O16" s="23"/>
    </row>
    <row r="17" spans="1:15" x14ac:dyDescent="0.3">
      <c r="A17" s="51">
        <v>100</v>
      </c>
      <c r="B17" s="30">
        <f t="shared" si="0"/>
        <v>10</v>
      </c>
      <c r="C17" s="32">
        <f>$J$5</f>
        <v>100</v>
      </c>
      <c r="D17" s="30">
        <f t="shared" si="2"/>
        <v>10</v>
      </c>
      <c r="E17" s="17">
        <f t="shared" si="3"/>
        <v>0</v>
      </c>
      <c r="F17" s="40"/>
      <c r="G17" s="7"/>
      <c r="H17" s="7"/>
      <c r="I17" s="7"/>
      <c r="J17" s="7"/>
      <c r="K17" s="7"/>
      <c r="L17" s="7"/>
      <c r="M17" s="7"/>
      <c r="N17" s="7"/>
      <c r="O17" s="23"/>
    </row>
    <row r="18" spans="1:15" x14ac:dyDescent="0.3">
      <c r="A18" s="51">
        <v>75</v>
      </c>
      <c r="B18" s="30">
        <f t="shared" si="0"/>
        <v>7.5</v>
      </c>
      <c r="C18" s="32">
        <f t="shared" ref="C18:C22" si="4">$J$5</f>
        <v>100</v>
      </c>
      <c r="D18" s="30">
        <f t="shared" si="2"/>
        <v>7.5</v>
      </c>
      <c r="E18" s="17">
        <f t="shared" si="3"/>
        <v>2.5</v>
      </c>
      <c r="F18" s="40"/>
      <c r="G18" s="7" t="s">
        <v>50</v>
      </c>
      <c r="H18" s="12">
        <v>7.4999999999999997E-2</v>
      </c>
      <c r="I18" s="7" t="s">
        <v>3</v>
      </c>
      <c r="J18" s="7" t="s">
        <v>52</v>
      </c>
      <c r="K18" s="12">
        <v>0.2</v>
      </c>
      <c r="L18" s="7" t="s">
        <v>29</v>
      </c>
      <c r="M18" s="40" t="s">
        <v>55</v>
      </c>
      <c r="N18" s="12">
        <v>0.02</v>
      </c>
      <c r="O18" s="23" t="s">
        <v>3</v>
      </c>
    </row>
    <row r="19" spans="1:15" x14ac:dyDescent="0.3">
      <c r="A19" s="51">
        <v>50</v>
      </c>
      <c r="B19" s="30">
        <f t="shared" si="0"/>
        <v>5</v>
      </c>
      <c r="C19" s="32">
        <f t="shared" si="4"/>
        <v>100</v>
      </c>
      <c r="D19" s="30">
        <f t="shared" si="2"/>
        <v>5</v>
      </c>
      <c r="E19" s="17">
        <f t="shared" si="3"/>
        <v>5</v>
      </c>
      <c r="F19" s="40"/>
      <c r="G19" s="7" t="s">
        <v>51</v>
      </c>
      <c r="H19" s="17">
        <f>H18*K10/J14</f>
        <v>8.3333333333333329E-2</v>
      </c>
      <c r="I19" s="7" t="s">
        <v>3</v>
      </c>
      <c r="J19" s="7" t="s">
        <v>53</v>
      </c>
      <c r="K19" s="17">
        <f>K18*K10/J14</f>
        <v>0.22222222222222221</v>
      </c>
      <c r="L19" s="7" t="s">
        <v>29</v>
      </c>
      <c r="M19" s="40" t="s">
        <v>56</v>
      </c>
      <c r="N19" s="17">
        <f>N18*K10/J14</f>
        <v>2.2222222222222223E-2</v>
      </c>
      <c r="O19" s="23" t="s">
        <v>3</v>
      </c>
    </row>
    <row r="20" spans="1:15" x14ac:dyDescent="0.3">
      <c r="A20" s="51">
        <v>25</v>
      </c>
      <c r="B20" s="30">
        <f t="shared" si="0"/>
        <v>2.5</v>
      </c>
      <c r="C20" s="32">
        <f t="shared" si="4"/>
        <v>100</v>
      </c>
      <c r="D20" s="30">
        <f t="shared" si="2"/>
        <v>2.5</v>
      </c>
      <c r="E20" s="17">
        <f t="shared" si="3"/>
        <v>7.5</v>
      </c>
      <c r="F20" s="40"/>
      <c r="G20" s="7"/>
      <c r="H20" s="7"/>
      <c r="I20" s="7"/>
      <c r="J20" s="7"/>
      <c r="K20" s="7"/>
      <c r="L20" s="7"/>
      <c r="M20" s="7"/>
      <c r="N20" s="7"/>
      <c r="O20" s="23"/>
    </row>
    <row r="21" spans="1:15" x14ac:dyDescent="0.3">
      <c r="A21" s="51">
        <v>15</v>
      </c>
      <c r="B21" s="30">
        <f t="shared" si="0"/>
        <v>1.5</v>
      </c>
      <c r="C21" s="32">
        <f t="shared" si="4"/>
        <v>100</v>
      </c>
      <c r="D21" s="30">
        <f t="shared" si="2"/>
        <v>1.5</v>
      </c>
      <c r="E21" s="17">
        <f t="shared" si="3"/>
        <v>8.5</v>
      </c>
      <c r="F21" s="40"/>
      <c r="G21" s="7"/>
      <c r="H21" s="7"/>
      <c r="I21" s="7"/>
      <c r="J21" s="7"/>
      <c r="K21" s="7"/>
      <c r="L21" s="7"/>
      <c r="M21" s="7"/>
      <c r="N21" s="7"/>
      <c r="O21" s="23"/>
    </row>
    <row r="22" spans="1:15" ht="15" thickBot="1" x14ac:dyDescent="0.35">
      <c r="A22" s="52">
        <v>0</v>
      </c>
      <c r="B22" s="31">
        <f t="shared" si="0"/>
        <v>0</v>
      </c>
      <c r="C22" s="33">
        <f t="shared" si="4"/>
        <v>100</v>
      </c>
      <c r="D22" s="31">
        <f t="shared" si="2"/>
        <v>0</v>
      </c>
      <c r="E22" s="28">
        <f t="shared" si="3"/>
        <v>10</v>
      </c>
      <c r="F22" s="41"/>
      <c r="G22" s="25"/>
      <c r="H22" s="25"/>
      <c r="I22" s="25"/>
      <c r="J22" s="25"/>
      <c r="K22" s="25"/>
      <c r="L22" s="25"/>
      <c r="M22" s="25"/>
      <c r="N22" s="25"/>
      <c r="O22" s="26"/>
    </row>
    <row r="24" spans="1:15" ht="15" thickBot="1" x14ac:dyDescent="0.35"/>
    <row r="25" spans="1:15" x14ac:dyDescent="0.3">
      <c r="A25" s="19" t="s">
        <v>2</v>
      </c>
      <c r="B25" s="20"/>
      <c r="C25" s="21"/>
    </row>
    <row r="26" spans="1:15" x14ac:dyDescent="0.3">
      <c r="A26" s="22"/>
      <c r="B26" s="7"/>
      <c r="C26" s="23"/>
      <c r="E26" s="7" t="s">
        <v>34</v>
      </c>
      <c r="F26" s="7"/>
      <c r="G26" s="7"/>
      <c r="H26" s="7"/>
      <c r="I26" s="7"/>
      <c r="J26" s="7"/>
      <c r="K26" s="7"/>
    </row>
    <row r="27" spans="1:15" x14ac:dyDescent="0.3">
      <c r="A27" s="22" t="s">
        <v>6</v>
      </c>
      <c r="B27" s="27">
        <f>J15</f>
        <v>990</v>
      </c>
      <c r="C27" s="23" t="s">
        <v>4</v>
      </c>
      <c r="E27" s="7" t="s">
        <v>9</v>
      </c>
      <c r="F27" s="7"/>
      <c r="G27" s="7"/>
      <c r="H27" s="7"/>
      <c r="I27" s="7" t="s">
        <v>13</v>
      </c>
      <c r="J27" s="7"/>
      <c r="K27" s="7"/>
      <c r="M27" t="s">
        <v>54</v>
      </c>
    </row>
    <row r="28" spans="1:15" x14ac:dyDescent="0.3">
      <c r="A28" s="22" t="s">
        <v>10</v>
      </c>
      <c r="B28" s="16">
        <f>F30</f>
        <v>181.31868131868131</v>
      </c>
      <c r="C28" s="23" t="s">
        <v>4</v>
      </c>
      <c r="E28" s="7" t="s">
        <v>0</v>
      </c>
      <c r="F28" s="27">
        <f>B5</f>
        <v>0.45500000000000002</v>
      </c>
      <c r="G28" s="7" t="s">
        <v>3</v>
      </c>
      <c r="H28" s="7"/>
      <c r="I28" s="7" t="s">
        <v>0</v>
      </c>
      <c r="J28" s="12">
        <v>10</v>
      </c>
      <c r="K28" s="7" t="s">
        <v>29</v>
      </c>
      <c r="M28" s="7" t="s">
        <v>0</v>
      </c>
      <c r="N28" s="12">
        <v>1</v>
      </c>
      <c r="O28" s="7" t="s">
        <v>3</v>
      </c>
    </row>
    <row r="29" spans="1:15" x14ac:dyDescent="0.3">
      <c r="A29" s="22" t="s">
        <v>14</v>
      </c>
      <c r="B29" s="27">
        <f>J30</f>
        <v>22</v>
      </c>
      <c r="C29" s="23" t="s">
        <v>4</v>
      </c>
      <c r="E29" s="7" t="s">
        <v>11</v>
      </c>
      <c r="F29" s="27">
        <f>H19</f>
        <v>8.3333333333333329E-2</v>
      </c>
      <c r="G29" s="7" t="s">
        <v>3</v>
      </c>
      <c r="H29" s="7"/>
      <c r="I29" s="7" t="s">
        <v>11</v>
      </c>
      <c r="J29" s="27">
        <f>K19</f>
        <v>0.22222222222222221</v>
      </c>
      <c r="K29" s="7" t="s">
        <v>29</v>
      </c>
      <c r="M29" s="7" t="s">
        <v>11</v>
      </c>
      <c r="N29" s="27">
        <f>N19</f>
        <v>2.2222222222222223E-2</v>
      </c>
      <c r="O29" s="7" t="s">
        <v>3</v>
      </c>
    </row>
    <row r="30" spans="1:15" x14ac:dyDescent="0.3">
      <c r="A30" s="22" t="s">
        <v>15</v>
      </c>
      <c r="B30" s="27">
        <f>B29</f>
        <v>22</v>
      </c>
      <c r="C30" s="23" t="s">
        <v>4</v>
      </c>
      <c r="E30" s="7" t="s">
        <v>12</v>
      </c>
      <c r="F30" s="49">
        <f>F29*$B$27/F28</f>
        <v>181.31868131868131</v>
      </c>
      <c r="G30" s="7" t="s">
        <v>4</v>
      </c>
      <c r="H30" s="7"/>
      <c r="I30" s="7" t="s">
        <v>12</v>
      </c>
      <c r="J30" s="17">
        <f>J29*$B$27/J28</f>
        <v>22</v>
      </c>
      <c r="K30" s="7" t="s">
        <v>4</v>
      </c>
      <c r="M30" s="7" t="s">
        <v>12</v>
      </c>
      <c r="N30" s="17">
        <f>N29*$B$27/N28</f>
        <v>22</v>
      </c>
      <c r="O30" s="7" t="s">
        <v>4</v>
      </c>
    </row>
    <row r="31" spans="1:15" ht="15" thickBot="1" x14ac:dyDescent="0.35">
      <c r="A31" s="24" t="s">
        <v>16</v>
      </c>
      <c r="B31" s="29">
        <f>B27-(B28+B29+B30)</f>
        <v>764.68131868131866</v>
      </c>
      <c r="C31" s="26" t="s">
        <v>4</v>
      </c>
      <c r="F31" s="2"/>
      <c r="J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7CCB-5423-49C1-9CF7-B848D7E1AB34}">
  <dimension ref="A1:AA40"/>
  <sheetViews>
    <sheetView zoomScale="90" zoomScaleNormal="90" workbookViewId="0">
      <selection activeCell="C4" sqref="C4"/>
    </sheetView>
  </sheetViews>
  <sheetFormatPr defaultRowHeight="14.4" x14ac:dyDescent="0.3"/>
  <cols>
    <col min="1" max="1" width="18.21875" bestFit="1" customWidth="1"/>
    <col min="2" max="2" width="20" bestFit="1" customWidth="1"/>
    <col min="3" max="3" width="18.21875" bestFit="1" customWidth="1"/>
    <col min="5" max="5" width="12.6640625" bestFit="1" customWidth="1"/>
    <col min="12" max="12" width="12.109375" bestFit="1" customWidth="1"/>
    <col min="15" max="15" width="18.21875" bestFit="1" customWidth="1"/>
    <col min="19" max="19" width="10.21875" bestFit="1" customWidth="1"/>
    <col min="24" max="24" width="10.77734375" bestFit="1" customWidth="1"/>
    <col min="25" max="25" width="13.109375" bestFit="1" customWidth="1"/>
    <col min="26" max="26" width="8.77734375" customWidth="1"/>
  </cols>
  <sheetData>
    <row r="1" spans="1:27" ht="15" thickBot="1" x14ac:dyDescent="0.35"/>
    <row r="2" spans="1:27" x14ac:dyDescent="0.3">
      <c r="A2" s="39" t="s">
        <v>69</v>
      </c>
      <c r="B2" s="36" t="s">
        <v>57</v>
      </c>
      <c r="C2" s="36" t="s">
        <v>58</v>
      </c>
      <c r="D2" s="36" t="s">
        <v>59</v>
      </c>
      <c r="E2" s="36" t="s">
        <v>60</v>
      </c>
      <c r="F2" s="36" t="s">
        <v>61</v>
      </c>
      <c r="G2" s="36" t="s">
        <v>62</v>
      </c>
      <c r="H2" s="36" t="s">
        <v>63</v>
      </c>
      <c r="I2" s="36" t="s">
        <v>64</v>
      </c>
      <c r="J2" s="36" t="s">
        <v>65</v>
      </c>
      <c r="K2" s="36" t="s">
        <v>66</v>
      </c>
      <c r="L2" s="36" t="s">
        <v>67</v>
      </c>
      <c r="M2" s="37" t="s">
        <v>68</v>
      </c>
      <c r="S2" s="13" t="s">
        <v>30</v>
      </c>
      <c r="U2" t="s">
        <v>75</v>
      </c>
      <c r="V2" t="s">
        <v>70</v>
      </c>
      <c r="W2" t="s">
        <v>71</v>
      </c>
      <c r="X2" t="s">
        <v>72</v>
      </c>
      <c r="Y2" t="s">
        <v>74</v>
      </c>
      <c r="Z2" t="s">
        <v>73</v>
      </c>
      <c r="AA2" t="s">
        <v>35</v>
      </c>
    </row>
    <row r="3" spans="1:27" x14ac:dyDescent="0.3">
      <c r="A3" s="58">
        <v>8</v>
      </c>
      <c r="B3" s="54">
        <v>0</v>
      </c>
      <c r="C3" s="55">
        <f t="shared" ref="C3:C12" si="0">(B3/$P$6)/$P$7/0.000000001</f>
        <v>0</v>
      </c>
      <c r="D3" s="53">
        <v>4.1709800000000001</v>
      </c>
      <c r="E3" s="53">
        <v>1.7401500000000001</v>
      </c>
      <c r="F3" s="53">
        <v>4.1873800000000001</v>
      </c>
      <c r="G3" s="53">
        <v>1.7491699999999999</v>
      </c>
      <c r="H3" s="53">
        <v>4.1935900000000004</v>
      </c>
      <c r="I3" s="53">
        <v>1.76752</v>
      </c>
      <c r="J3" s="56">
        <f t="shared" ref="J3:J12" si="1">AVERAGE(D3,F3,H3)</f>
        <v>4.1839833333333338</v>
      </c>
      <c r="K3" s="56">
        <f t="shared" ref="K3:K12" si="2">AVERAGE(E3,G3,I3)</f>
        <v>1.7522800000000001</v>
      </c>
      <c r="L3" s="56">
        <f t="shared" ref="L3:L12" si="3">J3/K3</f>
        <v>2.3877367391817139</v>
      </c>
      <c r="M3" s="59">
        <f t="shared" ref="M3:M12" si="4">($L$3-L3)/$L$3</f>
        <v>0</v>
      </c>
      <c r="S3" s="14" t="s">
        <v>32</v>
      </c>
      <c r="U3" s="14">
        <f>$L$3-L3</f>
        <v>0</v>
      </c>
      <c r="V3" s="14">
        <f>STDEV(D3,F3,H3)</f>
        <v>1.168143969437567E-2</v>
      </c>
      <c r="W3" s="14">
        <f>STDEV(E3,G3,I3)</f>
        <v>1.3947519492726978E-2</v>
      </c>
      <c r="X3" s="14">
        <f>L3*SQRT((V3/J3)^2+(W3/K3)^2)</f>
        <v>2.0140785713611706E-2</v>
      </c>
      <c r="Y3" s="14">
        <f>SQRT($X$3^2+X3^2)</f>
        <v>2.8483372313039951E-2</v>
      </c>
      <c r="Z3" s="14">
        <v>0</v>
      </c>
      <c r="AA3" s="14">
        <f>Z3/SQRT(3)</f>
        <v>0</v>
      </c>
    </row>
    <row r="4" spans="1:27" x14ac:dyDescent="0.3">
      <c r="A4" s="58">
        <v>3</v>
      </c>
      <c r="B4" s="54">
        <v>1.5</v>
      </c>
      <c r="C4" s="55">
        <f t="shared" si="0"/>
        <v>15.479333026498551</v>
      </c>
      <c r="D4" s="53">
        <v>3.9555600000000002</v>
      </c>
      <c r="E4" s="53">
        <v>1.7408999999999999</v>
      </c>
      <c r="F4" s="53">
        <v>3.8480400000000001</v>
      </c>
      <c r="G4" s="53">
        <v>1.7840800000000001</v>
      </c>
      <c r="H4" s="53">
        <v>3.8574199999999998</v>
      </c>
      <c r="I4" s="53">
        <v>1.8185</v>
      </c>
      <c r="J4" s="56">
        <f t="shared" si="1"/>
        <v>3.8870066666666667</v>
      </c>
      <c r="K4" s="56">
        <f t="shared" si="2"/>
        <v>1.7811600000000001</v>
      </c>
      <c r="L4" s="56">
        <f t="shared" si="3"/>
        <v>2.1822894443321581</v>
      </c>
      <c r="M4" s="59">
        <f t="shared" si="4"/>
        <v>8.6042691172044092E-2</v>
      </c>
      <c r="S4" s="15" t="s">
        <v>33</v>
      </c>
      <c r="U4" s="14">
        <f t="shared" ref="U4:U12" si="5">$L$3-L4</f>
        <v>0.20544729484955582</v>
      </c>
      <c r="V4" s="14">
        <f t="shared" ref="V4:V12" si="6">STDEV(D4,F4,H4)</f>
        <v>5.9553889321633274E-2</v>
      </c>
      <c r="W4" s="14">
        <f t="shared" ref="W4:W12" si="7">STDEV(E4,G4,I4)</f>
        <v>3.888231988963628E-2</v>
      </c>
      <c r="X4" s="14">
        <f t="shared" ref="X4:X12" si="8">L4*SQRT((V4/J4)^2+(W4/K4)^2)</f>
        <v>5.8201312642981416E-2</v>
      </c>
      <c r="Y4" s="14">
        <f t="shared" ref="Y4:Y12" si="9">SQRT($X$3^2+X4^2)</f>
        <v>6.1587693921169785E-2</v>
      </c>
      <c r="Z4" s="14">
        <f t="shared" ref="Z4:Z12" si="10">M4*SQRT((Y4/U4)^2+($X$3/$L$3)^2)</f>
        <v>2.5803544161953559E-2</v>
      </c>
      <c r="AA4" s="14">
        <f t="shared" ref="AA4:AA12" si="11">Z4/SQRT(3)</f>
        <v>1.4897683167950284E-2</v>
      </c>
    </row>
    <row r="5" spans="1:27" x14ac:dyDescent="0.3">
      <c r="A5" s="58">
        <v>5</v>
      </c>
      <c r="B5" s="54">
        <v>2.5</v>
      </c>
      <c r="C5" s="55">
        <f t="shared" si="0"/>
        <v>25.798888377497587</v>
      </c>
      <c r="D5" s="53">
        <v>3.83257</v>
      </c>
      <c r="E5" s="53">
        <v>1.68855</v>
      </c>
      <c r="F5" s="53">
        <v>3.7395900000000002</v>
      </c>
      <c r="G5" s="53">
        <v>1.6005799999999999</v>
      </c>
      <c r="H5" s="53">
        <v>3.8588399999999998</v>
      </c>
      <c r="I5" s="53">
        <v>1.7464200000000001</v>
      </c>
      <c r="J5" s="56">
        <f t="shared" si="1"/>
        <v>3.8103333333333338</v>
      </c>
      <c r="K5" s="56">
        <f t="shared" si="2"/>
        <v>1.6785166666666669</v>
      </c>
      <c r="L5" s="56">
        <f t="shared" si="3"/>
        <v>2.2700598742937714</v>
      </c>
      <c r="M5" s="59">
        <f t="shared" si="4"/>
        <v>4.9283852343064746E-2</v>
      </c>
      <c r="O5" t="s">
        <v>42</v>
      </c>
      <c r="P5" t="s">
        <v>43</v>
      </c>
      <c r="S5" s="38" t="s">
        <v>36</v>
      </c>
      <c r="U5" s="14">
        <f t="shared" si="5"/>
        <v>0.11767686488794249</v>
      </c>
      <c r="V5" s="14">
        <f t="shared" si="6"/>
        <v>6.2657742006341985E-2</v>
      </c>
      <c r="W5" s="14">
        <f t="shared" si="7"/>
        <v>7.3435871570597888E-2</v>
      </c>
      <c r="X5" s="14">
        <f t="shared" si="8"/>
        <v>0.10609981549622138</v>
      </c>
      <c r="Y5" s="14">
        <f t="shared" si="9"/>
        <v>0.10799454660997398</v>
      </c>
      <c r="Z5" s="14">
        <f t="shared" si="10"/>
        <v>4.5230743607085615E-2</v>
      </c>
      <c r="AA5" s="14">
        <f t="shared" si="11"/>
        <v>2.6113981997197826E-2</v>
      </c>
    </row>
    <row r="6" spans="1:27" x14ac:dyDescent="0.3">
      <c r="A6" s="58">
        <v>9</v>
      </c>
      <c r="B6" s="54">
        <v>5</v>
      </c>
      <c r="C6" s="55">
        <f t="shared" si="0"/>
        <v>51.597776754995174</v>
      </c>
      <c r="D6" s="53">
        <v>2.3686099999999999</v>
      </c>
      <c r="E6" s="53">
        <v>1.6503699999999999</v>
      </c>
      <c r="F6" s="53">
        <v>2.3290799999999998</v>
      </c>
      <c r="G6" s="53">
        <v>1.75685</v>
      </c>
      <c r="H6" s="53">
        <v>2.3326199999999999</v>
      </c>
      <c r="I6" s="53">
        <v>1.7698799999999999</v>
      </c>
      <c r="J6" s="56">
        <f t="shared" si="1"/>
        <v>2.3434366666666668</v>
      </c>
      <c r="K6" s="56">
        <f t="shared" si="2"/>
        <v>1.7256999999999998</v>
      </c>
      <c r="L6" s="56">
        <f t="shared" si="3"/>
        <v>1.3579629522319447</v>
      </c>
      <c r="M6" s="59">
        <f t="shared" si="4"/>
        <v>0.43127609926657007</v>
      </c>
      <c r="O6" t="s">
        <v>40</v>
      </c>
      <c r="P6" s="13">
        <v>2591</v>
      </c>
      <c r="Q6" t="s">
        <v>41</v>
      </c>
      <c r="U6" s="14">
        <f t="shared" si="5"/>
        <v>1.0297737869497692</v>
      </c>
      <c r="V6" s="14">
        <f t="shared" si="6"/>
        <v>2.1872481188318207E-2</v>
      </c>
      <c r="W6" s="14">
        <f t="shared" si="7"/>
        <v>6.556219871236782E-2</v>
      </c>
      <c r="X6" s="14">
        <f t="shared" si="8"/>
        <v>5.3125346577460861E-2</v>
      </c>
      <c r="Y6" s="14">
        <f t="shared" si="9"/>
        <v>5.6815083368212685E-2</v>
      </c>
      <c r="Z6" s="14">
        <f t="shared" si="10"/>
        <v>2.4071016648935115E-2</v>
      </c>
      <c r="AA6" s="14">
        <f t="shared" si="11"/>
        <v>1.3897407941930652E-2</v>
      </c>
    </row>
    <row r="7" spans="1:27" x14ac:dyDescent="0.3">
      <c r="A7" s="58">
        <v>2</v>
      </c>
      <c r="B7" s="54">
        <v>7.5</v>
      </c>
      <c r="C7" s="55">
        <f t="shared" si="0"/>
        <v>77.396665132492757</v>
      </c>
      <c r="D7" s="53">
        <v>1.65358</v>
      </c>
      <c r="E7" s="53">
        <v>1.7748299999999999</v>
      </c>
      <c r="F7" s="53">
        <v>1.5929899999999999</v>
      </c>
      <c r="G7" s="53">
        <v>1.7526999999999999</v>
      </c>
      <c r="H7" s="53">
        <v>1.5910899999999999</v>
      </c>
      <c r="I7" s="53">
        <v>1.7507699999999999</v>
      </c>
      <c r="J7" s="56">
        <f t="shared" si="1"/>
        <v>1.6125533333333333</v>
      </c>
      <c r="K7" s="56">
        <f t="shared" si="2"/>
        <v>1.7594333333333332</v>
      </c>
      <c r="L7" s="56">
        <f t="shared" si="3"/>
        <v>0.91651857605668496</v>
      </c>
      <c r="M7" s="59">
        <f t="shared" si="4"/>
        <v>0.61615593502540855</v>
      </c>
      <c r="O7" t="s">
        <v>45</v>
      </c>
      <c r="P7" s="13">
        <v>37400</v>
      </c>
      <c r="Q7" t="s">
        <v>44</v>
      </c>
      <c r="U7" s="14">
        <f t="shared" si="5"/>
        <v>1.471218163125029</v>
      </c>
      <c r="V7" s="14">
        <f t="shared" si="6"/>
        <v>3.5542833783103724E-2</v>
      </c>
      <c r="W7" s="14">
        <f t="shared" si="7"/>
        <v>1.3368778303694507E-2</v>
      </c>
      <c r="X7" s="14">
        <f t="shared" si="8"/>
        <v>2.1367966146813064E-2</v>
      </c>
      <c r="Y7" s="14">
        <f t="shared" si="9"/>
        <v>2.93639443265542E-2</v>
      </c>
      <c r="Z7" s="14">
        <f t="shared" si="10"/>
        <v>1.3350974787977036E-2</v>
      </c>
      <c r="AA7" s="14">
        <f t="shared" si="11"/>
        <v>7.7081888877824486E-3</v>
      </c>
    </row>
    <row r="8" spans="1:27" x14ac:dyDescent="0.3">
      <c r="A8" s="58">
        <v>10</v>
      </c>
      <c r="B8" s="54">
        <v>10</v>
      </c>
      <c r="C8" s="55">
        <f t="shared" si="0"/>
        <v>103.19555350999035</v>
      </c>
      <c r="D8" s="53">
        <v>1.2496499999999999</v>
      </c>
      <c r="E8" s="53">
        <v>1.61897</v>
      </c>
      <c r="F8" s="53">
        <v>1.28549</v>
      </c>
      <c r="G8" s="53">
        <v>1.6403700000000001</v>
      </c>
      <c r="H8" s="53">
        <v>1.3068299999999999</v>
      </c>
      <c r="I8" s="53">
        <v>1.48329</v>
      </c>
      <c r="J8" s="56">
        <f t="shared" si="1"/>
        <v>1.2806566666666666</v>
      </c>
      <c r="K8" s="56">
        <f t="shared" si="2"/>
        <v>1.5808766666666667</v>
      </c>
      <c r="L8" s="56">
        <f t="shared" si="3"/>
        <v>0.81009271227146107</v>
      </c>
      <c r="M8" s="59">
        <f t="shared" si="4"/>
        <v>0.66072779340444265</v>
      </c>
      <c r="U8" s="14">
        <f t="shared" si="5"/>
        <v>1.577644026910253</v>
      </c>
      <c r="V8" s="14">
        <f t="shared" si="6"/>
        <v>2.8894790764657462E-2</v>
      </c>
      <c r="W8" s="14">
        <f t="shared" si="7"/>
        <v>8.5187194655848009E-2</v>
      </c>
      <c r="X8" s="14">
        <f t="shared" si="8"/>
        <v>4.7324750939773022E-2</v>
      </c>
      <c r="Y8" s="14">
        <f t="shared" si="9"/>
        <v>5.1432317667719128E-2</v>
      </c>
      <c r="Z8" s="14">
        <f t="shared" si="10"/>
        <v>2.2249533469687052E-2</v>
      </c>
      <c r="AA8" s="14">
        <f t="shared" si="11"/>
        <v>1.2845774138067407E-2</v>
      </c>
    </row>
    <row r="9" spans="1:27" ht="15" thickBot="1" x14ac:dyDescent="0.35">
      <c r="A9" s="58">
        <v>4</v>
      </c>
      <c r="B9" s="54">
        <v>15</v>
      </c>
      <c r="C9" s="55">
        <f t="shared" si="0"/>
        <v>154.79333026498551</v>
      </c>
      <c r="D9" s="53">
        <v>1.1661999999999999</v>
      </c>
      <c r="E9" s="53">
        <v>1.71187</v>
      </c>
      <c r="F9" s="53">
        <v>1.15899</v>
      </c>
      <c r="G9" s="53">
        <v>1.7320500000000001</v>
      </c>
      <c r="H9" s="53">
        <v>1.1419699999999999</v>
      </c>
      <c r="I9" s="53">
        <v>1.68367</v>
      </c>
      <c r="J9" s="56">
        <f t="shared" si="1"/>
        <v>1.1557199999999999</v>
      </c>
      <c r="K9" s="56">
        <f t="shared" si="2"/>
        <v>1.7091966666666669</v>
      </c>
      <c r="L9" s="56">
        <f t="shared" si="3"/>
        <v>0.67617730746803062</v>
      </c>
      <c r="M9" s="59">
        <f t="shared" si="4"/>
        <v>0.71681245408161742</v>
      </c>
      <c r="U9" s="14">
        <f t="shared" si="5"/>
        <v>1.7115594317136833</v>
      </c>
      <c r="V9" s="14">
        <f t="shared" si="6"/>
        <v>1.2441579481721757E-2</v>
      </c>
      <c r="W9" s="14">
        <f t="shared" si="7"/>
        <v>2.4300537716958764E-2</v>
      </c>
      <c r="X9" s="14">
        <f t="shared" si="8"/>
        <v>1.2058496204232088E-2</v>
      </c>
      <c r="Y9" s="14">
        <f t="shared" si="9"/>
        <v>2.3474636948611263E-2</v>
      </c>
      <c r="Z9" s="14">
        <f t="shared" si="10"/>
        <v>1.1541830345067677E-2</v>
      </c>
      <c r="AA9" s="14">
        <f t="shared" si="11"/>
        <v>6.6636788566658148E-3</v>
      </c>
    </row>
    <row r="10" spans="1:27" x14ac:dyDescent="0.3">
      <c r="A10" s="58">
        <v>7</v>
      </c>
      <c r="B10" s="54">
        <v>25</v>
      </c>
      <c r="C10" s="55">
        <f t="shared" si="0"/>
        <v>257.98888377497593</v>
      </c>
      <c r="D10" s="53">
        <v>1.0565199999999999</v>
      </c>
      <c r="E10" s="57">
        <v>1.7719400000000001</v>
      </c>
      <c r="F10" s="53">
        <v>1.0779399999999999</v>
      </c>
      <c r="G10" s="53">
        <v>1.2817099999999999</v>
      </c>
      <c r="H10" s="53">
        <v>1.0345899999999999</v>
      </c>
      <c r="I10" s="53">
        <v>1.53905</v>
      </c>
      <c r="J10" s="56">
        <f t="shared" si="1"/>
        <v>1.0563499999999999</v>
      </c>
      <c r="K10" s="56">
        <f t="shared" si="2"/>
        <v>1.5309000000000001</v>
      </c>
      <c r="L10" s="56">
        <f t="shared" si="3"/>
        <v>0.69001894310536271</v>
      </c>
      <c r="M10" s="59">
        <f t="shared" si="4"/>
        <v>0.7110154851736985</v>
      </c>
      <c r="O10" s="39" t="s">
        <v>58</v>
      </c>
      <c r="P10" s="36" t="s">
        <v>68</v>
      </c>
      <c r="Q10" s="37" t="s">
        <v>35</v>
      </c>
      <c r="U10" s="14">
        <f t="shared" si="5"/>
        <v>1.6977177960763512</v>
      </c>
      <c r="V10" s="14">
        <f t="shared" si="6"/>
        <v>2.167549999423312E-2</v>
      </c>
      <c r="W10" s="14">
        <f t="shared" si="7"/>
        <v>0.24521659833706103</v>
      </c>
      <c r="X10" s="14">
        <f t="shared" si="8"/>
        <v>0.11142908969166389</v>
      </c>
      <c r="Y10" s="14">
        <f t="shared" si="9"/>
        <v>0.11323468231365556</v>
      </c>
      <c r="Z10" s="14">
        <f t="shared" si="10"/>
        <v>4.7801173198058537E-2</v>
      </c>
      <c r="AA10" s="14">
        <f t="shared" si="11"/>
        <v>2.7598020213479024E-2</v>
      </c>
    </row>
    <row r="11" spans="1:27" x14ac:dyDescent="0.3">
      <c r="A11" s="58">
        <v>6</v>
      </c>
      <c r="B11" s="54">
        <v>50</v>
      </c>
      <c r="C11" s="55">
        <f t="shared" si="0"/>
        <v>515.97776754995186</v>
      </c>
      <c r="D11" s="53">
        <v>0.81971000000000005</v>
      </c>
      <c r="E11" s="53">
        <v>1.6406799999999999</v>
      </c>
      <c r="F11" s="53">
        <v>0.81030000000000002</v>
      </c>
      <c r="G11" s="53">
        <v>1.5423199999999999</v>
      </c>
      <c r="H11" s="53">
        <v>0.80701999999999996</v>
      </c>
      <c r="I11" s="53">
        <v>1.6022400000000001</v>
      </c>
      <c r="J11" s="56">
        <f t="shared" si="1"/>
        <v>0.81234333333333331</v>
      </c>
      <c r="K11" s="56">
        <f t="shared" si="2"/>
        <v>1.5950800000000001</v>
      </c>
      <c r="L11" s="56">
        <f t="shared" si="3"/>
        <v>0.50928062124365758</v>
      </c>
      <c r="M11" s="59">
        <f t="shared" si="4"/>
        <v>0.78670989440059047</v>
      </c>
      <c r="O11" s="42">
        <f>C3</f>
        <v>0</v>
      </c>
      <c r="P11" s="43">
        <f>M3</f>
        <v>0</v>
      </c>
      <c r="Q11" s="44">
        <f>AA3</f>
        <v>0</v>
      </c>
      <c r="U11" s="14">
        <f t="shared" si="5"/>
        <v>1.8784561179380563</v>
      </c>
      <c r="V11" s="14">
        <f t="shared" si="6"/>
        <v>6.5871415145975021E-3</v>
      </c>
      <c r="W11" s="14">
        <f t="shared" si="7"/>
        <v>4.9569361504865093E-2</v>
      </c>
      <c r="X11" s="14">
        <f t="shared" si="8"/>
        <v>1.6356522109964196E-2</v>
      </c>
      <c r="Y11" s="14">
        <f t="shared" si="9"/>
        <v>2.5945848698691144E-2</v>
      </c>
      <c r="Z11" s="14">
        <f t="shared" si="10"/>
        <v>1.2732339543914502E-2</v>
      </c>
      <c r="AA11" s="14">
        <f t="shared" si="11"/>
        <v>7.3510196630927555E-3</v>
      </c>
    </row>
    <row r="12" spans="1:27" ht="15" thickBot="1" x14ac:dyDescent="0.35">
      <c r="A12" s="60">
        <v>1</v>
      </c>
      <c r="B12" s="61">
        <v>100</v>
      </c>
      <c r="C12" s="62">
        <f t="shared" si="0"/>
        <v>1031.9555350999037</v>
      </c>
      <c r="D12" s="63">
        <v>0.66886000000000001</v>
      </c>
      <c r="E12" s="63">
        <v>1.5537300000000001</v>
      </c>
      <c r="F12" s="63">
        <v>0.6633</v>
      </c>
      <c r="G12" s="63">
        <v>1.4503600000000001</v>
      </c>
      <c r="H12" s="63">
        <v>0.67623999999999995</v>
      </c>
      <c r="I12" s="63">
        <v>1.4696400000000001</v>
      </c>
      <c r="J12" s="64">
        <f t="shared" si="1"/>
        <v>0.66946666666666665</v>
      </c>
      <c r="K12" s="64">
        <f t="shared" si="2"/>
        <v>1.4912433333333333</v>
      </c>
      <c r="L12" s="64">
        <f t="shared" si="3"/>
        <v>0.44893187563844938</v>
      </c>
      <c r="M12" s="65">
        <f t="shared" si="4"/>
        <v>0.8119843497519329</v>
      </c>
      <c r="O12" s="42">
        <f t="shared" ref="O12:O19" si="12">C4</f>
        <v>15.479333026498551</v>
      </c>
      <c r="P12" s="43">
        <f t="shared" ref="P12:P20" si="13">M4</f>
        <v>8.6042691172044092E-2</v>
      </c>
      <c r="Q12" s="44">
        <f t="shared" ref="Q12:Q20" si="14">AA4</f>
        <v>1.4897683167950284E-2</v>
      </c>
      <c r="U12" s="14">
        <f t="shared" si="5"/>
        <v>1.9388048635432646</v>
      </c>
      <c r="V12" s="14">
        <f t="shared" si="6"/>
        <v>6.4912967374271989E-3</v>
      </c>
      <c r="W12" s="14">
        <f t="shared" si="7"/>
        <v>5.4966964927430105E-2</v>
      </c>
      <c r="X12" s="14">
        <f t="shared" si="8"/>
        <v>1.7110508456617043E-2</v>
      </c>
      <c r="Y12" s="14">
        <f t="shared" si="9"/>
        <v>2.6427651216208919E-2</v>
      </c>
      <c r="Z12" s="14">
        <f t="shared" si="10"/>
        <v>1.3015888845425143E-2</v>
      </c>
      <c r="AA12" s="14">
        <f t="shared" si="11"/>
        <v>7.5147269286484544E-3</v>
      </c>
    </row>
    <row r="13" spans="1:27" x14ac:dyDescent="0.3">
      <c r="O13" s="42">
        <f t="shared" si="12"/>
        <v>25.798888377497587</v>
      </c>
      <c r="P13" s="43">
        <f t="shared" si="13"/>
        <v>4.9283852343064746E-2</v>
      </c>
      <c r="Q13" s="44">
        <f t="shared" si="14"/>
        <v>2.6113981997197826E-2</v>
      </c>
    </row>
    <row r="14" spans="1:27" x14ac:dyDescent="0.3">
      <c r="O14" s="42">
        <f t="shared" si="12"/>
        <v>51.597776754995174</v>
      </c>
      <c r="P14" s="43">
        <f t="shared" si="13"/>
        <v>0.43127609926657007</v>
      </c>
      <c r="Q14" s="44">
        <f t="shared" si="14"/>
        <v>1.3897407941930652E-2</v>
      </c>
    </row>
    <row r="15" spans="1:27" x14ac:dyDescent="0.3">
      <c r="O15" s="42">
        <f t="shared" si="12"/>
        <v>77.396665132492757</v>
      </c>
      <c r="P15" s="43">
        <f t="shared" si="13"/>
        <v>0.61615593502540855</v>
      </c>
      <c r="Q15" s="44">
        <f t="shared" si="14"/>
        <v>7.7081888877824486E-3</v>
      </c>
    </row>
    <row r="16" spans="1:27" x14ac:dyDescent="0.3">
      <c r="O16" s="42">
        <f t="shared" si="12"/>
        <v>103.19555350999035</v>
      </c>
      <c r="P16" s="43">
        <f t="shared" si="13"/>
        <v>0.66072779340444265</v>
      </c>
      <c r="Q16" s="44">
        <f t="shared" si="14"/>
        <v>1.2845774138067407E-2</v>
      </c>
    </row>
    <row r="17" spans="1:17" x14ac:dyDescent="0.3">
      <c r="O17" s="42">
        <f t="shared" si="12"/>
        <v>154.79333026498551</v>
      </c>
      <c r="P17" s="43">
        <f t="shared" si="13"/>
        <v>0.71681245408161742</v>
      </c>
      <c r="Q17" s="44">
        <f t="shared" si="14"/>
        <v>6.6636788566658148E-3</v>
      </c>
    </row>
    <row r="18" spans="1:17" x14ac:dyDescent="0.3">
      <c r="O18" s="42">
        <f t="shared" si="12"/>
        <v>257.98888377497593</v>
      </c>
      <c r="P18" s="43">
        <f t="shared" si="13"/>
        <v>0.7110154851736985</v>
      </c>
      <c r="Q18" s="44">
        <f t="shared" si="14"/>
        <v>2.7598020213479024E-2</v>
      </c>
    </row>
    <row r="19" spans="1:17" x14ac:dyDescent="0.3">
      <c r="O19" s="42">
        <f t="shared" si="12"/>
        <v>515.97776754995186</v>
      </c>
      <c r="P19" s="43">
        <f t="shared" si="13"/>
        <v>0.78670989440059047</v>
      </c>
      <c r="Q19" s="44">
        <f t="shared" si="14"/>
        <v>7.3510196630927555E-3</v>
      </c>
    </row>
    <row r="20" spans="1:17" ht="15" thickBot="1" x14ac:dyDescent="0.35">
      <c r="O20" s="45">
        <f>C12</f>
        <v>1031.9555350999037</v>
      </c>
      <c r="P20" s="46">
        <f t="shared" si="13"/>
        <v>0.8119843497519329</v>
      </c>
      <c r="Q20" s="47">
        <f t="shared" si="14"/>
        <v>7.5147269286484544E-3</v>
      </c>
    </row>
    <row r="29" spans="1:17" ht="15" thickBot="1" x14ac:dyDescent="0.35"/>
    <row r="30" spans="1:17" x14ac:dyDescent="0.3">
      <c r="A30" s="39" t="s">
        <v>58</v>
      </c>
      <c r="B30" s="36" t="s">
        <v>46</v>
      </c>
      <c r="C30" s="36" t="s">
        <v>47</v>
      </c>
      <c r="D30" s="36" t="s">
        <v>48</v>
      </c>
      <c r="E30" s="37" t="s">
        <v>49</v>
      </c>
    </row>
    <row r="31" spans="1:17" x14ac:dyDescent="0.3">
      <c r="A31" s="42">
        <f>C3</f>
        <v>0</v>
      </c>
      <c r="B31" s="55"/>
      <c r="C31" s="55"/>
      <c r="D31" s="55"/>
      <c r="E31" s="66"/>
    </row>
    <row r="32" spans="1:17" x14ac:dyDescent="0.3">
      <c r="A32" s="42">
        <f t="shared" ref="A32:A40" si="15">C4</f>
        <v>15.479333026498551</v>
      </c>
      <c r="B32" s="55">
        <f>LOG(A32)</f>
        <v>1.1897522438693762</v>
      </c>
      <c r="C32" s="55">
        <f>M4/$M$12</f>
        <v>0.10596594774065628</v>
      </c>
      <c r="D32" s="55">
        <f>C32/(1-C32)</f>
        <v>0.11852562827206206</v>
      </c>
      <c r="E32" s="66">
        <f>LOG(D32)</f>
        <v>-0.92618773392618337</v>
      </c>
    </row>
    <row r="33" spans="1:5" x14ac:dyDescent="0.3">
      <c r="A33" s="42">
        <f t="shared" si="15"/>
        <v>25.798888377497587</v>
      </c>
      <c r="B33" s="55">
        <f t="shared" ref="B33:B40" si="16">LOG(A33)</f>
        <v>1.4116009934857325</v>
      </c>
      <c r="C33" s="55">
        <f t="shared" ref="C33:C40" si="17">M5/$M$12</f>
        <v>6.0695569265739324E-2</v>
      </c>
      <c r="D33" s="55">
        <f t="shared" ref="D33:D39" si="18">C33/(1-C33)</f>
        <v>6.4617569426658819E-2</v>
      </c>
      <c r="E33" s="66">
        <f t="shared" ref="E33:E39" si="19">LOG(D33)</f>
        <v>-1.1896493818869676</v>
      </c>
    </row>
    <row r="34" spans="1:5" x14ac:dyDescent="0.3">
      <c r="A34" s="42">
        <f t="shared" si="15"/>
        <v>51.597776754995174</v>
      </c>
      <c r="B34" s="55">
        <f t="shared" si="16"/>
        <v>1.7126309891497138</v>
      </c>
      <c r="C34" s="55">
        <f t="shared" si="17"/>
        <v>0.53113843807251704</v>
      </c>
      <c r="D34" s="55">
        <f t="shared" si="18"/>
        <v>1.132825723416129</v>
      </c>
      <c r="E34" s="66">
        <f t="shared" si="19"/>
        <v>5.4163102113739182E-2</v>
      </c>
    </row>
    <row r="35" spans="1:5" x14ac:dyDescent="0.3">
      <c r="A35" s="42">
        <f t="shared" si="15"/>
        <v>77.396665132492757</v>
      </c>
      <c r="B35" s="55">
        <f t="shared" si="16"/>
        <v>1.8887222482053949</v>
      </c>
      <c r="C35" s="55">
        <f t="shared" si="17"/>
        <v>0.75882735327798945</v>
      </c>
      <c r="D35" s="55">
        <f t="shared" si="18"/>
        <v>3.1464072049292451</v>
      </c>
      <c r="E35" s="66">
        <f t="shared" si="19"/>
        <v>0.49781492788981357</v>
      </c>
    </row>
    <row r="36" spans="1:5" x14ac:dyDescent="0.3">
      <c r="A36" s="42">
        <f t="shared" si="15"/>
        <v>103.19555350999035</v>
      </c>
      <c r="B36" s="55">
        <f t="shared" si="16"/>
        <v>2.0136609848136948</v>
      </c>
      <c r="C36" s="55">
        <f t="shared" si="17"/>
        <v>0.81371986246569872</v>
      </c>
      <c r="D36" s="55">
        <f t="shared" si="18"/>
        <v>4.3682588666537878</v>
      </c>
      <c r="E36" s="66">
        <f t="shared" si="19"/>
        <v>0.64030836711152572</v>
      </c>
    </row>
    <row r="37" spans="1:5" x14ac:dyDescent="0.3">
      <c r="A37" s="42">
        <f t="shared" si="15"/>
        <v>154.79333026498551</v>
      </c>
      <c r="B37" s="55">
        <f t="shared" si="16"/>
        <v>2.1897522438693762</v>
      </c>
      <c r="C37" s="55">
        <f t="shared" si="17"/>
        <v>0.88279097288095365</v>
      </c>
      <c r="D37" s="55">
        <f t="shared" si="18"/>
        <v>7.5317660642667432</v>
      </c>
      <c r="E37" s="66">
        <f t="shared" si="19"/>
        <v>0.87689682242058942</v>
      </c>
    </row>
    <row r="38" spans="1:5" x14ac:dyDescent="0.3">
      <c r="A38" s="42">
        <f t="shared" si="15"/>
        <v>257.98888377497593</v>
      </c>
      <c r="B38" s="55">
        <f t="shared" si="16"/>
        <v>2.4116009934857328</v>
      </c>
      <c r="C38" s="55">
        <f t="shared" si="17"/>
        <v>0.87565171101009387</v>
      </c>
      <c r="D38" s="55">
        <f t="shared" si="18"/>
        <v>7.0419281047057609</v>
      </c>
      <c r="E38" s="66">
        <f t="shared" si="19"/>
        <v>0.84769158678231182</v>
      </c>
    </row>
    <row r="39" spans="1:5" x14ac:dyDescent="0.3">
      <c r="A39" s="42">
        <f t="shared" si="15"/>
        <v>515.97776754995186</v>
      </c>
      <c r="B39" s="55">
        <f t="shared" si="16"/>
        <v>2.712630989149714</v>
      </c>
      <c r="C39" s="55">
        <f t="shared" si="17"/>
        <v>0.96887322353064564</v>
      </c>
      <c r="D39" s="55">
        <f t="shared" si="18"/>
        <v>31.126680415639662</v>
      </c>
      <c r="E39" s="66">
        <f t="shared" si="19"/>
        <v>1.4931328067074801</v>
      </c>
    </row>
    <row r="40" spans="1:5" ht="15" thickBot="1" x14ac:dyDescent="0.35">
      <c r="A40" s="45">
        <f t="shared" si="15"/>
        <v>1031.9555350999037</v>
      </c>
      <c r="B40" s="62">
        <f t="shared" si="16"/>
        <v>3.0136609848136953</v>
      </c>
      <c r="C40" s="62">
        <f t="shared" si="17"/>
        <v>1</v>
      </c>
      <c r="D40" s="62"/>
      <c r="E40" s="67"/>
    </row>
  </sheetData>
  <sortState xmlns:xlrd2="http://schemas.microsoft.com/office/spreadsheetml/2017/richdata2" ref="A3:I12">
    <sortCondition ref="B3:B1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E3DA-CFB1-4661-A391-D3A69588A4A2}">
  <dimension ref="A1:C11"/>
  <sheetViews>
    <sheetView tabSelected="1" workbookViewId="0">
      <selection activeCell="B13" sqref="B13"/>
    </sheetView>
  </sheetViews>
  <sheetFormatPr defaultRowHeight="14.4" x14ac:dyDescent="0.3"/>
  <cols>
    <col min="1" max="1" width="18.6640625" customWidth="1"/>
  </cols>
  <sheetData>
    <row r="1" spans="1:3" x14ac:dyDescent="0.3">
      <c r="A1" t="s">
        <v>77</v>
      </c>
      <c r="B1" t="s">
        <v>76</v>
      </c>
      <c r="C1" t="s">
        <v>35</v>
      </c>
    </row>
    <row r="2" spans="1:3" x14ac:dyDescent="0.3">
      <c r="A2">
        <f>Results!O11</f>
        <v>0</v>
      </c>
      <c r="B2">
        <f>Results!P11</f>
        <v>0</v>
      </c>
      <c r="C2">
        <f>Results!Q11</f>
        <v>0</v>
      </c>
    </row>
    <row r="3" spans="1:3" x14ac:dyDescent="0.3">
      <c r="A3">
        <f>Results!O12</f>
        <v>15.479333026498551</v>
      </c>
      <c r="B3">
        <f>Results!P12</f>
        <v>8.6042691172044092E-2</v>
      </c>
      <c r="C3">
        <f>Results!Q12</f>
        <v>1.4897683167950284E-2</v>
      </c>
    </row>
    <row r="4" spans="1:3" x14ac:dyDescent="0.3">
      <c r="A4">
        <f>Results!O13</f>
        <v>25.798888377497587</v>
      </c>
      <c r="B4">
        <f>Results!P13</f>
        <v>4.9283852343064746E-2</v>
      </c>
      <c r="C4">
        <f>Results!Q13</f>
        <v>2.6113981997197826E-2</v>
      </c>
    </row>
    <row r="5" spans="1:3" x14ac:dyDescent="0.3">
      <c r="A5">
        <f>Results!O14</f>
        <v>51.597776754995174</v>
      </c>
      <c r="B5">
        <f>Results!P14</f>
        <v>0.43127609926657007</v>
      </c>
      <c r="C5">
        <f>Results!Q14</f>
        <v>1.3897407941930652E-2</v>
      </c>
    </row>
    <row r="6" spans="1:3" x14ac:dyDescent="0.3">
      <c r="A6">
        <f>Results!O15</f>
        <v>77.396665132492757</v>
      </c>
      <c r="B6">
        <f>Results!P15</f>
        <v>0.61615593502540855</v>
      </c>
      <c r="C6">
        <f>Results!Q15</f>
        <v>7.7081888877824486E-3</v>
      </c>
    </row>
    <row r="7" spans="1:3" x14ac:dyDescent="0.3">
      <c r="A7">
        <f>Results!O16</f>
        <v>103.19555350999035</v>
      </c>
      <c r="B7">
        <f>Results!P16</f>
        <v>0.66072779340444265</v>
      </c>
      <c r="C7">
        <f>Results!Q16</f>
        <v>1.2845774138067407E-2</v>
      </c>
    </row>
    <row r="8" spans="1:3" x14ac:dyDescent="0.3">
      <c r="A8">
        <f>Results!O17</f>
        <v>154.79333026498551</v>
      </c>
      <c r="B8">
        <f>Results!P17</f>
        <v>0.71681245408161742</v>
      </c>
      <c r="C8">
        <f>Results!Q17</f>
        <v>6.6636788566658148E-3</v>
      </c>
    </row>
    <row r="9" spans="1:3" x14ac:dyDescent="0.3">
      <c r="A9">
        <f>Results!O18</f>
        <v>257.98888377497593</v>
      </c>
      <c r="B9">
        <f>Results!P18</f>
        <v>0.7110154851736985</v>
      </c>
      <c r="C9">
        <f>Results!Q18</f>
        <v>2.7598020213479024E-2</v>
      </c>
    </row>
    <row r="10" spans="1:3" x14ac:dyDescent="0.3">
      <c r="A10">
        <f>Results!O19</f>
        <v>515.97776754995186</v>
      </c>
      <c r="B10">
        <f>Results!P19</f>
        <v>0.78670989440059047</v>
      </c>
      <c r="C10">
        <f>Results!Q19</f>
        <v>7.3510196630927555E-3</v>
      </c>
    </row>
    <row r="11" spans="1:3" x14ac:dyDescent="0.3">
      <c r="A11">
        <f>Results!O20</f>
        <v>1031.9555350999037</v>
      </c>
      <c r="B11">
        <f>Results!P20</f>
        <v>0.8119843497519329</v>
      </c>
      <c r="C11">
        <f>Results!Q20</f>
        <v>7.5147269286484544E-3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Prep</vt:lpstr>
      <vt:lpstr>Results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Simon Weaver</cp:lastModifiedBy>
  <dcterms:created xsi:type="dcterms:W3CDTF">2020-05-25T19:10:58Z</dcterms:created>
  <dcterms:modified xsi:type="dcterms:W3CDTF">2020-08-14T19:21:18Z</dcterms:modified>
</cp:coreProperties>
</file>