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Data_Input" sheetId="2" r:id="rId5"/>
    <sheet state="visible" name="pts" sheetId="3" r:id="rId6"/>
    <sheet state="visible" name="ptsA" sheetId="4" r:id="rId7"/>
    <sheet state="visible" name="ypp" sheetId="5" r:id="rId8"/>
    <sheet state="visible" name="yppA" sheetId="6" r:id="rId9"/>
    <sheet state="visible" name="plays" sheetId="7" r:id="rId10"/>
    <sheet state="visible" name="Calculations" sheetId="8" r:id="rId11"/>
    <sheet state="visible" name="Output" sheetId="9" r:id="rId12"/>
    <sheet state="visible" name="odds" sheetId="10" r:id="rId13"/>
    <sheet state="visible" name="Spread" sheetId="11" r:id="rId14"/>
    <sheet state="visible" name="map" sheetId="12" r:id="rId15"/>
  </sheets>
  <definedNames>
    <definedName hidden="1" localSheetId="0" name="_xlnm._FilterDatabase">Model!$A$1:$O$17</definedName>
  </definedNames>
  <calcPr/>
</workbook>
</file>

<file path=xl/sharedStrings.xml><?xml version="1.0" encoding="utf-8"?>
<sst xmlns="http://schemas.openxmlformats.org/spreadsheetml/2006/main" count="106" uniqueCount="100">
  <si>
    <t>Home Map</t>
  </si>
  <si>
    <t>Away Map</t>
  </si>
  <si>
    <t>Game ID</t>
  </si>
  <si>
    <t>Home</t>
  </si>
  <si>
    <t>Away</t>
  </si>
  <si>
    <t>EPA Home</t>
  </si>
  <si>
    <t>EPA Away</t>
  </si>
  <si>
    <t>Total EPA</t>
  </si>
  <si>
    <t>Line</t>
  </si>
  <si>
    <t>Delta</t>
  </si>
  <si>
    <t>Recommended Total Bet</t>
  </si>
  <si>
    <t>Home Margin</t>
  </si>
  <si>
    <t>Home Spread</t>
  </si>
  <si>
    <t>Spread Delta</t>
  </si>
  <si>
    <t>Recommended Spread Bet</t>
  </si>
  <si>
    <t>Team</t>
  </si>
  <si>
    <t>Avg Pts Scored (Team A)</t>
  </si>
  <si>
    <t>Avg Pts Allowed (Team A)</t>
  </si>
  <si>
    <t>Off Yards per Play (Team A)</t>
  </si>
  <si>
    <t>Def Yards per Play (Team A)</t>
  </si>
  <si>
    <t>Avg Plays per Game (Team A)</t>
  </si>
  <si>
    <t>Adjustment Factor (Team A)</t>
  </si>
  <si>
    <t>EPA</t>
  </si>
  <si>
    <t>Rank</t>
  </si>
  <si>
    <t>Category</t>
  </si>
  <si>
    <t>Formula</t>
  </si>
  <si>
    <t>EP_TeamA</t>
  </si>
  <si>
    <t>EP_TeamB</t>
  </si>
  <si>
    <t>TEP</t>
  </si>
  <si>
    <t>Avg Plays</t>
  </si>
  <si>
    <t>League Avg</t>
  </si>
  <si>
    <t>64</t>
  </si>
  <si>
    <t>Pace Adj</t>
  </si>
  <si>
    <t>TEP Adjusted</t>
  </si>
  <si>
    <t>Estimated Total Line</t>
  </si>
  <si>
    <t>Total Line (Rounded)</t>
  </si>
  <si>
    <t>Dallas</t>
  </si>
  <si>
    <t>Dallas Cowboys</t>
  </si>
  <si>
    <t>Kansas City</t>
  </si>
  <si>
    <t>Kansas City Chiefs</t>
  </si>
  <si>
    <t>Minnesota</t>
  </si>
  <si>
    <t>Minnesota Vikings</t>
  </si>
  <si>
    <t>Cincinnati</t>
  </si>
  <si>
    <t>Cincinnati Bengals</t>
  </si>
  <si>
    <t>Detroit</t>
  </si>
  <si>
    <t>Detroit Lions</t>
  </si>
  <si>
    <t>Jacksonville</t>
  </si>
  <si>
    <t>Jacksonville Jaguars</t>
  </si>
  <si>
    <t>LA Chargers</t>
  </si>
  <si>
    <t>Los Angeles Chargers</t>
  </si>
  <si>
    <t>Washington</t>
  </si>
  <si>
    <t>Washington Commanders</t>
  </si>
  <si>
    <t>New Orleans</t>
  </si>
  <si>
    <t>New Orleans Saints</t>
  </si>
  <si>
    <t>Miami</t>
  </si>
  <si>
    <t>Miami Dolphins</t>
  </si>
  <si>
    <t>Buffalo</t>
  </si>
  <si>
    <t>Buffalo Bills</t>
  </si>
  <si>
    <t>Philadelphia</t>
  </si>
  <si>
    <t>Philadelphia Eagles</t>
  </si>
  <si>
    <t>Seattle</t>
  </si>
  <si>
    <t>Seattle Seahawks</t>
  </si>
  <si>
    <t>Tampa Bay</t>
  </si>
  <si>
    <t>Tampa Bay Buccaneers</t>
  </si>
  <si>
    <t>Green Bay</t>
  </si>
  <si>
    <t>Green Bay Packers</t>
  </si>
  <si>
    <t>Cleveland</t>
  </si>
  <si>
    <t>Cleveland Browns</t>
  </si>
  <si>
    <t>Houston</t>
  </si>
  <si>
    <t>Houston Texans</t>
  </si>
  <si>
    <t>LA Rams</t>
  </si>
  <si>
    <t>Los Angeles Rams</t>
  </si>
  <si>
    <t>NY Jets</t>
  </si>
  <si>
    <t>New York Jets</t>
  </si>
  <si>
    <t>Indianapolis</t>
  </si>
  <si>
    <t>Indianapolis Colts</t>
  </si>
  <si>
    <t>Arizona</t>
  </si>
  <si>
    <t>Arizona Cardinals</t>
  </si>
  <si>
    <t>New England</t>
  </si>
  <si>
    <t>New England Patriots</t>
  </si>
  <si>
    <t>Carolina</t>
  </si>
  <si>
    <t>Carolina Panthers</t>
  </si>
  <si>
    <t>Las Vegas</t>
  </si>
  <si>
    <t>Las Vegas Raiders</t>
  </si>
  <si>
    <t>San Francisco</t>
  </si>
  <si>
    <t>San Francisco 49ers</t>
  </si>
  <si>
    <t>NY Giants</t>
  </si>
  <si>
    <t>New York Giants</t>
  </si>
  <si>
    <t>Denver</t>
  </si>
  <si>
    <t>Denver Broncos</t>
  </si>
  <si>
    <t>Atlanta</t>
  </si>
  <si>
    <t>Atlanta Falcons</t>
  </si>
  <si>
    <t>Pittsburgh</t>
  </si>
  <si>
    <t>Pittsburgh Steelers</t>
  </si>
  <si>
    <t>Baltimore</t>
  </si>
  <si>
    <t>Baltimore Ravens</t>
  </si>
  <si>
    <t>Chicago</t>
  </si>
  <si>
    <t>Chicago Bears</t>
  </si>
  <si>
    <t>Tennessee</t>
  </si>
  <si>
    <t>Tennessee Titans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</si>
</sst>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  <font>
      <b/>
      <sz val="11.0"/>
      <color rgb="FF222222"/>
      <name val="&quot;Helvetica Neue&quot;"/>
    </font>
    <font>
      <sz val="11.0"/>
      <color rgb="FF222222"/>
      <name val="&quot;Helvetica Neue&quot;"/>
    </font>
    <font>
      <u/>
      <sz val="11.0"/>
      <color rgb="FF2171CD"/>
      <name val="&quot;Helvetica Neue&quot;"/>
    </font>
    <font>
      <u/>
      <color rgb="FF0000FF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0" fillId="2" fontId="5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2" fontId="5" numFmtId="0" xfId="0" applyAlignment="1" applyFont="1">
      <alignment horizontal="right" readingOrder="0" shrinkToFit="0" wrapText="0"/>
    </xf>
    <xf borderId="2" fillId="3" fontId="6" numFmtId="0" xfId="0" applyAlignment="1" applyBorder="1" applyFill="1" applyFont="1">
      <alignment horizontal="center" readingOrder="0"/>
    </xf>
    <xf borderId="2" fillId="0" fontId="7" numFmtId="0" xfId="0" applyAlignment="1" applyBorder="1" applyFont="1">
      <alignment horizontal="left" readingOrder="0" shrinkToFit="0" wrapText="0"/>
    </xf>
    <xf borderId="2" fillId="3" fontId="6" numFmtId="0" xfId="0" applyAlignment="1" applyBorder="1" applyFont="1">
      <alignment horizontal="right" readingOrder="0"/>
    </xf>
    <xf borderId="0" fillId="0" fontId="2" numFmtId="0" xfId="0" applyAlignment="1" applyFont="1">
      <alignment vertical="bottom"/>
    </xf>
    <xf borderId="0" fillId="0" fontId="1" numFmtId="14" xfId="0" applyFont="1" applyNumberFormat="1"/>
    <xf borderId="0" fillId="0" fontId="8" numFmtId="0" xfId="0" applyFont="1"/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mybookie.ag" TargetMode="External"/><Relationship Id="rId2" Type="http://schemas.openxmlformats.org/officeDocument/2006/relationships/hyperlink" Target="http://mybookie.ag" TargetMode="External"/><Relationship Id="rId3" Type="http://schemas.openxmlformats.org/officeDocument/2006/relationships/hyperlink" Target="http://betonline.ag" TargetMode="External"/><Relationship Id="rId4" Type="http://schemas.openxmlformats.org/officeDocument/2006/relationships/hyperlink" Target="http://betonline.ag" TargetMode="External"/><Relationship Id="rId5" Type="http://schemas.openxmlformats.org/officeDocument/2006/relationships/hyperlink" Target="http://lowvig.ag" TargetMode="External"/><Relationship Id="rId6" Type="http://schemas.openxmlformats.org/officeDocument/2006/relationships/hyperlink" Target="http://lowvig.ag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21.86"/>
    <col customWidth="1" min="15" max="15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>
      <c r="A2" s="4">
        <f>VLOOKUP($D2,map!$D:$E,2,false)</f>
        <v>29</v>
      </c>
      <c r="B2" s="4">
        <f>VLOOKUP($E2,map!$D:$E,2,false)</f>
        <v>26</v>
      </c>
      <c r="C2" s="4" t="str">
        <f>IFERROR(__xludf.DUMMYFUNCTION("UNIQUE(odds!A2:A1000)"),"86278ec4bbdcadd945d79df6c695c2ec")</f>
        <v>86278ec4bbdcadd945d79df6c695c2ec</v>
      </c>
      <c r="D2" s="4" t="str">
        <f>VLOOKUP($C2,odds!$A:$G,6,false)</f>
        <v>Pittsburgh Steelers</v>
      </c>
      <c r="E2" s="4" t="str">
        <f>VLOOKUP($C2,odds!$A:$G,7,false)</f>
        <v>New York Giants</v>
      </c>
      <c r="F2" s="4">
        <f>((VLOOKUP($A2,Data_Input!$A:$C,3,false) + VLOOKUP($B2,Data_Input!$A:$D,4,false))/2)*1</f>
        <v>25.2</v>
      </c>
      <c r="G2" s="4">
        <f>((VLOOKUP($B2,Data_Input!$A:$C,3,false) + VLOOKUP($A2,Data_Input!$A:$D,4,false))/2)*1</f>
        <v>14.5</v>
      </c>
      <c r="H2" s="4">
        <f t="shared" ref="H2:H17" si="1">sum(F2:G2)</f>
        <v>39.7</v>
      </c>
      <c r="I2" s="4">
        <f>VLOOKUP(C2,odds!A:L,12,false)</f>
        <v>37.5</v>
      </c>
      <c r="J2" s="4">
        <f t="shared" ref="J2:J17" si="2">H2-I2</f>
        <v>2.2</v>
      </c>
      <c r="K2" s="4" t="str">
        <f t="shared" ref="K2:K17" si="3">IF(J2&gt;=3.68,"Over",if(J2&lt;=-3.68,"Under",""))</f>
        <v/>
      </c>
      <c r="L2" s="5">
        <f t="shared" ref="L2:L17" si="4">SUM(F2-G2)*-1</f>
        <v>-10.7</v>
      </c>
      <c r="M2" s="6">
        <f>VLOOKUP(D2,Spread!I:L,4,false)</f>
        <v>-6</v>
      </c>
      <c r="N2" s="7">
        <f t="shared" ref="N2:N17" si="5">sum(M2-L2)</f>
        <v>4.7</v>
      </c>
      <c r="O2" s="3" t="str">
        <f t="shared" ref="O2:O17" si="6">if(N2&gt;3,D2,if(N2&lt;-3,E2,""))</f>
        <v>Pittsburgh Steelers</v>
      </c>
    </row>
    <row r="3">
      <c r="A3" s="4" t="str">
        <f>VLOOKUP($D3,map!$D:$E,2,false)</f>
        <v>#N/A</v>
      </c>
      <c r="B3" s="4" t="str">
        <f>VLOOKUP($E3,map!$D:$E,2,false)</f>
        <v>#N/A</v>
      </c>
      <c r="C3" s="4"/>
      <c r="D3" s="4" t="str">
        <f>VLOOKUP($C3,odds!$A:$G,6,false)</f>
        <v>#N/A</v>
      </c>
      <c r="E3" s="4" t="str">
        <f>VLOOKUP($C3,odds!$A:$G,7,false)</f>
        <v>#N/A</v>
      </c>
      <c r="F3" s="4" t="str">
        <f>((VLOOKUP($A3,Data_Input!$A:$C,3,false) + VLOOKUP($B3,Data_Input!$A:$D,4,false))/2)*1</f>
        <v>#N/A</v>
      </c>
      <c r="G3" s="4" t="str">
        <f>((VLOOKUP($B3,Data_Input!$A:$C,3,false) + VLOOKUP($A3,Data_Input!$A:$D,4,false))/2)*1</f>
        <v>#N/A</v>
      </c>
      <c r="H3" s="4" t="str">
        <f t="shared" si="1"/>
        <v>#N/A</v>
      </c>
      <c r="I3" s="4" t="str">
        <f>VLOOKUP(C3,odds!A:L,12,false)</f>
        <v>#N/A</v>
      </c>
      <c r="J3" s="4" t="str">
        <f t="shared" si="2"/>
        <v>#N/A</v>
      </c>
      <c r="K3" s="4" t="str">
        <f t="shared" si="3"/>
        <v>#N/A</v>
      </c>
      <c r="L3" s="5" t="str">
        <f t="shared" si="4"/>
        <v>#N/A</v>
      </c>
      <c r="M3" s="6" t="str">
        <f>VLOOKUP(D3,Spread!I:L,4,false)</f>
        <v>#N/A</v>
      </c>
      <c r="N3" s="7" t="str">
        <f t="shared" si="5"/>
        <v>#N/A</v>
      </c>
      <c r="O3" s="3" t="str">
        <f t="shared" si="6"/>
        <v>#N/A</v>
      </c>
    </row>
    <row r="4">
      <c r="A4" s="4" t="str">
        <f>VLOOKUP($D4,map!$D:$E,2,false)</f>
        <v>#N/A</v>
      </c>
      <c r="B4" s="4" t="str">
        <f>VLOOKUP($E4,map!$D:$E,2,false)</f>
        <v>#N/A</v>
      </c>
      <c r="D4" s="4" t="str">
        <f>VLOOKUP($C4,odds!$A:$G,6,false)</f>
        <v>#N/A</v>
      </c>
      <c r="E4" s="4" t="str">
        <f>VLOOKUP($C4,odds!$A:$G,7,false)</f>
        <v>#N/A</v>
      </c>
      <c r="F4" s="4" t="str">
        <f>((VLOOKUP($A4,Data_Input!$A:$C,3,false) + VLOOKUP($B4,Data_Input!$A:$D,4,false))/2)*1</f>
        <v>#N/A</v>
      </c>
      <c r="G4" s="4" t="str">
        <f>((VLOOKUP($B4,Data_Input!$A:$C,3,false) + VLOOKUP($A4,Data_Input!$A:$D,4,false))/2)*1</f>
        <v>#N/A</v>
      </c>
      <c r="H4" s="4" t="str">
        <f t="shared" si="1"/>
        <v>#N/A</v>
      </c>
      <c r="I4" s="4" t="str">
        <f>VLOOKUP(C4,odds!A:L,12,false)</f>
        <v>#N/A</v>
      </c>
      <c r="J4" s="4" t="str">
        <f t="shared" si="2"/>
        <v>#N/A</v>
      </c>
      <c r="K4" s="4" t="str">
        <f t="shared" si="3"/>
        <v>#N/A</v>
      </c>
      <c r="L4" s="5" t="str">
        <f t="shared" si="4"/>
        <v>#N/A</v>
      </c>
      <c r="M4" s="6" t="str">
        <f>VLOOKUP(D4,Spread!I:L,4,false)</f>
        <v>#N/A</v>
      </c>
      <c r="N4" s="7" t="str">
        <f t="shared" si="5"/>
        <v>#N/A</v>
      </c>
      <c r="O4" s="3" t="str">
        <f t="shared" si="6"/>
        <v>#N/A</v>
      </c>
    </row>
    <row r="5">
      <c r="A5" s="4" t="str">
        <f>VLOOKUP($D5,map!$D:$E,2,false)</f>
        <v>#N/A</v>
      </c>
      <c r="B5" s="4" t="str">
        <f>VLOOKUP($E5,map!$D:$E,2,false)</f>
        <v>#N/A</v>
      </c>
      <c r="D5" s="4" t="str">
        <f>VLOOKUP($C5,odds!$A:$G,6,false)</f>
        <v>#N/A</v>
      </c>
      <c r="E5" s="4" t="str">
        <f>VLOOKUP($C5,odds!$A:$G,7,false)</f>
        <v>#N/A</v>
      </c>
      <c r="F5" s="4" t="str">
        <f>((VLOOKUP($A5,Data_Input!$A:$C,3,false) + VLOOKUP($B5,Data_Input!$A:$D,4,false))/2)*1</f>
        <v>#N/A</v>
      </c>
      <c r="G5" s="4" t="str">
        <f>((VLOOKUP($B5,Data_Input!$A:$C,3,false) + VLOOKUP($A5,Data_Input!$A:$D,4,false))/2)*1</f>
        <v>#N/A</v>
      </c>
      <c r="H5" s="4" t="str">
        <f t="shared" si="1"/>
        <v>#N/A</v>
      </c>
      <c r="I5" s="4" t="str">
        <f>VLOOKUP(C5,odds!A:L,12,false)</f>
        <v>#N/A</v>
      </c>
      <c r="J5" s="4" t="str">
        <f t="shared" si="2"/>
        <v>#N/A</v>
      </c>
      <c r="K5" s="4" t="str">
        <f t="shared" si="3"/>
        <v>#N/A</v>
      </c>
      <c r="L5" s="5" t="str">
        <f t="shared" si="4"/>
        <v>#N/A</v>
      </c>
      <c r="M5" s="6" t="str">
        <f>VLOOKUP(D5,Spread!I:L,4,false)</f>
        <v>#N/A</v>
      </c>
      <c r="N5" s="7" t="str">
        <f t="shared" si="5"/>
        <v>#N/A</v>
      </c>
      <c r="O5" s="3" t="str">
        <f t="shared" si="6"/>
        <v>#N/A</v>
      </c>
    </row>
    <row r="6">
      <c r="A6" s="4" t="str">
        <f>VLOOKUP($D6,map!$D:$E,2,false)</f>
        <v>#N/A</v>
      </c>
      <c r="B6" s="4" t="str">
        <f>VLOOKUP($E6,map!$D:$E,2,false)</f>
        <v>#N/A</v>
      </c>
      <c r="D6" s="4" t="str">
        <f>VLOOKUP($C6,odds!$A:$G,6,false)</f>
        <v>#N/A</v>
      </c>
      <c r="E6" s="4" t="str">
        <f>VLOOKUP($C6,odds!$A:$G,7,false)</f>
        <v>#N/A</v>
      </c>
      <c r="F6" s="4" t="str">
        <f>((VLOOKUP($A6,Data_Input!$A:$C,3,false) + VLOOKUP($B6,Data_Input!$A:$D,4,false))/2)*1</f>
        <v>#N/A</v>
      </c>
      <c r="G6" s="4" t="str">
        <f>((VLOOKUP($B6,Data_Input!$A:$C,3,false) + VLOOKUP($A6,Data_Input!$A:$D,4,false))/2)*1</f>
        <v>#N/A</v>
      </c>
      <c r="H6" s="4" t="str">
        <f t="shared" si="1"/>
        <v>#N/A</v>
      </c>
      <c r="I6" s="4" t="str">
        <f>VLOOKUP(C6,odds!A:L,12,false)</f>
        <v>#N/A</v>
      </c>
      <c r="J6" s="4" t="str">
        <f t="shared" si="2"/>
        <v>#N/A</v>
      </c>
      <c r="K6" s="4" t="str">
        <f t="shared" si="3"/>
        <v>#N/A</v>
      </c>
      <c r="L6" s="5" t="str">
        <f t="shared" si="4"/>
        <v>#N/A</v>
      </c>
      <c r="M6" s="6" t="str">
        <f>VLOOKUP(D6,Spread!I:L,4,false)</f>
        <v>#N/A</v>
      </c>
      <c r="N6" s="7" t="str">
        <f t="shared" si="5"/>
        <v>#N/A</v>
      </c>
      <c r="O6" s="3" t="str">
        <f t="shared" si="6"/>
        <v>#N/A</v>
      </c>
    </row>
    <row r="7">
      <c r="A7" s="4" t="str">
        <f>VLOOKUP($D7,map!$D:$E,2,false)</f>
        <v>#N/A</v>
      </c>
      <c r="B7" s="4" t="str">
        <f>VLOOKUP($E7,map!$D:$E,2,false)</f>
        <v>#N/A</v>
      </c>
      <c r="D7" s="4" t="str">
        <f>VLOOKUP($C7,odds!$A:$G,6,false)</f>
        <v>#N/A</v>
      </c>
      <c r="E7" s="4" t="str">
        <f>VLOOKUP($C7,odds!$A:$G,7,false)</f>
        <v>#N/A</v>
      </c>
      <c r="F7" s="4" t="str">
        <f>((VLOOKUP($A7,Data_Input!$A:$C,3,false) + VLOOKUP($B7,Data_Input!$A:$D,4,false))/2)*1</f>
        <v>#N/A</v>
      </c>
      <c r="G7" s="4" t="str">
        <f>((VLOOKUP($B7,Data_Input!$A:$C,3,false) + VLOOKUP($A7,Data_Input!$A:$D,4,false))/2)*1</f>
        <v>#N/A</v>
      </c>
      <c r="H7" s="4" t="str">
        <f t="shared" si="1"/>
        <v>#N/A</v>
      </c>
      <c r="I7" s="4" t="str">
        <f>VLOOKUP(C7,odds!A:L,12,false)</f>
        <v>#N/A</v>
      </c>
      <c r="J7" s="4" t="str">
        <f t="shared" si="2"/>
        <v>#N/A</v>
      </c>
      <c r="K7" s="4" t="str">
        <f t="shared" si="3"/>
        <v>#N/A</v>
      </c>
      <c r="L7" s="5" t="str">
        <f t="shared" si="4"/>
        <v>#N/A</v>
      </c>
      <c r="M7" s="6" t="str">
        <f>VLOOKUP(D7,Spread!I:L,4,false)</f>
        <v>#N/A</v>
      </c>
      <c r="N7" s="7" t="str">
        <f t="shared" si="5"/>
        <v>#N/A</v>
      </c>
      <c r="O7" s="3" t="str">
        <f t="shared" si="6"/>
        <v>#N/A</v>
      </c>
    </row>
    <row r="8">
      <c r="A8" s="4" t="str">
        <f>VLOOKUP($D8,map!$D:$E,2,false)</f>
        <v>#N/A</v>
      </c>
      <c r="B8" s="4" t="str">
        <f>VLOOKUP($E8,map!$D:$E,2,false)</f>
        <v>#N/A</v>
      </c>
      <c r="D8" s="4" t="str">
        <f>VLOOKUP($C8,odds!$A:$G,6,false)</f>
        <v>#N/A</v>
      </c>
      <c r="E8" s="4" t="str">
        <f>VLOOKUP($C8,odds!$A:$G,7,false)</f>
        <v>#N/A</v>
      </c>
      <c r="F8" s="4" t="str">
        <f>((VLOOKUP($A8,Data_Input!$A:$C,3,false) + VLOOKUP($B8,Data_Input!$A:$D,4,false))/2)*1</f>
        <v>#N/A</v>
      </c>
      <c r="G8" s="4" t="str">
        <f>((VLOOKUP($B8,Data_Input!$A:$C,3,false) + VLOOKUP($A8,Data_Input!$A:$D,4,false))/2)*1</f>
        <v>#N/A</v>
      </c>
      <c r="H8" s="4" t="str">
        <f t="shared" si="1"/>
        <v>#N/A</v>
      </c>
      <c r="I8" s="4" t="str">
        <f>VLOOKUP(C8,odds!A:L,12,false)</f>
        <v>#N/A</v>
      </c>
      <c r="J8" s="4" t="str">
        <f t="shared" si="2"/>
        <v>#N/A</v>
      </c>
      <c r="K8" s="4" t="str">
        <f t="shared" si="3"/>
        <v>#N/A</v>
      </c>
      <c r="L8" s="5" t="str">
        <f t="shared" si="4"/>
        <v>#N/A</v>
      </c>
      <c r="M8" s="6" t="str">
        <f>VLOOKUP(D8,Spread!I:L,4,false)</f>
        <v>#N/A</v>
      </c>
      <c r="N8" s="7" t="str">
        <f t="shared" si="5"/>
        <v>#N/A</v>
      </c>
      <c r="O8" s="3" t="str">
        <f t="shared" si="6"/>
        <v>#N/A</v>
      </c>
    </row>
    <row r="9">
      <c r="A9" s="4" t="str">
        <f>VLOOKUP($D9,map!$D:$E,2,false)</f>
        <v>#N/A</v>
      </c>
      <c r="B9" s="4" t="str">
        <f>VLOOKUP($E9,map!$D:$E,2,false)</f>
        <v>#N/A</v>
      </c>
      <c r="D9" s="4" t="str">
        <f>VLOOKUP($C9,odds!$A:$G,6,false)</f>
        <v>#N/A</v>
      </c>
      <c r="E9" s="4" t="str">
        <f>VLOOKUP($C9,odds!$A:$G,7,false)</f>
        <v>#N/A</v>
      </c>
      <c r="F9" s="4" t="str">
        <f>((VLOOKUP($A9,Data_Input!$A:$C,3,false) + VLOOKUP($B9,Data_Input!$A:$D,4,false))/2)*1</f>
        <v>#N/A</v>
      </c>
      <c r="G9" s="4" t="str">
        <f>((VLOOKUP($B9,Data_Input!$A:$C,3,false) + VLOOKUP($A9,Data_Input!$A:$D,4,false))/2)*1</f>
        <v>#N/A</v>
      </c>
      <c r="H9" s="4" t="str">
        <f t="shared" si="1"/>
        <v>#N/A</v>
      </c>
      <c r="I9" s="4" t="str">
        <f>VLOOKUP(C9,odds!A:L,12,false)</f>
        <v>#N/A</v>
      </c>
      <c r="J9" s="4" t="str">
        <f t="shared" si="2"/>
        <v>#N/A</v>
      </c>
      <c r="K9" s="4" t="str">
        <f t="shared" si="3"/>
        <v>#N/A</v>
      </c>
      <c r="L9" s="5" t="str">
        <f t="shared" si="4"/>
        <v>#N/A</v>
      </c>
      <c r="M9" s="6" t="str">
        <f>VLOOKUP(D9,Spread!I:L,4,false)</f>
        <v>#N/A</v>
      </c>
      <c r="N9" s="7" t="str">
        <f t="shared" si="5"/>
        <v>#N/A</v>
      </c>
      <c r="O9" s="3" t="str">
        <f t="shared" si="6"/>
        <v>#N/A</v>
      </c>
    </row>
    <row r="10">
      <c r="A10" s="4" t="str">
        <f>VLOOKUP($D10,map!$D:$E,2,false)</f>
        <v>#N/A</v>
      </c>
      <c r="B10" s="4" t="str">
        <f>VLOOKUP($E10,map!$D:$E,2,false)</f>
        <v>#N/A</v>
      </c>
      <c r="D10" s="4" t="str">
        <f>VLOOKUP($C10,odds!$A:$G,6,false)</f>
        <v>#N/A</v>
      </c>
      <c r="E10" s="4" t="str">
        <f>VLOOKUP($C10,odds!$A:$G,7,false)</f>
        <v>#N/A</v>
      </c>
      <c r="F10" s="4" t="str">
        <f>((VLOOKUP($A10,Data_Input!$A:$C,3,false) + VLOOKUP($B10,Data_Input!$A:$D,4,false))/2)*1</f>
        <v>#N/A</v>
      </c>
      <c r="G10" s="4" t="str">
        <f>((VLOOKUP($B10,Data_Input!$A:$C,3,false) + VLOOKUP($A10,Data_Input!$A:$D,4,false))/2)*1</f>
        <v>#N/A</v>
      </c>
      <c r="H10" s="4" t="str">
        <f t="shared" si="1"/>
        <v>#N/A</v>
      </c>
      <c r="I10" s="4" t="str">
        <f>VLOOKUP(C10,odds!A:L,12,false)</f>
        <v>#N/A</v>
      </c>
      <c r="J10" s="4" t="str">
        <f t="shared" si="2"/>
        <v>#N/A</v>
      </c>
      <c r="K10" s="4" t="str">
        <f t="shared" si="3"/>
        <v>#N/A</v>
      </c>
      <c r="L10" s="5" t="str">
        <f t="shared" si="4"/>
        <v>#N/A</v>
      </c>
      <c r="M10" s="6" t="str">
        <f>VLOOKUP(D10,Spread!I:L,4,false)</f>
        <v>#N/A</v>
      </c>
      <c r="N10" s="7" t="str">
        <f t="shared" si="5"/>
        <v>#N/A</v>
      </c>
      <c r="O10" s="3" t="str">
        <f t="shared" si="6"/>
        <v>#N/A</v>
      </c>
    </row>
    <row r="11">
      <c r="A11" s="4" t="str">
        <f>VLOOKUP($D11,map!$D:$E,2,false)</f>
        <v>#N/A</v>
      </c>
      <c r="B11" s="4" t="str">
        <f>VLOOKUP($E11,map!$D:$E,2,false)</f>
        <v>#N/A</v>
      </c>
      <c r="D11" s="4" t="str">
        <f>VLOOKUP($C11,odds!$A:$G,6,false)</f>
        <v>#N/A</v>
      </c>
      <c r="E11" s="4" t="str">
        <f>VLOOKUP($C11,odds!$A:$G,7,false)</f>
        <v>#N/A</v>
      </c>
      <c r="F11" s="4" t="str">
        <f>((VLOOKUP($A11,Data_Input!$A:$C,3,false) + VLOOKUP($B11,Data_Input!$A:$D,4,false))/2)*1</f>
        <v>#N/A</v>
      </c>
      <c r="G11" s="4" t="str">
        <f>((VLOOKUP($B11,Data_Input!$A:$C,3,false) + VLOOKUP($A11,Data_Input!$A:$D,4,false))/2)*1</f>
        <v>#N/A</v>
      </c>
      <c r="H11" s="4" t="str">
        <f t="shared" si="1"/>
        <v>#N/A</v>
      </c>
      <c r="I11" s="4" t="str">
        <f>VLOOKUP(C11,odds!A:L,12,false)</f>
        <v>#N/A</v>
      </c>
      <c r="J11" s="4" t="str">
        <f t="shared" si="2"/>
        <v>#N/A</v>
      </c>
      <c r="K11" s="4" t="str">
        <f t="shared" si="3"/>
        <v>#N/A</v>
      </c>
      <c r="L11" s="5" t="str">
        <f t="shared" si="4"/>
        <v>#N/A</v>
      </c>
      <c r="M11" s="6" t="str">
        <f>VLOOKUP(D11,Spread!I:L,4,false)</f>
        <v>#N/A</v>
      </c>
      <c r="N11" s="7" t="str">
        <f t="shared" si="5"/>
        <v>#N/A</v>
      </c>
      <c r="O11" s="3" t="str">
        <f t="shared" si="6"/>
        <v>#N/A</v>
      </c>
    </row>
    <row r="12">
      <c r="A12" s="4" t="str">
        <f>VLOOKUP($D12,map!$D:$E,2,false)</f>
        <v>#N/A</v>
      </c>
      <c r="B12" s="4" t="str">
        <f>VLOOKUP($E12,map!$D:$E,2,false)</f>
        <v>#N/A</v>
      </c>
      <c r="D12" s="4" t="str">
        <f>VLOOKUP($C12,odds!$A:$G,6,false)</f>
        <v>#N/A</v>
      </c>
      <c r="E12" s="4" t="str">
        <f>VLOOKUP($C12,odds!$A:$G,7,false)</f>
        <v>#N/A</v>
      </c>
      <c r="F12" s="4" t="str">
        <f>((VLOOKUP($A12,Data_Input!$A:$C,3,false) + VLOOKUP($B12,Data_Input!$A:$D,4,false))/2)*1</f>
        <v>#N/A</v>
      </c>
      <c r="G12" s="4" t="str">
        <f>((VLOOKUP($B12,Data_Input!$A:$C,3,false) + VLOOKUP($A12,Data_Input!$A:$D,4,false))/2)*1</f>
        <v>#N/A</v>
      </c>
      <c r="H12" s="4" t="str">
        <f t="shared" si="1"/>
        <v>#N/A</v>
      </c>
      <c r="I12" s="4" t="str">
        <f>VLOOKUP(C12,odds!A:L,12,false)</f>
        <v>#N/A</v>
      </c>
      <c r="J12" s="4" t="str">
        <f t="shared" si="2"/>
        <v>#N/A</v>
      </c>
      <c r="K12" s="4" t="str">
        <f t="shared" si="3"/>
        <v>#N/A</v>
      </c>
      <c r="L12" s="5" t="str">
        <f t="shared" si="4"/>
        <v>#N/A</v>
      </c>
      <c r="M12" s="6" t="str">
        <f>VLOOKUP(D12,Spread!I:L,4,false)</f>
        <v>#N/A</v>
      </c>
      <c r="N12" s="7" t="str">
        <f t="shared" si="5"/>
        <v>#N/A</v>
      </c>
      <c r="O12" s="3" t="str">
        <f t="shared" si="6"/>
        <v>#N/A</v>
      </c>
    </row>
    <row r="13">
      <c r="A13" s="4" t="str">
        <f>VLOOKUP($D13,map!$D:$E,2,false)</f>
        <v>#N/A</v>
      </c>
      <c r="B13" s="4" t="str">
        <f>VLOOKUP($E13,map!$D:$E,2,false)</f>
        <v>#N/A</v>
      </c>
      <c r="D13" s="4" t="str">
        <f>VLOOKUP($C13,odds!$A:$G,6,false)</f>
        <v>#N/A</v>
      </c>
      <c r="E13" s="4" t="str">
        <f>VLOOKUP($C13,odds!$A:$G,7,false)</f>
        <v>#N/A</v>
      </c>
      <c r="F13" s="4" t="str">
        <f>((VLOOKUP($A13,Data_Input!$A:$C,3,false) + VLOOKUP($B13,Data_Input!$A:$D,4,false))/2)*1</f>
        <v>#N/A</v>
      </c>
      <c r="G13" s="4" t="str">
        <f>((VLOOKUP($B13,Data_Input!$A:$C,3,false) + VLOOKUP($A13,Data_Input!$A:$D,4,false))/2)*1</f>
        <v>#N/A</v>
      </c>
      <c r="H13" s="4" t="str">
        <f t="shared" si="1"/>
        <v>#N/A</v>
      </c>
      <c r="I13" s="4" t="str">
        <f>VLOOKUP(C13,odds!A:L,12,false)</f>
        <v>#N/A</v>
      </c>
      <c r="J13" s="4" t="str">
        <f t="shared" si="2"/>
        <v>#N/A</v>
      </c>
      <c r="K13" s="4" t="str">
        <f t="shared" si="3"/>
        <v>#N/A</v>
      </c>
      <c r="L13" s="5" t="str">
        <f t="shared" si="4"/>
        <v>#N/A</v>
      </c>
      <c r="M13" s="6" t="str">
        <f>VLOOKUP(D13,Spread!I:L,4,false)</f>
        <v>#N/A</v>
      </c>
      <c r="N13" s="7" t="str">
        <f t="shared" si="5"/>
        <v>#N/A</v>
      </c>
      <c r="O13" s="3" t="str">
        <f t="shared" si="6"/>
        <v>#N/A</v>
      </c>
    </row>
    <row r="14">
      <c r="A14" s="4" t="str">
        <f>VLOOKUP($D14,map!$D:$E,2,false)</f>
        <v>#N/A</v>
      </c>
      <c r="B14" s="4" t="str">
        <f>VLOOKUP($E14,map!$D:$E,2,false)</f>
        <v>#N/A</v>
      </c>
      <c r="D14" s="4" t="str">
        <f>VLOOKUP($C14,odds!$A:$G,6,false)</f>
        <v>#N/A</v>
      </c>
      <c r="E14" s="4" t="str">
        <f>VLOOKUP($C14,odds!$A:$G,7,false)</f>
        <v>#N/A</v>
      </c>
      <c r="F14" s="4" t="str">
        <f>((VLOOKUP($A14,Data_Input!$A:$C,3,false) + VLOOKUP($B14,Data_Input!$A:$D,4,false))/2)*1</f>
        <v>#N/A</v>
      </c>
      <c r="G14" s="4" t="str">
        <f>((VLOOKUP($B14,Data_Input!$A:$C,3,false) + VLOOKUP($A14,Data_Input!$A:$D,4,false))/2)*1</f>
        <v>#N/A</v>
      </c>
      <c r="H14" s="4" t="str">
        <f t="shared" si="1"/>
        <v>#N/A</v>
      </c>
      <c r="I14" s="4" t="str">
        <f>VLOOKUP(C14,odds!A:L,12,false)</f>
        <v>#N/A</v>
      </c>
      <c r="J14" s="4" t="str">
        <f t="shared" si="2"/>
        <v>#N/A</v>
      </c>
      <c r="K14" s="4" t="str">
        <f t="shared" si="3"/>
        <v>#N/A</v>
      </c>
      <c r="L14" s="5" t="str">
        <f t="shared" si="4"/>
        <v>#N/A</v>
      </c>
      <c r="M14" s="6" t="str">
        <f>VLOOKUP(D14,Spread!I:L,4,false)</f>
        <v>#N/A</v>
      </c>
      <c r="N14" s="7" t="str">
        <f t="shared" si="5"/>
        <v>#N/A</v>
      </c>
      <c r="O14" s="3" t="str">
        <f t="shared" si="6"/>
        <v>#N/A</v>
      </c>
    </row>
    <row r="15">
      <c r="A15" s="4" t="str">
        <f>VLOOKUP($D15,map!$D:$E,2,false)</f>
        <v>#N/A</v>
      </c>
      <c r="B15" s="4" t="str">
        <f>VLOOKUP($E15,map!$D:$E,2,false)</f>
        <v>#N/A</v>
      </c>
      <c r="D15" s="4" t="str">
        <f>VLOOKUP($C15,odds!$A:$G,6,false)</f>
        <v>#N/A</v>
      </c>
      <c r="E15" s="4" t="str">
        <f>VLOOKUP($C15,odds!$A:$G,7,false)</f>
        <v>#N/A</v>
      </c>
      <c r="F15" s="4" t="str">
        <f>((VLOOKUP($A15,Data_Input!$A:$C,3,false) + VLOOKUP($B15,Data_Input!$A:$D,4,false))/2)*1</f>
        <v>#N/A</v>
      </c>
      <c r="G15" s="4" t="str">
        <f>((VLOOKUP($B15,Data_Input!$A:$C,3,false) + VLOOKUP($A15,Data_Input!$A:$D,4,false))/2)*1</f>
        <v>#N/A</v>
      </c>
      <c r="H15" s="4" t="str">
        <f t="shared" si="1"/>
        <v>#N/A</v>
      </c>
      <c r="I15" s="4" t="str">
        <f>VLOOKUP(C15,odds!A:L,12,false)</f>
        <v>#N/A</v>
      </c>
      <c r="J15" s="4" t="str">
        <f t="shared" si="2"/>
        <v>#N/A</v>
      </c>
      <c r="K15" s="4" t="str">
        <f t="shared" si="3"/>
        <v>#N/A</v>
      </c>
      <c r="L15" s="5" t="str">
        <f t="shared" si="4"/>
        <v>#N/A</v>
      </c>
      <c r="M15" s="6" t="str">
        <f>VLOOKUP(D15,Spread!I:L,4,false)</f>
        <v>#N/A</v>
      </c>
      <c r="N15" s="7" t="str">
        <f t="shared" si="5"/>
        <v>#N/A</v>
      </c>
      <c r="O15" s="3" t="str">
        <f t="shared" si="6"/>
        <v>#N/A</v>
      </c>
    </row>
    <row r="16">
      <c r="A16" s="4" t="str">
        <f>VLOOKUP($D16,map!$D:$E,2,false)</f>
        <v>#N/A</v>
      </c>
      <c r="B16" s="4" t="str">
        <f>VLOOKUP($E16,map!$D:$E,2,false)</f>
        <v>#N/A</v>
      </c>
      <c r="D16" s="4" t="str">
        <f>VLOOKUP($C16,odds!$A:$G,6,false)</f>
        <v>#N/A</v>
      </c>
      <c r="E16" s="4" t="str">
        <f>VLOOKUP($C16,odds!$A:$G,7,false)</f>
        <v>#N/A</v>
      </c>
      <c r="F16" s="4" t="str">
        <f>((VLOOKUP($A16,Data_Input!$A:$C,3,false) + VLOOKUP($B16,Data_Input!$A:$D,4,false))/2)*1</f>
        <v>#N/A</v>
      </c>
      <c r="G16" s="4" t="str">
        <f>((VLOOKUP($B16,Data_Input!$A:$C,3,false) + VLOOKUP($A16,Data_Input!$A:$D,4,false))/2)*1</f>
        <v>#N/A</v>
      </c>
      <c r="H16" s="4" t="str">
        <f t="shared" si="1"/>
        <v>#N/A</v>
      </c>
      <c r="I16" s="4" t="str">
        <f>VLOOKUP(C16,odds!A:L,12,false)</f>
        <v>#N/A</v>
      </c>
      <c r="J16" s="4" t="str">
        <f t="shared" si="2"/>
        <v>#N/A</v>
      </c>
      <c r="K16" s="4" t="str">
        <f t="shared" si="3"/>
        <v>#N/A</v>
      </c>
      <c r="L16" s="5" t="str">
        <f t="shared" si="4"/>
        <v>#N/A</v>
      </c>
      <c r="M16" s="6" t="str">
        <f>VLOOKUP(D16,Spread!I:L,4,false)</f>
        <v>#N/A</v>
      </c>
      <c r="N16" s="7" t="str">
        <f t="shared" si="5"/>
        <v>#N/A</v>
      </c>
      <c r="O16" s="3" t="str">
        <f t="shared" si="6"/>
        <v>#N/A</v>
      </c>
    </row>
    <row r="17">
      <c r="A17" s="4" t="str">
        <f>VLOOKUP($D17,map!$D:$E,2,false)</f>
        <v>#N/A</v>
      </c>
      <c r="B17" s="4" t="str">
        <f>VLOOKUP($E17,map!$D:$E,2,false)</f>
        <v>#N/A</v>
      </c>
      <c r="D17" s="4" t="str">
        <f>VLOOKUP($C17,odds!$A:$G,6,false)</f>
        <v>#N/A</v>
      </c>
      <c r="E17" s="4" t="str">
        <f>VLOOKUP($C17,odds!$A:$G,7,false)</f>
        <v>#N/A</v>
      </c>
      <c r="F17" s="4" t="str">
        <f>((VLOOKUP($A17,Data_Input!$A:$C,3,false) + VLOOKUP($B17,Data_Input!$A:$D,4,false))/2)*1</f>
        <v>#N/A</v>
      </c>
      <c r="G17" s="4" t="str">
        <f>((VLOOKUP($B17,Data_Input!$A:$C,3,false) + VLOOKUP($A17,Data_Input!$A:$D,4,false))/2)*1</f>
        <v>#N/A</v>
      </c>
      <c r="H17" s="4" t="str">
        <f t="shared" si="1"/>
        <v>#N/A</v>
      </c>
      <c r="I17" s="4" t="str">
        <f>VLOOKUP(C17,odds!A:L,12,false)</f>
        <v>#N/A</v>
      </c>
      <c r="J17" s="4" t="str">
        <f t="shared" si="2"/>
        <v>#N/A</v>
      </c>
      <c r="K17" s="4" t="str">
        <f t="shared" si="3"/>
        <v>#N/A</v>
      </c>
      <c r="L17" s="5" t="str">
        <f t="shared" si="4"/>
        <v>#N/A</v>
      </c>
      <c r="M17" s="6" t="str">
        <f>VLOOKUP(D17,Spread!I:L,4,false)</f>
        <v>#N/A</v>
      </c>
      <c r="N17" s="7" t="str">
        <f t="shared" si="5"/>
        <v>#N/A</v>
      </c>
      <c r="O17" s="3" t="str">
        <f t="shared" si="6"/>
        <v>#N/A</v>
      </c>
    </row>
  </sheetData>
  <autoFilter ref="$A$1:$O$1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tr">
        <f>IFERROR(__xludf.DUMMYFUNCTION("IMPORTRANGE(""https://docs.google.com/spreadsheets/d/13MAhBT9K2M70JP2OISI4aettE0FK27CjAGHAew7TsAE/edit?gid=1671364351#gid=1671364351"",""odds!A1:L"")"),"game_id")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18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18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IFERROR(__xludf.DUMMYFUNCTION("""COMPUTED_VALUE"""),"totals")</f>
        <v>totals</v>
      </c>
      <c r="I2" s="4" t="str">
        <f>IFERROR(__xludf.DUMMYFUNCTION("""COMPUTED_VALUE"""),"Over")</f>
        <v>Over</v>
      </c>
      <c r="J2" s="4"/>
      <c r="K2" s="4">
        <f>IFERROR(__xludf.DUMMYFUNCTION("""COMPUTED_VALUE"""),-108.0)</f>
        <v>-108</v>
      </c>
      <c r="L2" s="4">
        <f>IFERROR(__xludf.DUMMYFUNCTION("""COMPUTED_VALUE"""),37.5)</f>
        <v>37.5</v>
      </c>
    </row>
    <row r="3">
      <c r="A3" s="4" t="str">
        <f>IFERROR(__xludf.DUMMYFUNCTION("""COMPUTED_VALUE"""),"86278ec4bbdcadd945d79df6c695c2ec")</f>
        <v>86278ec4bbdcadd945d79df6c695c2ec</v>
      </c>
      <c r="B3" s="18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18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IFERROR(__xludf.DUMMYFUNCTION("""COMPUTED_VALUE"""),"totals")</f>
        <v>totals</v>
      </c>
      <c r="I3" s="4" t="str">
        <f>IFERROR(__xludf.DUMMYFUNCTION("""COMPUTED_VALUE"""),"Under")</f>
        <v>Under</v>
      </c>
      <c r="J3" s="4"/>
      <c r="K3" s="4">
        <f>IFERROR(__xludf.DUMMYFUNCTION("""COMPUTED_VALUE"""),-112.0)</f>
        <v>-112</v>
      </c>
      <c r="L3" s="4">
        <f>IFERROR(__xludf.DUMMYFUNCTION("""COMPUTED_VALUE"""),37.5)</f>
        <v>37.5</v>
      </c>
    </row>
    <row r="4">
      <c r="A4" s="4" t="str">
        <f>IFERROR(__xludf.DUMMYFUNCTION("""COMPUTED_VALUE"""),"86278ec4bbdcadd945d79df6c695c2ec")</f>
        <v>86278ec4bbdcadd945d79df6c695c2ec</v>
      </c>
      <c r="B4" s="18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18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IFERROR(__xludf.DUMMYFUNCTION("""COMPUTED_VALUE"""),"totals")</f>
        <v>totals</v>
      </c>
      <c r="I4" s="4" t="str">
        <f>IFERROR(__xludf.DUMMYFUNCTION("""COMPUTED_VALUE"""),"Over")</f>
        <v>Over</v>
      </c>
      <c r="J4" s="4"/>
      <c r="K4" s="4">
        <f>IFERROR(__xludf.DUMMYFUNCTION("""COMPUTED_VALUE"""),-115.0)</f>
        <v>-115</v>
      </c>
      <c r="L4" s="4">
        <f>IFERROR(__xludf.DUMMYFUNCTION("""COMPUTED_VALUE"""),37.0)</f>
        <v>37</v>
      </c>
    </row>
    <row r="5">
      <c r="A5" s="4" t="str">
        <f>IFERROR(__xludf.DUMMYFUNCTION("""COMPUTED_VALUE"""),"86278ec4bbdcadd945d79df6c695c2ec")</f>
        <v>86278ec4bbdcadd945d79df6c695c2ec</v>
      </c>
      <c r="B5" s="18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18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IFERROR(__xludf.DUMMYFUNCTION("""COMPUTED_VALUE"""),"totals")</f>
        <v>totals</v>
      </c>
      <c r="I5" s="4" t="str">
        <f>IFERROR(__xludf.DUMMYFUNCTION("""COMPUTED_VALUE"""),"Under")</f>
        <v>Under</v>
      </c>
      <c r="J5" s="4"/>
      <c r="K5" s="4">
        <f>IFERROR(__xludf.DUMMYFUNCTION("""COMPUTED_VALUE"""),-105.0)</f>
        <v>-105</v>
      </c>
      <c r="L5" s="4">
        <f>IFERROR(__xludf.DUMMYFUNCTION("""COMPUTED_VALUE"""),37.0)</f>
        <v>37</v>
      </c>
    </row>
    <row r="6">
      <c r="A6" s="4" t="str">
        <f>IFERROR(__xludf.DUMMYFUNCTION("""COMPUTED_VALUE"""),"86278ec4bbdcadd945d79df6c695c2ec")</f>
        <v>86278ec4bbdcadd945d79df6c695c2ec</v>
      </c>
      <c r="B6" s="18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18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IFERROR(__xludf.DUMMYFUNCTION("""COMPUTED_VALUE"""),"totals")</f>
        <v>totals</v>
      </c>
      <c r="I6" s="4" t="str">
        <f>IFERROR(__xludf.DUMMYFUNCTION("""COMPUTED_VALUE"""),"Over")</f>
        <v>Over</v>
      </c>
      <c r="J6" s="4"/>
      <c r="K6" s="4">
        <f>IFERROR(__xludf.DUMMYFUNCTION("""COMPUTED_VALUE"""),-112.0)</f>
        <v>-112</v>
      </c>
      <c r="L6" s="4">
        <f>IFERROR(__xludf.DUMMYFUNCTION("""COMPUTED_VALUE"""),36.5)</f>
        <v>36.5</v>
      </c>
    </row>
    <row r="7">
      <c r="A7" s="4" t="str">
        <f>IFERROR(__xludf.DUMMYFUNCTION("""COMPUTED_VALUE"""),"86278ec4bbdcadd945d79df6c695c2ec")</f>
        <v>86278ec4bbdcadd945d79df6c695c2ec</v>
      </c>
      <c r="B7" s="18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18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IFERROR(__xludf.DUMMYFUNCTION("""COMPUTED_VALUE"""),"totals")</f>
        <v>totals</v>
      </c>
      <c r="I7" s="4" t="str">
        <f>IFERROR(__xludf.DUMMYFUNCTION("""COMPUTED_VALUE"""),"Under")</f>
        <v>Under</v>
      </c>
      <c r="J7" s="4"/>
      <c r="K7" s="4">
        <f>IFERROR(__xludf.DUMMYFUNCTION("""COMPUTED_VALUE"""),-108.0)</f>
        <v>-108</v>
      </c>
      <c r="L7" s="4">
        <f>IFERROR(__xludf.DUMMYFUNCTION("""COMPUTED_VALUE"""),36.5)</f>
        <v>36.5</v>
      </c>
    </row>
    <row r="8">
      <c r="A8" s="4" t="str">
        <f>IFERROR(__xludf.DUMMYFUNCTION("""COMPUTED_VALUE"""),"86278ec4bbdcadd945d79df6c695c2ec")</f>
        <v>86278ec4bbdcadd945d79df6c695c2ec</v>
      </c>
      <c r="B8" s="18">
        <f>IFERROR(__xludf.DUMMYFUNCTION("""COMPUTED_VALUE"""),45594.01041666667)</f>
        <v>45594.01042</v>
      </c>
      <c r="C8" s="4" t="b">
        <f>IFERROR(__xludf.DUMMYFUNCTION("""COMPUTED_VALUE"""),FALSE)</f>
        <v>0</v>
      </c>
      <c r="D8" s="19" t="str">
        <f>IFERROR(__xludf.DUMMYFUNCTION("""COMPUTED_VALUE"""),"MyBookie.ag")</f>
        <v>MyBookie.ag</v>
      </c>
      <c r="E8" s="18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IFERROR(__xludf.DUMMYFUNCTION("""COMPUTED_VALUE"""),"totals")</f>
        <v>totals</v>
      </c>
      <c r="I8" s="4" t="str">
        <f>IFERROR(__xludf.DUMMYFUNCTION("""COMPUTED_VALUE"""),"Over")</f>
        <v>Over</v>
      </c>
      <c r="J8" s="4"/>
      <c r="K8" s="4">
        <f>IFERROR(__xludf.DUMMYFUNCTION("""COMPUTED_VALUE"""),-110.0)</f>
        <v>-110</v>
      </c>
      <c r="L8" s="4">
        <f>IFERROR(__xludf.DUMMYFUNCTION("""COMPUTED_VALUE"""),37.0)</f>
        <v>37</v>
      </c>
    </row>
    <row r="9">
      <c r="A9" s="4" t="str">
        <f>IFERROR(__xludf.DUMMYFUNCTION("""COMPUTED_VALUE"""),"86278ec4bbdcadd945d79df6c695c2ec")</f>
        <v>86278ec4bbdcadd945d79df6c695c2ec</v>
      </c>
      <c r="B9" s="18">
        <f>IFERROR(__xludf.DUMMYFUNCTION("""COMPUTED_VALUE"""),45594.01041666667)</f>
        <v>45594.01042</v>
      </c>
      <c r="C9" s="4" t="b">
        <f>IFERROR(__xludf.DUMMYFUNCTION("""COMPUTED_VALUE"""),FALSE)</f>
        <v>0</v>
      </c>
      <c r="D9" s="19" t="str">
        <f>IFERROR(__xludf.DUMMYFUNCTION("""COMPUTED_VALUE"""),"MyBookie.ag")</f>
        <v>MyBookie.ag</v>
      </c>
      <c r="E9" s="18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IFERROR(__xludf.DUMMYFUNCTION("""COMPUTED_VALUE"""),"totals")</f>
        <v>totals</v>
      </c>
      <c r="I9" s="4" t="str">
        <f>IFERROR(__xludf.DUMMYFUNCTION("""COMPUTED_VALUE"""),"Under")</f>
        <v>Under</v>
      </c>
      <c r="J9" s="4"/>
      <c r="K9" s="4">
        <f>IFERROR(__xludf.DUMMYFUNCTION("""COMPUTED_VALUE"""),-110.0)</f>
        <v>-110</v>
      </c>
      <c r="L9" s="4">
        <f>IFERROR(__xludf.DUMMYFUNCTION("""COMPUTED_VALUE"""),37.0)</f>
        <v>37</v>
      </c>
    </row>
    <row r="10">
      <c r="A10" s="4" t="str">
        <f>IFERROR(__xludf.DUMMYFUNCTION("""COMPUTED_VALUE"""),"86278ec4bbdcadd945d79df6c695c2ec")</f>
        <v>86278ec4bbdcadd945d79df6c695c2ec</v>
      </c>
      <c r="B10" s="18">
        <f>IFERROR(__xludf.DUMMYFUNCTION("""COMPUTED_VALUE"""),45594.01041666667)</f>
        <v>45594.01042</v>
      </c>
      <c r="C10" s="4" t="b">
        <f>IFERROR(__xludf.DUMMYFUNCTION("""COMPUTED_VALUE"""),FALSE)</f>
        <v>0</v>
      </c>
      <c r="D10" s="19" t="str">
        <f>IFERROR(__xludf.DUMMYFUNCTION("""COMPUTED_VALUE"""),"BetOnline.ag")</f>
        <v>BetOnline.ag</v>
      </c>
      <c r="E10" s="18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IFERROR(__xludf.DUMMYFUNCTION("""COMPUTED_VALUE"""),"totals")</f>
        <v>totals</v>
      </c>
      <c r="I10" s="4" t="str">
        <f>IFERROR(__xludf.DUMMYFUNCTION("""COMPUTED_VALUE"""),"Over")</f>
        <v>Over</v>
      </c>
      <c r="J10" s="4"/>
      <c r="K10" s="4">
        <f>IFERROR(__xludf.DUMMYFUNCTION("""COMPUTED_VALUE"""),-110.0)</f>
        <v>-110</v>
      </c>
      <c r="L10" s="4">
        <f>IFERROR(__xludf.DUMMYFUNCTION("""COMPUTED_VALUE"""),37.0)</f>
        <v>37</v>
      </c>
    </row>
    <row r="11">
      <c r="A11" s="4" t="str">
        <f>IFERROR(__xludf.DUMMYFUNCTION("""COMPUTED_VALUE"""),"86278ec4bbdcadd945d79df6c695c2ec")</f>
        <v>86278ec4bbdcadd945d79df6c695c2ec</v>
      </c>
      <c r="B11" s="18">
        <f>IFERROR(__xludf.DUMMYFUNCTION("""COMPUTED_VALUE"""),45594.01041666667)</f>
        <v>45594.01042</v>
      </c>
      <c r="C11" s="4" t="b">
        <f>IFERROR(__xludf.DUMMYFUNCTION("""COMPUTED_VALUE"""),FALSE)</f>
        <v>0</v>
      </c>
      <c r="D11" s="19" t="str">
        <f>IFERROR(__xludf.DUMMYFUNCTION("""COMPUTED_VALUE"""),"BetOnline.ag")</f>
        <v>BetOnline.ag</v>
      </c>
      <c r="E11" s="18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IFERROR(__xludf.DUMMYFUNCTION("""COMPUTED_VALUE"""),"totals")</f>
        <v>totals</v>
      </c>
      <c r="I11" s="4" t="str">
        <f>IFERROR(__xludf.DUMMYFUNCTION("""COMPUTED_VALUE"""),"Under")</f>
        <v>Under</v>
      </c>
      <c r="J11" s="4"/>
      <c r="K11" s="4">
        <f>IFERROR(__xludf.DUMMYFUNCTION("""COMPUTED_VALUE"""),-110.0)</f>
        <v>-110</v>
      </c>
      <c r="L11" s="4">
        <f>IFERROR(__xludf.DUMMYFUNCTION("""COMPUTED_VALUE"""),37.0)</f>
        <v>37</v>
      </c>
    </row>
    <row r="12">
      <c r="A12" s="4" t="str">
        <f>IFERROR(__xludf.DUMMYFUNCTION("""COMPUTED_VALUE"""),"86278ec4bbdcadd945d79df6c695c2ec")</f>
        <v>86278ec4bbdcadd945d79df6c695c2ec</v>
      </c>
      <c r="B12" s="18">
        <f>IFERROR(__xludf.DUMMYFUNCTION("""COMPUTED_VALUE"""),45594.01041666667)</f>
        <v>45594.01042</v>
      </c>
      <c r="C12" s="4" t="b">
        <f>IFERROR(__xludf.DUMMYFUNCTION("""COMPUTED_VALUE"""),FALSE)</f>
        <v>0</v>
      </c>
      <c r="D12" s="19" t="str">
        <f>IFERROR(__xludf.DUMMYFUNCTION("""COMPUTED_VALUE"""),"LowVig.ag")</f>
        <v>LowVig.ag</v>
      </c>
      <c r="E12" s="18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IFERROR(__xludf.DUMMYFUNCTION("""COMPUTED_VALUE"""),"totals")</f>
        <v>totals</v>
      </c>
      <c r="I12" s="4" t="str">
        <f>IFERROR(__xludf.DUMMYFUNCTION("""COMPUTED_VALUE"""),"Over")</f>
        <v>Over</v>
      </c>
      <c r="J12" s="4"/>
      <c r="K12" s="4">
        <f>IFERROR(__xludf.DUMMYFUNCTION("""COMPUTED_VALUE"""),-110.0)</f>
        <v>-110</v>
      </c>
      <c r="L12" s="4">
        <f>IFERROR(__xludf.DUMMYFUNCTION("""COMPUTED_VALUE"""),37.0)</f>
        <v>37</v>
      </c>
    </row>
    <row r="13">
      <c r="A13" s="4" t="str">
        <f>IFERROR(__xludf.DUMMYFUNCTION("""COMPUTED_VALUE"""),"86278ec4bbdcadd945d79df6c695c2ec")</f>
        <v>86278ec4bbdcadd945d79df6c695c2ec</v>
      </c>
      <c r="B13" s="18">
        <f>IFERROR(__xludf.DUMMYFUNCTION("""COMPUTED_VALUE"""),45594.01041666667)</f>
        <v>45594.01042</v>
      </c>
      <c r="C13" s="4" t="b">
        <f>IFERROR(__xludf.DUMMYFUNCTION("""COMPUTED_VALUE"""),FALSE)</f>
        <v>0</v>
      </c>
      <c r="D13" s="19" t="str">
        <f>IFERROR(__xludf.DUMMYFUNCTION("""COMPUTED_VALUE"""),"LowVig.ag")</f>
        <v>LowVig.ag</v>
      </c>
      <c r="E13" s="18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IFERROR(__xludf.DUMMYFUNCTION("""COMPUTED_VALUE"""),"totals")</f>
        <v>totals</v>
      </c>
      <c r="I13" s="4" t="str">
        <f>IFERROR(__xludf.DUMMYFUNCTION("""COMPUTED_VALUE"""),"Under")</f>
        <v>Under</v>
      </c>
      <c r="J13" s="4"/>
      <c r="K13" s="4">
        <f>IFERROR(__xludf.DUMMYFUNCTION("""COMPUTED_VALUE"""),-104.0)</f>
        <v>-104</v>
      </c>
      <c r="L13" s="4">
        <f>IFERROR(__xludf.DUMMYFUNCTION("""COMPUTED_VALUE"""),37.0)</f>
        <v>37</v>
      </c>
    </row>
    <row r="14">
      <c r="A14" s="4" t="str">
        <f>IFERROR(__xludf.DUMMYFUNCTION("""COMPUTED_VALUE"""),"86278ec4bbdcadd945d79df6c695c2ec")</f>
        <v>86278ec4bbdcadd945d79df6c695c2ec</v>
      </c>
      <c r="B14" s="18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18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IFERROR(__xludf.DUMMYFUNCTION("""COMPUTED_VALUE"""),"totals")</f>
        <v>totals</v>
      </c>
      <c r="I14" s="4" t="str">
        <f>IFERROR(__xludf.DUMMYFUNCTION("""COMPUTED_VALUE"""),"Over")</f>
        <v>Over</v>
      </c>
      <c r="J14" s="4"/>
      <c r="K14" s="4">
        <f>IFERROR(__xludf.DUMMYFUNCTION("""COMPUTED_VALUE"""),-108.0)</f>
        <v>-108</v>
      </c>
      <c r="L14" s="4">
        <f>IFERROR(__xludf.DUMMYFUNCTION("""COMPUTED_VALUE"""),37.0)</f>
        <v>37</v>
      </c>
    </row>
    <row r="15">
      <c r="A15" s="4" t="str">
        <f>IFERROR(__xludf.DUMMYFUNCTION("""COMPUTED_VALUE"""),"86278ec4bbdcadd945d79df6c695c2ec")</f>
        <v>86278ec4bbdcadd945d79df6c695c2ec</v>
      </c>
      <c r="B15" s="18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18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IFERROR(__xludf.DUMMYFUNCTION("""COMPUTED_VALUE"""),"totals")</f>
        <v>totals</v>
      </c>
      <c r="I15" s="4" t="str">
        <f>IFERROR(__xludf.DUMMYFUNCTION("""COMPUTED_VALUE"""),"Under")</f>
        <v>Under</v>
      </c>
      <c r="J15" s="4"/>
      <c r="K15" s="4">
        <f>IFERROR(__xludf.DUMMYFUNCTION("""COMPUTED_VALUE"""),-113.0)</f>
        <v>-113</v>
      </c>
      <c r="L15" s="4">
        <f>IFERROR(__xludf.DUMMYFUNCTION("""COMPUTED_VALUE"""),37.0)</f>
        <v>37</v>
      </c>
    </row>
    <row r="16">
      <c r="A16" s="4" t="str">
        <f>IFERROR(__xludf.DUMMYFUNCTION("""COMPUTED_VALUE"""),"86278ec4bbdcadd945d79df6c695c2ec")</f>
        <v>86278ec4bbdcadd945d79df6c695c2ec</v>
      </c>
      <c r="B16" s="18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18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IFERROR(__xludf.DUMMYFUNCTION("""COMPUTED_VALUE"""),"totals")</f>
        <v>totals</v>
      </c>
      <c r="I16" s="4" t="str">
        <f>IFERROR(__xludf.DUMMYFUNCTION("""COMPUTED_VALUE"""),"Over")</f>
        <v>Over</v>
      </c>
      <c r="J16" s="4"/>
      <c r="K16" s="4">
        <f>IFERROR(__xludf.DUMMYFUNCTION("""COMPUTED_VALUE"""),-115.0)</f>
        <v>-115</v>
      </c>
      <c r="L16" s="4">
        <f>IFERROR(__xludf.DUMMYFUNCTION("""COMPUTED_VALUE"""),36.5)</f>
        <v>36.5</v>
      </c>
    </row>
    <row r="17">
      <c r="A17" s="4" t="str">
        <f>IFERROR(__xludf.DUMMYFUNCTION("""COMPUTED_VALUE"""),"86278ec4bbdcadd945d79df6c695c2ec")</f>
        <v>86278ec4bbdcadd945d79df6c695c2ec</v>
      </c>
      <c r="B17" s="18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18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IFERROR(__xludf.DUMMYFUNCTION("""COMPUTED_VALUE"""),"totals")</f>
        <v>totals</v>
      </c>
      <c r="I17" s="4" t="str">
        <f>IFERROR(__xludf.DUMMYFUNCTION("""COMPUTED_VALUE"""),"Under")</f>
        <v>Under</v>
      </c>
      <c r="J17" s="4"/>
      <c r="K17" s="4">
        <f>IFERROR(__xludf.DUMMYFUNCTION("""COMPUTED_VALUE"""),-105.0)</f>
        <v>-105</v>
      </c>
      <c r="L17" s="4">
        <f>IFERROR(__xludf.DUMMYFUNCTION("""COMPUTED_VALUE"""),36.5)</f>
        <v>36.5</v>
      </c>
    </row>
    <row r="18">
      <c r="A18" s="4" t="str">
        <f>IFERROR(__xludf.DUMMYFUNCTION("""COMPUTED_VALUE"""),"86278ec4bbdcadd945d79df6c695c2ec")</f>
        <v>86278ec4bbdcadd945d79df6c695c2ec</v>
      </c>
      <c r="B18" s="18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18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IFERROR(__xludf.DUMMYFUNCTION("""COMPUTED_VALUE"""),"totals")</f>
        <v>totals</v>
      </c>
      <c r="I18" s="4" t="str">
        <f>IFERROR(__xludf.DUMMYFUNCTION("""COMPUTED_VALUE"""),"Over")</f>
        <v>Over</v>
      </c>
      <c r="J18" s="4"/>
      <c r="K18" s="4">
        <f>IFERROR(__xludf.DUMMYFUNCTION("""COMPUTED_VALUE"""),-110.0)</f>
        <v>-110</v>
      </c>
      <c r="L18" s="4">
        <f>IFERROR(__xludf.DUMMYFUNCTION("""COMPUTED_VALUE"""),37.5)</f>
        <v>37.5</v>
      </c>
    </row>
    <row r="19">
      <c r="A19" s="4" t="str">
        <f>IFERROR(__xludf.DUMMYFUNCTION("""COMPUTED_VALUE"""),"86278ec4bbdcadd945d79df6c695c2ec")</f>
        <v>86278ec4bbdcadd945d79df6c695c2ec</v>
      </c>
      <c r="B19" s="18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18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IFERROR(__xludf.DUMMYFUNCTION("""COMPUTED_VALUE"""),"totals")</f>
        <v>totals</v>
      </c>
      <c r="I19" s="4" t="str">
        <f>IFERROR(__xludf.DUMMYFUNCTION("""COMPUTED_VALUE"""),"Under")</f>
        <v>Under</v>
      </c>
      <c r="J19" s="4"/>
      <c r="K19" s="4">
        <f>IFERROR(__xludf.DUMMYFUNCTION("""COMPUTED_VALUE"""),-110.0)</f>
        <v>-110</v>
      </c>
      <c r="L19" s="4">
        <f>IFERROR(__xludf.DUMMYFUNCTION("""COMPUTED_VALUE"""),37.5)</f>
        <v>37.5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tr">
        <f>IFERROR(__xludf.DUMMYFUNCTION("IMPORTRANGE(""https://docs.google.com/spreadsheets/d/13MAhBT9K2M70JP2OISI4aettE0FK27CjAGHAew7TsAE/edit?gid=917497601#gid=917497601"",""Sheet9!A1:L"")"),"game_id")</f>
        <v>game_id</v>
      </c>
      <c r="B1" s="4" t="str">
        <f>IFERROR(__xludf.DUMMYFUNCTION("""COMPUTED_VALUE"""),"commence_time")</f>
        <v>commence_time</v>
      </c>
      <c r="C1" s="4" t="str">
        <f>IFERROR(__xludf.DUMMYFUNCTION("""COMPUTED_VALUE"""),"in_play")</f>
        <v>in_play</v>
      </c>
      <c r="D1" s="4" t="str">
        <f>IFERROR(__xludf.DUMMYFUNCTION("""COMPUTED_VALUE"""),"bookmaker")</f>
        <v>bookmaker</v>
      </c>
      <c r="E1" s="4" t="str">
        <f>IFERROR(__xludf.DUMMYFUNCTION("""COMPUTED_VALUE"""),"last_update")</f>
        <v>last_update</v>
      </c>
      <c r="F1" s="4" t="str">
        <f>IFERROR(__xludf.DUMMYFUNCTION("""COMPUTED_VALUE"""),"home_team")</f>
        <v>home_team</v>
      </c>
      <c r="G1" s="4" t="str">
        <f>IFERROR(__xludf.DUMMYFUNCTION("""COMPUTED_VALUE"""),"away_team")</f>
        <v>away_team</v>
      </c>
      <c r="H1" s="4" t="str">
        <f>IFERROR(__xludf.DUMMYFUNCTION("""COMPUTED_VALUE"""),"market")</f>
        <v>market</v>
      </c>
      <c r="I1" s="4" t="str">
        <f>IFERROR(__xludf.DUMMYFUNCTION("""COMPUTED_VALUE"""),"label")</f>
        <v>label</v>
      </c>
      <c r="J1" s="4" t="str">
        <f>IFERROR(__xludf.DUMMYFUNCTION("""COMPUTED_VALUE"""),"description")</f>
        <v>description</v>
      </c>
      <c r="K1" s="4" t="str">
        <f>IFERROR(__xludf.DUMMYFUNCTION("""COMPUTED_VALUE"""),"price")</f>
        <v>price</v>
      </c>
      <c r="L1" s="4" t="str">
        <f>IFERROR(__xludf.DUMMYFUNCTION("""COMPUTED_VALUE"""),"point")</f>
        <v>point</v>
      </c>
    </row>
    <row r="2">
      <c r="A2" s="4" t="str">
        <f>IFERROR(__xludf.DUMMYFUNCTION("""COMPUTED_VALUE"""),"86278ec4bbdcadd945d79df6c695c2ec")</f>
        <v>86278ec4bbdcadd945d79df6c695c2ec</v>
      </c>
      <c r="B2" s="18">
        <f>IFERROR(__xludf.DUMMYFUNCTION("""COMPUTED_VALUE"""),45594.01041666667)</f>
        <v>45594.01042</v>
      </c>
      <c r="C2" s="4" t="b">
        <f>IFERROR(__xludf.DUMMYFUNCTION("""COMPUTED_VALUE"""),FALSE)</f>
        <v>0</v>
      </c>
      <c r="D2" s="4" t="str">
        <f>IFERROR(__xludf.DUMMYFUNCTION("""COMPUTED_VALUE"""),"DraftKings")</f>
        <v>DraftKings</v>
      </c>
      <c r="E2" s="18">
        <f>IFERROR(__xludf.DUMMYFUNCTION("""COMPUTED_VALUE"""),45593.91478009259)</f>
        <v>45593.91478</v>
      </c>
      <c r="F2" s="4" t="str">
        <f>IFERROR(__xludf.DUMMYFUNCTION("""COMPUTED_VALUE"""),"Pittsburgh Steelers")</f>
        <v>Pittsburgh Steelers</v>
      </c>
      <c r="G2" s="4" t="str">
        <f>IFERROR(__xludf.DUMMYFUNCTION("""COMPUTED_VALUE"""),"New York Giants")</f>
        <v>New York Giants</v>
      </c>
      <c r="H2" s="4" t="str">
        <f>IFERROR(__xludf.DUMMYFUNCTION("""COMPUTED_VALUE"""),"spreads")</f>
        <v>spreads</v>
      </c>
      <c r="I2" s="4" t="str">
        <f>IFERROR(__xludf.DUMMYFUNCTION("""COMPUTED_VALUE"""),"New York Giants")</f>
        <v>New York Giants</v>
      </c>
      <c r="J2" s="4"/>
      <c r="K2" s="4">
        <f>IFERROR(__xludf.DUMMYFUNCTION("""COMPUTED_VALUE"""),-105.0)</f>
        <v>-105</v>
      </c>
      <c r="L2" s="4">
        <f>IFERROR(__xludf.DUMMYFUNCTION("""COMPUTED_VALUE"""),6.0)</f>
        <v>6</v>
      </c>
    </row>
    <row r="3">
      <c r="A3" s="4" t="str">
        <f>IFERROR(__xludf.DUMMYFUNCTION("""COMPUTED_VALUE"""),"86278ec4bbdcadd945d79df6c695c2ec")</f>
        <v>86278ec4bbdcadd945d79df6c695c2ec</v>
      </c>
      <c r="B3" s="18">
        <f>IFERROR(__xludf.DUMMYFUNCTION("""COMPUTED_VALUE"""),45594.01041666667)</f>
        <v>45594.01042</v>
      </c>
      <c r="C3" s="4" t="b">
        <f>IFERROR(__xludf.DUMMYFUNCTION("""COMPUTED_VALUE"""),FALSE)</f>
        <v>0</v>
      </c>
      <c r="D3" s="4" t="str">
        <f>IFERROR(__xludf.DUMMYFUNCTION("""COMPUTED_VALUE"""),"DraftKings")</f>
        <v>DraftKings</v>
      </c>
      <c r="E3" s="18">
        <f>IFERROR(__xludf.DUMMYFUNCTION("""COMPUTED_VALUE"""),45593.91478009259)</f>
        <v>45593.91478</v>
      </c>
      <c r="F3" s="4" t="str">
        <f>IFERROR(__xludf.DUMMYFUNCTION("""COMPUTED_VALUE"""),"Pittsburgh Steelers")</f>
        <v>Pittsburgh Steelers</v>
      </c>
      <c r="G3" s="4" t="str">
        <f>IFERROR(__xludf.DUMMYFUNCTION("""COMPUTED_VALUE"""),"New York Giants")</f>
        <v>New York Giants</v>
      </c>
      <c r="H3" s="4" t="str">
        <f>IFERROR(__xludf.DUMMYFUNCTION("""COMPUTED_VALUE"""),"spreads")</f>
        <v>spreads</v>
      </c>
      <c r="I3" s="4" t="str">
        <f>IFERROR(__xludf.DUMMYFUNCTION("""COMPUTED_VALUE"""),"Pittsburgh Steelers")</f>
        <v>Pittsburgh Steelers</v>
      </c>
      <c r="J3" s="4"/>
      <c r="K3" s="4">
        <f>IFERROR(__xludf.DUMMYFUNCTION("""COMPUTED_VALUE"""),-115.0)</f>
        <v>-115</v>
      </c>
      <c r="L3" s="4">
        <f>IFERROR(__xludf.DUMMYFUNCTION("""COMPUTED_VALUE"""),-6.0)</f>
        <v>-6</v>
      </c>
    </row>
    <row r="4">
      <c r="A4" s="4" t="str">
        <f>IFERROR(__xludf.DUMMYFUNCTION("""COMPUTED_VALUE"""),"86278ec4bbdcadd945d79df6c695c2ec")</f>
        <v>86278ec4bbdcadd945d79df6c695c2ec</v>
      </c>
      <c r="B4" s="18">
        <f>IFERROR(__xludf.DUMMYFUNCTION("""COMPUTED_VALUE"""),45594.01041666667)</f>
        <v>45594.01042</v>
      </c>
      <c r="C4" s="4" t="b">
        <f>IFERROR(__xludf.DUMMYFUNCTION("""COMPUTED_VALUE"""),FALSE)</f>
        <v>0</v>
      </c>
      <c r="D4" s="4" t="str">
        <f>IFERROR(__xludf.DUMMYFUNCTION("""COMPUTED_VALUE"""),"BetUS")</f>
        <v>BetUS</v>
      </c>
      <c r="E4" s="18">
        <f>IFERROR(__xludf.DUMMYFUNCTION("""COMPUTED_VALUE"""),45593.91565972222)</f>
        <v>45593.91566</v>
      </c>
      <c r="F4" s="4" t="str">
        <f>IFERROR(__xludf.DUMMYFUNCTION("""COMPUTED_VALUE"""),"Pittsburgh Steelers")</f>
        <v>Pittsburgh Steelers</v>
      </c>
      <c r="G4" s="4" t="str">
        <f>IFERROR(__xludf.DUMMYFUNCTION("""COMPUTED_VALUE"""),"New York Giants")</f>
        <v>New York Giants</v>
      </c>
      <c r="H4" s="4" t="str">
        <f>IFERROR(__xludf.DUMMYFUNCTION("""COMPUTED_VALUE"""),"spreads")</f>
        <v>spreads</v>
      </c>
      <c r="I4" s="4" t="str">
        <f>IFERROR(__xludf.DUMMYFUNCTION("""COMPUTED_VALUE"""),"New York Giants")</f>
        <v>New York Giants</v>
      </c>
      <c r="J4" s="4"/>
      <c r="K4" s="4">
        <f>IFERROR(__xludf.DUMMYFUNCTION("""COMPUTED_VALUE"""),-110.0)</f>
        <v>-110</v>
      </c>
      <c r="L4" s="4">
        <f>IFERROR(__xludf.DUMMYFUNCTION("""COMPUTED_VALUE"""),6.0)</f>
        <v>6</v>
      </c>
    </row>
    <row r="5">
      <c r="A5" s="4" t="str">
        <f>IFERROR(__xludf.DUMMYFUNCTION("""COMPUTED_VALUE"""),"86278ec4bbdcadd945d79df6c695c2ec")</f>
        <v>86278ec4bbdcadd945d79df6c695c2ec</v>
      </c>
      <c r="B5" s="18">
        <f>IFERROR(__xludf.DUMMYFUNCTION("""COMPUTED_VALUE"""),45594.01041666667)</f>
        <v>45594.01042</v>
      </c>
      <c r="C5" s="4" t="b">
        <f>IFERROR(__xludf.DUMMYFUNCTION("""COMPUTED_VALUE"""),FALSE)</f>
        <v>0</v>
      </c>
      <c r="D5" s="4" t="str">
        <f>IFERROR(__xludf.DUMMYFUNCTION("""COMPUTED_VALUE"""),"BetUS")</f>
        <v>BetUS</v>
      </c>
      <c r="E5" s="18">
        <f>IFERROR(__xludf.DUMMYFUNCTION("""COMPUTED_VALUE"""),45593.91565972222)</f>
        <v>45593.91566</v>
      </c>
      <c r="F5" s="4" t="str">
        <f>IFERROR(__xludf.DUMMYFUNCTION("""COMPUTED_VALUE"""),"Pittsburgh Steelers")</f>
        <v>Pittsburgh Steelers</v>
      </c>
      <c r="G5" s="4" t="str">
        <f>IFERROR(__xludf.DUMMYFUNCTION("""COMPUTED_VALUE"""),"New York Giants")</f>
        <v>New York Giants</v>
      </c>
      <c r="H5" s="4" t="str">
        <f>IFERROR(__xludf.DUMMYFUNCTION("""COMPUTED_VALUE"""),"spreads")</f>
        <v>spreads</v>
      </c>
      <c r="I5" s="4" t="str">
        <f>IFERROR(__xludf.DUMMYFUNCTION("""COMPUTED_VALUE"""),"Pittsburgh Steelers")</f>
        <v>Pittsburgh Steelers</v>
      </c>
      <c r="J5" s="4"/>
      <c r="K5" s="4">
        <f>IFERROR(__xludf.DUMMYFUNCTION("""COMPUTED_VALUE"""),-110.0)</f>
        <v>-110</v>
      </c>
      <c r="L5" s="4">
        <f>IFERROR(__xludf.DUMMYFUNCTION("""COMPUTED_VALUE"""),-6.0)</f>
        <v>-6</v>
      </c>
    </row>
    <row r="6">
      <c r="A6" s="4" t="str">
        <f>IFERROR(__xludf.DUMMYFUNCTION("""COMPUTED_VALUE"""),"86278ec4bbdcadd945d79df6c695c2ec")</f>
        <v>86278ec4bbdcadd945d79df6c695c2ec</v>
      </c>
      <c r="B6" s="18">
        <f>IFERROR(__xludf.DUMMYFUNCTION("""COMPUTED_VALUE"""),45594.01041666667)</f>
        <v>45594.01042</v>
      </c>
      <c r="C6" s="4" t="b">
        <f>IFERROR(__xludf.DUMMYFUNCTION("""COMPUTED_VALUE"""),FALSE)</f>
        <v>0</v>
      </c>
      <c r="D6" s="4" t="str">
        <f>IFERROR(__xludf.DUMMYFUNCTION("""COMPUTED_VALUE"""),"FanDuel")</f>
        <v>FanDuel</v>
      </c>
      <c r="E6" s="18">
        <f>IFERROR(__xludf.DUMMYFUNCTION("""COMPUTED_VALUE"""),45593.91564814815)</f>
        <v>45593.91565</v>
      </c>
      <c r="F6" s="4" t="str">
        <f>IFERROR(__xludf.DUMMYFUNCTION("""COMPUTED_VALUE"""),"Pittsburgh Steelers")</f>
        <v>Pittsburgh Steelers</v>
      </c>
      <c r="G6" s="4" t="str">
        <f>IFERROR(__xludf.DUMMYFUNCTION("""COMPUTED_VALUE"""),"New York Giants")</f>
        <v>New York Giants</v>
      </c>
      <c r="H6" s="4" t="str">
        <f>IFERROR(__xludf.DUMMYFUNCTION("""COMPUTED_VALUE"""),"spreads")</f>
        <v>spreads</v>
      </c>
      <c r="I6" s="4" t="str">
        <f>IFERROR(__xludf.DUMMYFUNCTION("""COMPUTED_VALUE"""),"New York Giants")</f>
        <v>New York Giants</v>
      </c>
      <c r="J6" s="4"/>
      <c r="K6" s="4">
        <f>IFERROR(__xludf.DUMMYFUNCTION("""COMPUTED_VALUE"""),-110.0)</f>
        <v>-110</v>
      </c>
      <c r="L6" s="4">
        <f>IFERROR(__xludf.DUMMYFUNCTION("""COMPUTED_VALUE"""),6.0)</f>
        <v>6</v>
      </c>
    </row>
    <row r="7">
      <c r="A7" s="4" t="str">
        <f>IFERROR(__xludf.DUMMYFUNCTION("""COMPUTED_VALUE"""),"86278ec4bbdcadd945d79df6c695c2ec")</f>
        <v>86278ec4bbdcadd945d79df6c695c2ec</v>
      </c>
      <c r="B7" s="18">
        <f>IFERROR(__xludf.DUMMYFUNCTION("""COMPUTED_VALUE"""),45594.01041666667)</f>
        <v>45594.01042</v>
      </c>
      <c r="C7" s="4" t="b">
        <f>IFERROR(__xludf.DUMMYFUNCTION("""COMPUTED_VALUE"""),FALSE)</f>
        <v>0</v>
      </c>
      <c r="D7" s="4" t="str">
        <f>IFERROR(__xludf.DUMMYFUNCTION("""COMPUTED_VALUE"""),"FanDuel")</f>
        <v>FanDuel</v>
      </c>
      <c r="E7" s="18">
        <f>IFERROR(__xludf.DUMMYFUNCTION("""COMPUTED_VALUE"""),45593.91564814815)</f>
        <v>45593.91565</v>
      </c>
      <c r="F7" s="4" t="str">
        <f>IFERROR(__xludf.DUMMYFUNCTION("""COMPUTED_VALUE"""),"Pittsburgh Steelers")</f>
        <v>Pittsburgh Steelers</v>
      </c>
      <c r="G7" s="4" t="str">
        <f>IFERROR(__xludf.DUMMYFUNCTION("""COMPUTED_VALUE"""),"New York Giants")</f>
        <v>New York Giants</v>
      </c>
      <c r="H7" s="4" t="str">
        <f>IFERROR(__xludf.DUMMYFUNCTION("""COMPUTED_VALUE"""),"spreads")</f>
        <v>spreads</v>
      </c>
      <c r="I7" s="4" t="str">
        <f>IFERROR(__xludf.DUMMYFUNCTION("""COMPUTED_VALUE"""),"Pittsburgh Steelers")</f>
        <v>Pittsburgh Steelers</v>
      </c>
      <c r="J7" s="4"/>
      <c r="K7" s="4">
        <f>IFERROR(__xludf.DUMMYFUNCTION("""COMPUTED_VALUE"""),-110.0)</f>
        <v>-110</v>
      </c>
      <c r="L7" s="4">
        <f>IFERROR(__xludf.DUMMYFUNCTION("""COMPUTED_VALUE"""),-6.0)</f>
        <v>-6</v>
      </c>
    </row>
    <row r="8">
      <c r="A8" s="4" t="str">
        <f>IFERROR(__xludf.DUMMYFUNCTION("""COMPUTED_VALUE"""),"86278ec4bbdcadd945d79df6c695c2ec")</f>
        <v>86278ec4bbdcadd945d79df6c695c2ec</v>
      </c>
      <c r="B8" s="18">
        <f>IFERROR(__xludf.DUMMYFUNCTION("""COMPUTED_VALUE"""),45594.01041666667)</f>
        <v>45594.01042</v>
      </c>
      <c r="C8" s="4" t="b">
        <f>IFERROR(__xludf.DUMMYFUNCTION("""COMPUTED_VALUE"""),FALSE)</f>
        <v>0</v>
      </c>
      <c r="D8" s="19" t="str">
        <f>IFERROR(__xludf.DUMMYFUNCTION("""COMPUTED_VALUE"""),"MyBookie.ag")</f>
        <v>MyBookie.ag</v>
      </c>
      <c r="E8" s="18">
        <f>IFERROR(__xludf.DUMMYFUNCTION("""COMPUTED_VALUE"""),45593.91346064815)</f>
        <v>45593.91346</v>
      </c>
      <c r="F8" s="4" t="str">
        <f>IFERROR(__xludf.DUMMYFUNCTION("""COMPUTED_VALUE"""),"Pittsburgh Steelers")</f>
        <v>Pittsburgh Steelers</v>
      </c>
      <c r="G8" s="4" t="str">
        <f>IFERROR(__xludf.DUMMYFUNCTION("""COMPUTED_VALUE"""),"New York Giants")</f>
        <v>New York Giants</v>
      </c>
      <c r="H8" s="4" t="str">
        <f>IFERROR(__xludf.DUMMYFUNCTION("""COMPUTED_VALUE"""),"spreads")</f>
        <v>spreads</v>
      </c>
      <c r="I8" s="4" t="str">
        <f>IFERROR(__xludf.DUMMYFUNCTION("""COMPUTED_VALUE"""),"New York Giants")</f>
        <v>New York Giants</v>
      </c>
      <c r="J8" s="4"/>
      <c r="K8" s="4">
        <f>IFERROR(__xludf.DUMMYFUNCTION("""COMPUTED_VALUE"""),-110.0)</f>
        <v>-110</v>
      </c>
      <c r="L8" s="4">
        <f>IFERROR(__xludf.DUMMYFUNCTION("""COMPUTED_VALUE"""),6.0)</f>
        <v>6</v>
      </c>
    </row>
    <row r="9">
      <c r="A9" s="4" t="str">
        <f>IFERROR(__xludf.DUMMYFUNCTION("""COMPUTED_VALUE"""),"86278ec4bbdcadd945d79df6c695c2ec")</f>
        <v>86278ec4bbdcadd945d79df6c695c2ec</v>
      </c>
      <c r="B9" s="18">
        <f>IFERROR(__xludf.DUMMYFUNCTION("""COMPUTED_VALUE"""),45594.01041666667)</f>
        <v>45594.01042</v>
      </c>
      <c r="C9" s="4" t="b">
        <f>IFERROR(__xludf.DUMMYFUNCTION("""COMPUTED_VALUE"""),FALSE)</f>
        <v>0</v>
      </c>
      <c r="D9" s="19" t="str">
        <f>IFERROR(__xludf.DUMMYFUNCTION("""COMPUTED_VALUE"""),"MyBookie.ag")</f>
        <v>MyBookie.ag</v>
      </c>
      <c r="E9" s="18">
        <f>IFERROR(__xludf.DUMMYFUNCTION("""COMPUTED_VALUE"""),45593.91346064815)</f>
        <v>45593.91346</v>
      </c>
      <c r="F9" s="4" t="str">
        <f>IFERROR(__xludf.DUMMYFUNCTION("""COMPUTED_VALUE"""),"Pittsburgh Steelers")</f>
        <v>Pittsburgh Steelers</v>
      </c>
      <c r="G9" s="4" t="str">
        <f>IFERROR(__xludf.DUMMYFUNCTION("""COMPUTED_VALUE"""),"New York Giants")</f>
        <v>New York Giants</v>
      </c>
      <c r="H9" s="4" t="str">
        <f>IFERROR(__xludf.DUMMYFUNCTION("""COMPUTED_VALUE"""),"spreads")</f>
        <v>spreads</v>
      </c>
      <c r="I9" s="4" t="str">
        <f>IFERROR(__xludf.DUMMYFUNCTION("""COMPUTED_VALUE"""),"Pittsburgh Steelers")</f>
        <v>Pittsburgh Steelers</v>
      </c>
      <c r="J9" s="4"/>
      <c r="K9" s="4">
        <f>IFERROR(__xludf.DUMMYFUNCTION("""COMPUTED_VALUE"""),-110.0)</f>
        <v>-110</v>
      </c>
      <c r="L9" s="4">
        <f>IFERROR(__xludf.DUMMYFUNCTION("""COMPUTED_VALUE"""),-6.0)</f>
        <v>-6</v>
      </c>
    </row>
    <row r="10">
      <c r="A10" s="4" t="str">
        <f>IFERROR(__xludf.DUMMYFUNCTION("""COMPUTED_VALUE"""),"86278ec4bbdcadd945d79df6c695c2ec")</f>
        <v>86278ec4bbdcadd945d79df6c695c2ec</v>
      </c>
      <c r="B10" s="18">
        <f>IFERROR(__xludf.DUMMYFUNCTION("""COMPUTED_VALUE"""),45594.01041666667)</f>
        <v>45594.01042</v>
      </c>
      <c r="C10" s="4" t="b">
        <f>IFERROR(__xludf.DUMMYFUNCTION("""COMPUTED_VALUE"""),FALSE)</f>
        <v>0</v>
      </c>
      <c r="D10" s="19" t="str">
        <f>IFERROR(__xludf.DUMMYFUNCTION("""COMPUTED_VALUE"""),"BetOnline.ag")</f>
        <v>BetOnline.ag</v>
      </c>
      <c r="E10" s="18">
        <f>IFERROR(__xludf.DUMMYFUNCTION("""COMPUTED_VALUE"""),45593.91604166667)</f>
        <v>45593.91604</v>
      </c>
      <c r="F10" s="4" t="str">
        <f>IFERROR(__xludf.DUMMYFUNCTION("""COMPUTED_VALUE"""),"Pittsburgh Steelers")</f>
        <v>Pittsburgh Steelers</v>
      </c>
      <c r="G10" s="4" t="str">
        <f>IFERROR(__xludf.DUMMYFUNCTION("""COMPUTED_VALUE"""),"New York Giants")</f>
        <v>New York Giants</v>
      </c>
      <c r="H10" s="4" t="str">
        <f>IFERROR(__xludf.DUMMYFUNCTION("""COMPUTED_VALUE"""),"spreads")</f>
        <v>spreads</v>
      </c>
      <c r="I10" s="4" t="str">
        <f>IFERROR(__xludf.DUMMYFUNCTION("""COMPUTED_VALUE"""),"New York Giants")</f>
        <v>New York Giants</v>
      </c>
      <c r="J10" s="4"/>
      <c r="K10" s="4">
        <f>IFERROR(__xludf.DUMMYFUNCTION("""COMPUTED_VALUE"""),-110.0)</f>
        <v>-110</v>
      </c>
      <c r="L10" s="4">
        <f>IFERROR(__xludf.DUMMYFUNCTION("""COMPUTED_VALUE"""),6.0)</f>
        <v>6</v>
      </c>
    </row>
    <row r="11">
      <c r="A11" s="4" t="str">
        <f>IFERROR(__xludf.DUMMYFUNCTION("""COMPUTED_VALUE"""),"86278ec4bbdcadd945d79df6c695c2ec")</f>
        <v>86278ec4bbdcadd945d79df6c695c2ec</v>
      </c>
      <c r="B11" s="18">
        <f>IFERROR(__xludf.DUMMYFUNCTION("""COMPUTED_VALUE"""),45594.01041666667)</f>
        <v>45594.01042</v>
      </c>
      <c r="C11" s="4" t="b">
        <f>IFERROR(__xludf.DUMMYFUNCTION("""COMPUTED_VALUE"""),FALSE)</f>
        <v>0</v>
      </c>
      <c r="D11" s="19" t="str">
        <f>IFERROR(__xludf.DUMMYFUNCTION("""COMPUTED_VALUE"""),"BetOnline.ag")</f>
        <v>BetOnline.ag</v>
      </c>
      <c r="E11" s="18">
        <f>IFERROR(__xludf.DUMMYFUNCTION("""COMPUTED_VALUE"""),45593.91604166667)</f>
        <v>45593.91604</v>
      </c>
      <c r="F11" s="4" t="str">
        <f>IFERROR(__xludf.DUMMYFUNCTION("""COMPUTED_VALUE"""),"Pittsburgh Steelers")</f>
        <v>Pittsburgh Steelers</v>
      </c>
      <c r="G11" s="4" t="str">
        <f>IFERROR(__xludf.DUMMYFUNCTION("""COMPUTED_VALUE"""),"New York Giants")</f>
        <v>New York Giants</v>
      </c>
      <c r="H11" s="4" t="str">
        <f>IFERROR(__xludf.DUMMYFUNCTION("""COMPUTED_VALUE"""),"spreads")</f>
        <v>spreads</v>
      </c>
      <c r="I11" s="4" t="str">
        <f>IFERROR(__xludf.DUMMYFUNCTION("""COMPUTED_VALUE"""),"Pittsburgh Steelers")</f>
        <v>Pittsburgh Steelers</v>
      </c>
      <c r="J11" s="4"/>
      <c r="K11" s="4">
        <f>IFERROR(__xludf.DUMMYFUNCTION("""COMPUTED_VALUE"""),-110.0)</f>
        <v>-110</v>
      </c>
      <c r="L11" s="4">
        <f>IFERROR(__xludf.DUMMYFUNCTION("""COMPUTED_VALUE"""),-6.0)</f>
        <v>-6</v>
      </c>
    </row>
    <row r="12">
      <c r="A12" s="4" t="str">
        <f>IFERROR(__xludf.DUMMYFUNCTION("""COMPUTED_VALUE"""),"86278ec4bbdcadd945d79df6c695c2ec")</f>
        <v>86278ec4bbdcadd945d79df6c695c2ec</v>
      </c>
      <c r="B12" s="18">
        <f>IFERROR(__xludf.DUMMYFUNCTION("""COMPUTED_VALUE"""),45594.01041666667)</f>
        <v>45594.01042</v>
      </c>
      <c r="C12" s="4" t="b">
        <f>IFERROR(__xludf.DUMMYFUNCTION("""COMPUTED_VALUE"""),FALSE)</f>
        <v>0</v>
      </c>
      <c r="D12" s="19" t="str">
        <f>IFERROR(__xludf.DUMMYFUNCTION("""COMPUTED_VALUE"""),"LowVig.ag")</f>
        <v>LowVig.ag</v>
      </c>
      <c r="E12" s="18">
        <f>IFERROR(__xludf.DUMMYFUNCTION("""COMPUTED_VALUE"""),45593.91604166667)</f>
        <v>45593.91604</v>
      </c>
      <c r="F12" s="4" t="str">
        <f>IFERROR(__xludf.DUMMYFUNCTION("""COMPUTED_VALUE"""),"Pittsburgh Steelers")</f>
        <v>Pittsburgh Steelers</v>
      </c>
      <c r="G12" s="4" t="str">
        <f>IFERROR(__xludf.DUMMYFUNCTION("""COMPUTED_VALUE"""),"New York Giants")</f>
        <v>New York Giants</v>
      </c>
      <c r="H12" s="4" t="str">
        <f>IFERROR(__xludf.DUMMYFUNCTION("""COMPUTED_VALUE"""),"spreads")</f>
        <v>spreads</v>
      </c>
      <c r="I12" s="4" t="str">
        <f>IFERROR(__xludf.DUMMYFUNCTION("""COMPUTED_VALUE"""),"New York Giants")</f>
        <v>New York Giants</v>
      </c>
      <c r="J12" s="4"/>
      <c r="K12" s="4">
        <f>IFERROR(__xludf.DUMMYFUNCTION("""COMPUTED_VALUE"""),-103.0)</f>
        <v>-103</v>
      </c>
      <c r="L12" s="4">
        <f>IFERROR(__xludf.DUMMYFUNCTION("""COMPUTED_VALUE"""),6.0)</f>
        <v>6</v>
      </c>
    </row>
    <row r="13">
      <c r="A13" s="4" t="str">
        <f>IFERROR(__xludf.DUMMYFUNCTION("""COMPUTED_VALUE"""),"86278ec4bbdcadd945d79df6c695c2ec")</f>
        <v>86278ec4bbdcadd945d79df6c695c2ec</v>
      </c>
      <c r="B13" s="18">
        <f>IFERROR(__xludf.DUMMYFUNCTION("""COMPUTED_VALUE"""),45594.01041666667)</f>
        <v>45594.01042</v>
      </c>
      <c r="C13" s="4" t="b">
        <f>IFERROR(__xludf.DUMMYFUNCTION("""COMPUTED_VALUE"""),FALSE)</f>
        <v>0</v>
      </c>
      <c r="D13" s="19" t="str">
        <f>IFERROR(__xludf.DUMMYFUNCTION("""COMPUTED_VALUE"""),"LowVig.ag")</f>
        <v>LowVig.ag</v>
      </c>
      <c r="E13" s="18">
        <f>IFERROR(__xludf.DUMMYFUNCTION("""COMPUTED_VALUE"""),45593.91604166667)</f>
        <v>45593.91604</v>
      </c>
      <c r="F13" s="4" t="str">
        <f>IFERROR(__xludf.DUMMYFUNCTION("""COMPUTED_VALUE"""),"Pittsburgh Steelers")</f>
        <v>Pittsburgh Steelers</v>
      </c>
      <c r="G13" s="4" t="str">
        <f>IFERROR(__xludf.DUMMYFUNCTION("""COMPUTED_VALUE"""),"New York Giants")</f>
        <v>New York Giants</v>
      </c>
      <c r="H13" s="4" t="str">
        <f>IFERROR(__xludf.DUMMYFUNCTION("""COMPUTED_VALUE"""),"spreads")</f>
        <v>spreads</v>
      </c>
      <c r="I13" s="4" t="str">
        <f>IFERROR(__xludf.DUMMYFUNCTION("""COMPUTED_VALUE"""),"Pittsburgh Steelers")</f>
        <v>Pittsburgh Steelers</v>
      </c>
      <c r="J13" s="4"/>
      <c r="K13" s="4">
        <f>IFERROR(__xludf.DUMMYFUNCTION("""COMPUTED_VALUE"""),-107.0)</f>
        <v>-107</v>
      </c>
      <c r="L13" s="4">
        <f>IFERROR(__xludf.DUMMYFUNCTION("""COMPUTED_VALUE"""),-6.0)</f>
        <v>-6</v>
      </c>
    </row>
    <row r="14">
      <c r="A14" s="4" t="str">
        <f>IFERROR(__xludf.DUMMYFUNCTION("""COMPUTED_VALUE"""),"86278ec4bbdcadd945d79df6c695c2ec")</f>
        <v>86278ec4bbdcadd945d79df6c695c2ec</v>
      </c>
      <c r="B14" s="18">
        <f>IFERROR(__xludf.DUMMYFUNCTION("""COMPUTED_VALUE"""),45594.01041666667)</f>
        <v>45594.01042</v>
      </c>
      <c r="C14" s="4" t="b">
        <f>IFERROR(__xludf.DUMMYFUNCTION("""COMPUTED_VALUE"""),FALSE)</f>
        <v>0</v>
      </c>
      <c r="D14" s="4" t="str">
        <f>IFERROR(__xludf.DUMMYFUNCTION("""COMPUTED_VALUE"""),"BetRivers")</f>
        <v>BetRivers</v>
      </c>
      <c r="E14" s="18">
        <f>IFERROR(__xludf.DUMMYFUNCTION("""COMPUTED_VALUE"""),45593.91564814815)</f>
        <v>45593.91565</v>
      </c>
      <c r="F14" s="4" t="str">
        <f>IFERROR(__xludf.DUMMYFUNCTION("""COMPUTED_VALUE"""),"Pittsburgh Steelers")</f>
        <v>Pittsburgh Steelers</v>
      </c>
      <c r="G14" s="4" t="str">
        <f>IFERROR(__xludf.DUMMYFUNCTION("""COMPUTED_VALUE"""),"New York Giants")</f>
        <v>New York Giants</v>
      </c>
      <c r="H14" s="4" t="str">
        <f>IFERROR(__xludf.DUMMYFUNCTION("""COMPUTED_VALUE"""),"spreads")</f>
        <v>spreads</v>
      </c>
      <c r="I14" s="4" t="str">
        <f>IFERROR(__xludf.DUMMYFUNCTION("""COMPUTED_VALUE"""),"New York Giants")</f>
        <v>New York Giants</v>
      </c>
      <c r="J14" s="4"/>
      <c r="K14" s="4">
        <f>IFERROR(__xludf.DUMMYFUNCTION("""COMPUTED_VALUE"""),-112.0)</f>
        <v>-112</v>
      </c>
      <c r="L14" s="4">
        <f>IFERROR(__xludf.DUMMYFUNCTION("""COMPUTED_VALUE"""),6.0)</f>
        <v>6</v>
      </c>
    </row>
    <row r="15">
      <c r="A15" s="4" t="str">
        <f>IFERROR(__xludf.DUMMYFUNCTION("""COMPUTED_VALUE"""),"86278ec4bbdcadd945d79df6c695c2ec")</f>
        <v>86278ec4bbdcadd945d79df6c695c2ec</v>
      </c>
      <c r="B15" s="18">
        <f>IFERROR(__xludf.DUMMYFUNCTION("""COMPUTED_VALUE"""),45594.01041666667)</f>
        <v>45594.01042</v>
      </c>
      <c r="C15" s="4" t="b">
        <f>IFERROR(__xludf.DUMMYFUNCTION("""COMPUTED_VALUE"""),FALSE)</f>
        <v>0</v>
      </c>
      <c r="D15" s="4" t="str">
        <f>IFERROR(__xludf.DUMMYFUNCTION("""COMPUTED_VALUE"""),"BetRivers")</f>
        <v>BetRivers</v>
      </c>
      <c r="E15" s="18">
        <f>IFERROR(__xludf.DUMMYFUNCTION("""COMPUTED_VALUE"""),45593.91564814815)</f>
        <v>45593.91565</v>
      </c>
      <c r="F15" s="4" t="str">
        <f>IFERROR(__xludf.DUMMYFUNCTION("""COMPUTED_VALUE"""),"Pittsburgh Steelers")</f>
        <v>Pittsburgh Steelers</v>
      </c>
      <c r="G15" s="4" t="str">
        <f>IFERROR(__xludf.DUMMYFUNCTION("""COMPUTED_VALUE"""),"New York Giants")</f>
        <v>New York Giants</v>
      </c>
      <c r="H15" s="4" t="str">
        <f>IFERROR(__xludf.DUMMYFUNCTION("""COMPUTED_VALUE"""),"spreads")</f>
        <v>spreads</v>
      </c>
      <c r="I15" s="4" t="str">
        <f>IFERROR(__xludf.DUMMYFUNCTION("""COMPUTED_VALUE"""),"Pittsburgh Steelers")</f>
        <v>Pittsburgh Steelers</v>
      </c>
      <c r="J15" s="4"/>
      <c r="K15" s="4">
        <f>IFERROR(__xludf.DUMMYFUNCTION("""COMPUTED_VALUE"""),-109.0)</f>
        <v>-109</v>
      </c>
      <c r="L15" s="4">
        <f>IFERROR(__xludf.DUMMYFUNCTION("""COMPUTED_VALUE"""),-6.0)</f>
        <v>-6</v>
      </c>
    </row>
    <row r="16">
      <c r="A16" s="4" t="str">
        <f>IFERROR(__xludf.DUMMYFUNCTION("""COMPUTED_VALUE"""),"86278ec4bbdcadd945d79df6c695c2ec")</f>
        <v>86278ec4bbdcadd945d79df6c695c2ec</v>
      </c>
      <c r="B16" s="18">
        <f>IFERROR(__xludf.DUMMYFUNCTION("""COMPUTED_VALUE"""),45594.01041666667)</f>
        <v>45594.01042</v>
      </c>
      <c r="C16" s="4" t="b">
        <f>IFERROR(__xludf.DUMMYFUNCTION("""COMPUTED_VALUE"""),FALSE)</f>
        <v>0</v>
      </c>
      <c r="D16" s="4" t="str">
        <f>IFERROR(__xludf.DUMMYFUNCTION("""COMPUTED_VALUE"""),"BetMGM")</f>
        <v>BetMGM</v>
      </c>
      <c r="E16" s="18">
        <f>IFERROR(__xludf.DUMMYFUNCTION("""COMPUTED_VALUE"""),45593.91604166667)</f>
        <v>45593.91604</v>
      </c>
      <c r="F16" s="4" t="str">
        <f>IFERROR(__xludf.DUMMYFUNCTION("""COMPUTED_VALUE"""),"Pittsburgh Steelers")</f>
        <v>Pittsburgh Steelers</v>
      </c>
      <c r="G16" s="4" t="str">
        <f>IFERROR(__xludf.DUMMYFUNCTION("""COMPUTED_VALUE"""),"New York Giants")</f>
        <v>New York Giants</v>
      </c>
      <c r="H16" s="4" t="str">
        <f>IFERROR(__xludf.DUMMYFUNCTION("""COMPUTED_VALUE"""),"spreads")</f>
        <v>spreads</v>
      </c>
      <c r="I16" s="4" t="str">
        <f>IFERROR(__xludf.DUMMYFUNCTION("""COMPUTED_VALUE"""),"New York Giants")</f>
        <v>New York Giants</v>
      </c>
      <c r="J16" s="4"/>
      <c r="K16" s="4">
        <f>IFERROR(__xludf.DUMMYFUNCTION("""COMPUTED_VALUE"""),-110.0)</f>
        <v>-110</v>
      </c>
      <c r="L16" s="4">
        <f>IFERROR(__xludf.DUMMYFUNCTION("""COMPUTED_VALUE"""),6.0)</f>
        <v>6</v>
      </c>
    </row>
    <row r="17">
      <c r="A17" s="4" t="str">
        <f>IFERROR(__xludf.DUMMYFUNCTION("""COMPUTED_VALUE"""),"86278ec4bbdcadd945d79df6c695c2ec")</f>
        <v>86278ec4bbdcadd945d79df6c695c2ec</v>
      </c>
      <c r="B17" s="18">
        <f>IFERROR(__xludf.DUMMYFUNCTION("""COMPUTED_VALUE"""),45594.01041666667)</f>
        <v>45594.01042</v>
      </c>
      <c r="C17" s="4" t="b">
        <f>IFERROR(__xludf.DUMMYFUNCTION("""COMPUTED_VALUE"""),FALSE)</f>
        <v>0</v>
      </c>
      <c r="D17" s="4" t="str">
        <f>IFERROR(__xludf.DUMMYFUNCTION("""COMPUTED_VALUE"""),"BetMGM")</f>
        <v>BetMGM</v>
      </c>
      <c r="E17" s="18">
        <f>IFERROR(__xludf.DUMMYFUNCTION("""COMPUTED_VALUE"""),45593.91604166667)</f>
        <v>45593.91604</v>
      </c>
      <c r="F17" s="4" t="str">
        <f>IFERROR(__xludf.DUMMYFUNCTION("""COMPUTED_VALUE"""),"Pittsburgh Steelers")</f>
        <v>Pittsburgh Steelers</v>
      </c>
      <c r="G17" s="4" t="str">
        <f>IFERROR(__xludf.DUMMYFUNCTION("""COMPUTED_VALUE"""),"New York Giants")</f>
        <v>New York Giants</v>
      </c>
      <c r="H17" s="4" t="str">
        <f>IFERROR(__xludf.DUMMYFUNCTION("""COMPUTED_VALUE"""),"spreads")</f>
        <v>spreads</v>
      </c>
      <c r="I17" s="4" t="str">
        <f>IFERROR(__xludf.DUMMYFUNCTION("""COMPUTED_VALUE"""),"Pittsburgh Steelers")</f>
        <v>Pittsburgh Steelers</v>
      </c>
      <c r="J17" s="4"/>
      <c r="K17" s="4">
        <f>IFERROR(__xludf.DUMMYFUNCTION("""COMPUTED_VALUE"""),-110.0)</f>
        <v>-110</v>
      </c>
      <c r="L17" s="4">
        <f>IFERROR(__xludf.DUMMYFUNCTION("""COMPUTED_VALUE"""),-6.0)</f>
        <v>-6</v>
      </c>
    </row>
    <row r="18">
      <c r="A18" s="4" t="str">
        <f>IFERROR(__xludf.DUMMYFUNCTION("""COMPUTED_VALUE"""),"86278ec4bbdcadd945d79df6c695c2ec")</f>
        <v>86278ec4bbdcadd945d79df6c695c2ec</v>
      </c>
      <c r="B18" s="18">
        <f>IFERROR(__xludf.DUMMYFUNCTION("""COMPUTED_VALUE"""),45594.01041666667)</f>
        <v>45594.01042</v>
      </c>
      <c r="C18" s="4" t="b">
        <f>IFERROR(__xludf.DUMMYFUNCTION("""COMPUTED_VALUE"""),FALSE)</f>
        <v>0</v>
      </c>
      <c r="D18" s="4" t="str">
        <f>IFERROR(__xludf.DUMMYFUNCTION("""COMPUTED_VALUE"""),"Bovada")</f>
        <v>Bovada</v>
      </c>
      <c r="E18" s="18">
        <f>IFERROR(__xludf.DUMMYFUNCTION("""COMPUTED_VALUE"""),45593.91564814815)</f>
        <v>45593.91565</v>
      </c>
      <c r="F18" s="4" t="str">
        <f>IFERROR(__xludf.DUMMYFUNCTION("""COMPUTED_VALUE"""),"Pittsburgh Steelers")</f>
        <v>Pittsburgh Steelers</v>
      </c>
      <c r="G18" s="4" t="str">
        <f>IFERROR(__xludf.DUMMYFUNCTION("""COMPUTED_VALUE"""),"New York Giants")</f>
        <v>New York Giants</v>
      </c>
      <c r="H18" s="4" t="str">
        <f>IFERROR(__xludf.DUMMYFUNCTION("""COMPUTED_VALUE"""),"spreads")</f>
        <v>spreads</v>
      </c>
      <c r="I18" s="4" t="str">
        <f>IFERROR(__xludf.DUMMYFUNCTION("""COMPUTED_VALUE"""),"New York Giants")</f>
        <v>New York Giants</v>
      </c>
      <c r="J18" s="4"/>
      <c r="K18" s="4">
        <f>IFERROR(__xludf.DUMMYFUNCTION("""COMPUTED_VALUE"""),-110.0)</f>
        <v>-110</v>
      </c>
      <c r="L18" s="4">
        <f>IFERROR(__xludf.DUMMYFUNCTION("""COMPUTED_VALUE"""),6.0)</f>
        <v>6</v>
      </c>
    </row>
    <row r="19">
      <c r="A19" s="4" t="str">
        <f>IFERROR(__xludf.DUMMYFUNCTION("""COMPUTED_VALUE"""),"86278ec4bbdcadd945d79df6c695c2ec")</f>
        <v>86278ec4bbdcadd945d79df6c695c2ec</v>
      </c>
      <c r="B19" s="18">
        <f>IFERROR(__xludf.DUMMYFUNCTION("""COMPUTED_VALUE"""),45594.01041666667)</f>
        <v>45594.01042</v>
      </c>
      <c r="C19" s="4" t="b">
        <f>IFERROR(__xludf.DUMMYFUNCTION("""COMPUTED_VALUE"""),FALSE)</f>
        <v>0</v>
      </c>
      <c r="D19" s="4" t="str">
        <f>IFERROR(__xludf.DUMMYFUNCTION("""COMPUTED_VALUE"""),"Bovada")</f>
        <v>Bovada</v>
      </c>
      <c r="E19" s="18">
        <f>IFERROR(__xludf.DUMMYFUNCTION("""COMPUTED_VALUE"""),45593.91564814815)</f>
        <v>45593.91565</v>
      </c>
      <c r="F19" s="4" t="str">
        <f>IFERROR(__xludf.DUMMYFUNCTION("""COMPUTED_VALUE"""),"Pittsburgh Steelers")</f>
        <v>Pittsburgh Steelers</v>
      </c>
      <c r="G19" s="4" t="str">
        <f>IFERROR(__xludf.DUMMYFUNCTION("""COMPUTED_VALUE"""),"New York Giants")</f>
        <v>New York Giants</v>
      </c>
      <c r="H19" s="4" t="str">
        <f>IFERROR(__xludf.DUMMYFUNCTION("""COMPUTED_VALUE"""),"spreads")</f>
        <v>spreads</v>
      </c>
      <c r="I19" s="4" t="str">
        <f>IFERROR(__xludf.DUMMYFUNCTION("""COMPUTED_VALUE"""),"Pittsburgh Steelers")</f>
        <v>Pittsburgh Steelers</v>
      </c>
      <c r="J19" s="4"/>
      <c r="K19" s="4">
        <f>IFERROR(__xludf.DUMMYFUNCTION("""COMPUTED_VALUE"""),-110.0)</f>
        <v>-110</v>
      </c>
      <c r="L19" s="4">
        <f>IFERROR(__xludf.DUMMYFUNCTION("""COMPUTED_VALUE"""),-6.0)</f>
        <v>-6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</row>
  </sheetData>
  <hyperlinks>
    <hyperlink r:id="rId1" ref="D8"/>
    <hyperlink r:id="rId2" ref="D9"/>
    <hyperlink r:id="rId3" ref="D10"/>
    <hyperlink r:id="rId4" ref="D11"/>
    <hyperlink r:id="rId5" ref="D12"/>
    <hyperlink r:id="rId6" ref="D13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>
        <v>1.0</v>
      </c>
      <c r="B1" s="21" t="s">
        <v>36</v>
      </c>
      <c r="C1" s="20">
        <v>1.0</v>
      </c>
      <c r="D1" s="21" t="s">
        <v>37</v>
      </c>
      <c r="E1" s="20">
        <v>1.0</v>
      </c>
    </row>
    <row r="2">
      <c r="A2" s="20">
        <v>2.0</v>
      </c>
      <c r="B2" s="21" t="s">
        <v>38</v>
      </c>
      <c r="C2" s="20">
        <v>2.0</v>
      </c>
      <c r="D2" s="21" t="s">
        <v>39</v>
      </c>
      <c r="E2" s="20">
        <v>2.0</v>
      </c>
    </row>
    <row r="3">
      <c r="A3" s="20">
        <v>3.0</v>
      </c>
      <c r="B3" s="21" t="s">
        <v>40</v>
      </c>
      <c r="C3" s="20">
        <v>3.0</v>
      </c>
      <c r="D3" s="21" t="s">
        <v>41</v>
      </c>
      <c r="E3" s="20">
        <v>3.0</v>
      </c>
    </row>
    <row r="4">
      <c r="A4" s="20">
        <v>4.0</v>
      </c>
      <c r="B4" s="21" t="s">
        <v>42</v>
      </c>
      <c r="C4" s="20">
        <v>4.0</v>
      </c>
      <c r="D4" s="21" t="s">
        <v>43</v>
      </c>
      <c r="E4" s="20">
        <v>4.0</v>
      </c>
    </row>
    <row r="5">
      <c r="A5" s="20">
        <v>5.0</v>
      </c>
      <c r="B5" s="21" t="s">
        <v>44</v>
      </c>
      <c r="C5" s="20">
        <v>5.0</v>
      </c>
      <c r="D5" s="21" t="s">
        <v>45</v>
      </c>
      <c r="E5" s="20">
        <v>5.0</v>
      </c>
    </row>
    <row r="6">
      <c r="A6" s="20">
        <v>6.0</v>
      </c>
      <c r="B6" s="21" t="s">
        <v>46</v>
      </c>
      <c r="C6" s="20">
        <v>6.0</v>
      </c>
      <c r="D6" s="21" t="s">
        <v>47</v>
      </c>
      <c r="E6" s="20">
        <v>6.0</v>
      </c>
    </row>
    <row r="7">
      <c r="A7" s="20">
        <v>7.0</v>
      </c>
      <c r="B7" s="21" t="s">
        <v>48</v>
      </c>
      <c r="C7" s="20">
        <v>7.0</v>
      </c>
      <c r="D7" s="21" t="s">
        <v>49</v>
      </c>
      <c r="E7" s="20">
        <v>7.0</v>
      </c>
    </row>
    <row r="8">
      <c r="A8" s="20">
        <v>8.0</v>
      </c>
      <c r="B8" s="21" t="s">
        <v>50</v>
      </c>
      <c r="C8" s="20">
        <v>8.0</v>
      </c>
      <c r="D8" s="21" t="s">
        <v>51</v>
      </c>
      <c r="E8" s="20">
        <v>8.0</v>
      </c>
    </row>
    <row r="9">
      <c r="A9" s="20">
        <v>9.0</v>
      </c>
      <c r="B9" s="21" t="s">
        <v>52</v>
      </c>
      <c r="C9" s="20">
        <v>9.0</v>
      </c>
      <c r="D9" s="21" t="s">
        <v>53</v>
      </c>
      <c r="E9" s="20">
        <v>9.0</v>
      </c>
    </row>
    <row r="10">
      <c r="A10" s="20">
        <v>10.0</v>
      </c>
      <c r="B10" s="21" t="s">
        <v>54</v>
      </c>
      <c r="C10" s="20">
        <v>10.0</v>
      </c>
      <c r="D10" s="21" t="s">
        <v>55</v>
      </c>
      <c r="E10" s="20">
        <v>10.0</v>
      </c>
    </row>
    <row r="11">
      <c r="A11" s="20">
        <v>11.0</v>
      </c>
      <c r="B11" s="21" t="s">
        <v>56</v>
      </c>
      <c r="C11" s="20">
        <v>11.0</v>
      </c>
      <c r="D11" s="21" t="s">
        <v>57</v>
      </c>
      <c r="E11" s="20">
        <v>11.0</v>
      </c>
    </row>
    <row r="12">
      <c r="A12" s="20">
        <v>12.0</v>
      </c>
      <c r="B12" s="21" t="s">
        <v>58</v>
      </c>
      <c r="C12" s="20">
        <v>12.0</v>
      </c>
      <c r="D12" s="21" t="s">
        <v>59</v>
      </c>
      <c r="E12" s="20">
        <v>12.0</v>
      </c>
    </row>
    <row r="13">
      <c r="A13" s="20">
        <v>13.0</v>
      </c>
      <c r="B13" s="21" t="s">
        <v>60</v>
      </c>
      <c r="C13" s="20">
        <v>13.0</v>
      </c>
      <c r="D13" s="21" t="s">
        <v>61</v>
      </c>
      <c r="E13" s="20">
        <v>13.0</v>
      </c>
    </row>
    <row r="14">
      <c r="A14" s="20">
        <v>14.0</v>
      </c>
      <c r="B14" s="21" t="s">
        <v>62</v>
      </c>
      <c r="C14" s="20">
        <v>14.0</v>
      </c>
      <c r="D14" s="21" t="s">
        <v>63</v>
      </c>
      <c r="E14" s="20">
        <v>14.0</v>
      </c>
    </row>
    <row r="15">
      <c r="A15" s="20">
        <v>15.0</v>
      </c>
      <c r="B15" s="21" t="s">
        <v>64</v>
      </c>
      <c r="C15" s="20">
        <v>15.0</v>
      </c>
      <c r="D15" s="21" t="s">
        <v>65</v>
      </c>
      <c r="E15" s="20">
        <v>15.0</v>
      </c>
    </row>
    <row r="16">
      <c r="A16" s="20">
        <v>16.0</v>
      </c>
      <c r="B16" s="21" t="s">
        <v>66</v>
      </c>
      <c r="C16" s="20">
        <v>16.0</v>
      </c>
      <c r="D16" s="21" t="s">
        <v>67</v>
      </c>
      <c r="E16" s="20">
        <v>16.0</v>
      </c>
    </row>
    <row r="17">
      <c r="A17" s="20">
        <v>17.0</v>
      </c>
      <c r="B17" s="21" t="s">
        <v>68</v>
      </c>
      <c r="C17" s="20">
        <v>17.0</v>
      </c>
      <c r="D17" s="21" t="s">
        <v>69</v>
      </c>
      <c r="E17" s="20">
        <v>17.0</v>
      </c>
    </row>
    <row r="18">
      <c r="A18" s="20">
        <v>18.0</v>
      </c>
      <c r="B18" s="21" t="s">
        <v>70</v>
      </c>
      <c r="C18" s="20">
        <v>18.0</v>
      </c>
      <c r="D18" s="21" t="s">
        <v>71</v>
      </c>
      <c r="E18" s="20">
        <v>18.0</v>
      </c>
    </row>
    <row r="19">
      <c r="A19" s="20">
        <v>19.0</v>
      </c>
      <c r="B19" s="21" t="s">
        <v>72</v>
      </c>
      <c r="C19" s="20">
        <v>19.0</v>
      </c>
      <c r="D19" s="21" t="s">
        <v>73</v>
      </c>
      <c r="E19" s="20">
        <v>19.0</v>
      </c>
    </row>
    <row r="20">
      <c r="A20" s="20">
        <v>20.0</v>
      </c>
      <c r="B20" s="21" t="s">
        <v>74</v>
      </c>
      <c r="C20" s="20">
        <v>20.0</v>
      </c>
      <c r="D20" s="21" t="s">
        <v>75</v>
      </c>
      <c r="E20" s="20">
        <v>20.0</v>
      </c>
    </row>
    <row r="21">
      <c r="A21" s="20">
        <v>21.0</v>
      </c>
      <c r="B21" s="21" t="s">
        <v>76</v>
      </c>
      <c r="C21" s="20">
        <v>21.0</v>
      </c>
      <c r="D21" s="21" t="s">
        <v>77</v>
      </c>
      <c r="E21" s="20">
        <v>21.0</v>
      </c>
    </row>
    <row r="22">
      <c r="A22" s="20">
        <v>22.0</v>
      </c>
      <c r="B22" s="21" t="s">
        <v>78</v>
      </c>
      <c r="C22" s="20">
        <v>22.0</v>
      </c>
      <c r="D22" s="21" t="s">
        <v>79</v>
      </c>
      <c r="E22" s="20">
        <v>22.0</v>
      </c>
    </row>
    <row r="23">
      <c r="A23" s="20">
        <v>23.0</v>
      </c>
      <c r="B23" s="21" t="s">
        <v>80</v>
      </c>
      <c r="C23" s="20">
        <v>23.0</v>
      </c>
      <c r="D23" s="21" t="s">
        <v>81</v>
      </c>
      <c r="E23" s="20">
        <v>23.0</v>
      </c>
    </row>
    <row r="24">
      <c r="A24" s="20">
        <v>24.0</v>
      </c>
      <c r="B24" s="21" t="s">
        <v>82</v>
      </c>
      <c r="C24" s="20">
        <v>24.0</v>
      </c>
      <c r="D24" s="21" t="s">
        <v>83</v>
      </c>
      <c r="E24" s="20">
        <v>24.0</v>
      </c>
    </row>
    <row r="25">
      <c r="A25" s="20">
        <v>25.0</v>
      </c>
      <c r="B25" s="21" t="s">
        <v>84</v>
      </c>
      <c r="C25" s="20">
        <v>25.0</v>
      </c>
      <c r="D25" s="21" t="s">
        <v>85</v>
      </c>
      <c r="E25" s="20">
        <v>25.0</v>
      </c>
    </row>
    <row r="26">
      <c r="A26" s="20">
        <v>26.0</v>
      </c>
      <c r="B26" s="21" t="s">
        <v>86</v>
      </c>
      <c r="C26" s="20">
        <v>26.0</v>
      </c>
      <c r="D26" s="21" t="s">
        <v>87</v>
      </c>
      <c r="E26" s="20">
        <v>26.0</v>
      </c>
    </row>
    <row r="27">
      <c r="A27" s="20">
        <v>27.0</v>
      </c>
      <c r="B27" s="21" t="s">
        <v>88</v>
      </c>
      <c r="C27" s="20">
        <v>27.0</v>
      </c>
      <c r="D27" s="21" t="s">
        <v>89</v>
      </c>
      <c r="E27" s="20">
        <v>27.0</v>
      </c>
    </row>
    <row r="28">
      <c r="A28" s="20">
        <v>28.0</v>
      </c>
      <c r="B28" s="21" t="s">
        <v>90</v>
      </c>
      <c r="C28" s="20">
        <v>28.0</v>
      </c>
      <c r="D28" s="21" t="s">
        <v>91</v>
      </c>
      <c r="E28" s="20">
        <v>28.0</v>
      </c>
    </row>
    <row r="29">
      <c r="A29" s="20">
        <v>29.0</v>
      </c>
      <c r="B29" s="21" t="s">
        <v>92</v>
      </c>
      <c r="C29" s="20">
        <v>29.0</v>
      </c>
      <c r="D29" s="21" t="s">
        <v>93</v>
      </c>
      <c r="E29" s="20">
        <v>29.0</v>
      </c>
    </row>
    <row r="30">
      <c r="A30" s="20">
        <v>30.0</v>
      </c>
      <c r="B30" s="21" t="s">
        <v>94</v>
      </c>
      <c r="C30" s="20">
        <v>30.0</v>
      </c>
      <c r="D30" s="21" t="s">
        <v>95</v>
      </c>
      <c r="E30" s="20">
        <v>30.0</v>
      </c>
    </row>
    <row r="31">
      <c r="A31" s="20">
        <v>31.0</v>
      </c>
      <c r="B31" s="21" t="s">
        <v>96</v>
      </c>
      <c r="C31" s="20">
        <v>31.0</v>
      </c>
      <c r="D31" s="21" t="s">
        <v>97</v>
      </c>
      <c r="E31" s="20">
        <v>31.0</v>
      </c>
    </row>
    <row r="32">
      <c r="A32" s="20">
        <v>32.0</v>
      </c>
      <c r="B32" s="21" t="s">
        <v>98</v>
      </c>
      <c r="C32" s="20">
        <v>32.0</v>
      </c>
      <c r="D32" s="21" t="s">
        <v>99</v>
      </c>
      <c r="E32" s="20">
        <v>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57"/>
    <col customWidth="1" min="3" max="3" width="22.0"/>
    <col customWidth="1" min="4" max="4" width="23.29"/>
    <col customWidth="1" min="5" max="5" width="24.71"/>
    <col customWidth="1" min="6" max="6" width="25.0"/>
    <col customWidth="1" min="7" max="7" width="26.43"/>
    <col customWidth="1" min="8" max="8" width="25.29"/>
    <col customWidth="1" min="9" max="27" width="8.71"/>
  </cols>
  <sheetData>
    <row r="1">
      <c r="A1" s="8"/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1" t="s">
        <v>22</v>
      </c>
    </row>
    <row r="2">
      <c r="A2" s="4">
        <f>VLOOKUP(B2,map!B:C,2,false)</f>
        <v>5</v>
      </c>
      <c r="B2" s="4" t="str">
        <f>IFERROR(__xludf.DUMMYFUNCTION("UNIQUE(pts!B2:B1000)"),"Detroit")</f>
        <v>Detroit</v>
      </c>
      <c r="C2" s="4">
        <f>VLOOKUP($B2,pts!$B:$D,3,false)</f>
        <v>43.3</v>
      </c>
      <c r="D2" s="4">
        <f>VLOOKUP($B2,ptsA!$B:$D,3,false)</f>
        <v>17.3</v>
      </c>
      <c r="E2" s="4">
        <f>VLOOKUP($B2,ypp!$B:$D,3,false)</f>
        <v>6.6</v>
      </c>
      <c r="F2" s="4">
        <f>VLOOKUP($B2,yppA!$B:$D,3,false)</f>
        <v>5.6</v>
      </c>
      <c r="G2" s="4">
        <f>VLOOKUP($B2,plays!$B:$D,3,false)</f>
        <v>56.3</v>
      </c>
      <c r="H2" s="4">
        <v>1.0</v>
      </c>
    </row>
    <row r="3">
      <c r="A3" s="4">
        <f>VLOOKUP(B3,map!B:C,2,false)</f>
        <v>30</v>
      </c>
      <c r="B3" s="4" t="str">
        <f>IFERROR(__xludf.DUMMYFUNCTION("""COMPUTED_VALUE"""),"Baltimore")</f>
        <v>Baltimore</v>
      </c>
      <c r="C3" s="4">
        <f>VLOOKUP($B3,pts!$B:$D,3,false)</f>
        <v>31.7</v>
      </c>
      <c r="D3" s="4">
        <f>VLOOKUP($B3,ptsA!$B:$D,3,false)</f>
        <v>27.7</v>
      </c>
      <c r="E3" s="4">
        <f>VLOOKUP($B3,ypp!$B:$D,3,false)</f>
        <v>7.6</v>
      </c>
      <c r="F3" s="4">
        <f>VLOOKUP($B3,yppA!$B:$D,3,false)</f>
        <v>5.9</v>
      </c>
      <c r="G3" s="4">
        <f>VLOOKUP($B3,plays!$B:$D,3,false)</f>
        <v>60.3</v>
      </c>
      <c r="H3" s="4">
        <v>1.0</v>
      </c>
    </row>
    <row r="4">
      <c r="A4" s="4">
        <f>VLOOKUP(B4,map!B:C,2,false)</f>
        <v>8</v>
      </c>
      <c r="B4" s="4" t="str">
        <f>IFERROR(__xludf.DUMMYFUNCTION("""COMPUTED_VALUE"""),"Washington")</f>
        <v>Washington</v>
      </c>
      <c r="C4" s="4">
        <f>VLOOKUP($B4,pts!$B:$D,3,false)</f>
        <v>27</v>
      </c>
      <c r="D4" s="4">
        <f>VLOOKUP($B4,ptsA!$B:$D,3,false)</f>
        <v>17.3</v>
      </c>
      <c r="E4" s="4">
        <f>VLOOKUP($B4,ypp!$B:$D,3,false)</f>
        <v>6.3</v>
      </c>
      <c r="F4" s="4">
        <f>VLOOKUP($B4,yppA!$B:$D,3,false)</f>
        <v>5.8</v>
      </c>
      <c r="G4" s="4">
        <f>VLOOKUP($B4,plays!$B:$D,3,false)</f>
        <v>63.7</v>
      </c>
      <c r="H4" s="4">
        <v>1.0</v>
      </c>
    </row>
    <row r="5">
      <c r="A5" s="4">
        <f>VLOOKUP(B5,map!B:C,2,false)</f>
        <v>14</v>
      </c>
      <c r="B5" s="4" t="str">
        <f>IFERROR(__xludf.DUMMYFUNCTION("""COMPUTED_VALUE"""),"Tampa Bay")</f>
        <v>Tampa Bay</v>
      </c>
      <c r="C5" s="4">
        <f>VLOOKUP($B5,pts!$B:$D,3,false)</f>
        <v>36</v>
      </c>
      <c r="D5" s="4">
        <f>VLOOKUP($B5,ptsA!$B:$D,3,false)</f>
        <v>33</v>
      </c>
      <c r="E5" s="4">
        <f>VLOOKUP($B5,ypp!$B:$D,3,false)</f>
        <v>6.8</v>
      </c>
      <c r="F5" s="4">
        <f>VLOOKUP($B5,yppA!$B:$D,3,false)</f>
        <v>6.7</v>
      </c>
      <c r="G5" s="4">
        <f>VLOOKUP($B5,plays!$B:$D,3,false)</f>
        <v>74</v>
      </c>
      <c r="H5" s="4">
        <v>1.0</v>
      </c>
    </row>
    <row r="6">
      <c r="A6" s="4">
        <f>VLOOKUP(B6,map!B:C,2,false)</f>
        <v>11</v>
      </c>
      <c r="B6" s="4" t="str">
        <f>IFERROR(__xludf.DUMMYFUNCTION("""COMPUTED_VALUE"""),"Buffalo")</f>
        <v>Buffalo</v>
      </c>
      <c r="C6" s="4">
        <f>VLOOKUP($B6,pts!$B:$D,3,false)</f>
        <v>29.3</v>
      </c>
      <c r="D6" s="4">
        <f>VLOOKUP($B6,ptsA!$B:$D,3,false)</f>
        <v>13.3</v>
      </c>
      <c r="E6" s="4">
        <f>VLOOKUP($B6,ypp!$B:$D,3,false)</f>
        <v>6.5</v>
      </c>
      <c r="F6" s="4">
        <f>VLOOKUP($B6,yppA!$B:$D,3,false)</f>
        <v>5.3</v>
      </c>
      <c r="G6" s="4">
        <f>VLOOKUP($B6,plays!$B:$D,3,false)</f>
        <v>61</v>
      </c>
      <c r="H6" s="4">
        <v>1.0</v>
      </c>
    </row>
    <row r="7">
      <c r="A7" s="4">
        <f>VLOOKUP(B7,map!B:C,2,false)</f>
        <v>15</v>
      </c>
      <c r="B7" s="4" t="str">
        <f>IFERROR(__xludf.DUMMYFUNCTION("""COMPUTED_VALUE"""),"Green Bay")</f>
        <v>Green Bay</v>
      </c>
      <c r="C7" s="4">
        <f>VLOOKUP($B7,pts!$B:$D,3,false)</f>
        <v>29.3</v>
      </c>
      <c r="D7" s="4">
        <f>VLOOKUP($B7,ptsA!$B:$D,3,false)</f>
        <v>20.7</v>
      </c>
      <c r="E7" s="4">
        <f>VLOOKUP($B7,ypp!$B:$D,3,false)</f>
        <v>5.9</v>
      </c>
      <c r="F7" s="4">
        <f>VLOOKUP($B7,yppA!$B:$D,3,false)</f>
        <v>5.3</v>
      </c>
      <c r="G7" s="4">
        <f>VLOOKUP($B7,plays!$B:$D,3,false)</f>
        <v>64.3</v>
      </c>
      <c r="H7" s="4">
        <v>1.0</v>
      </c>
    </row>
    <row r="8">
      <c r="A8" s="4">
        <f>VLOOKUP(B8,map!B:C,2,false)</f>
        <v>3</v>
      </c>
      <c r="B8" s="4" t="str">
        <f>IFERROR(__xludf.DUMMYFUNCTION("""COMPUTED_VALUE"""),"Minnesota")</f>
        <v>Minnesota</v>
      </c>
      <c r="C8" s="4">
        <f>VLOOKUP($B8,pts!$B:$D,3,false)</f>
        <v>24</v>
      </c>
      <c r="D8" s="4">
        <f>VLOOKUP($B8,ptsA!$B:$D,3,false)</f>
        <v>26</v>
      </c>
      <c r="E8" s="4">
        <f>VLOOKUP($B8,ypp!$B:$D,3,false)</f>
        <v>5.4</v>
      </c>
      <c r="F8" s="4">
        <f>VLOOKUP($B8,yppA!$B:$D,3,false)</f>
        <v>5.3</v>
      </c>
      <c r="G8" s="4">
        <f>VLOOKUP($B8,plays!$B:$D,3,false)</f>
        <v>56</v>
      </c>
      <c r="H8" s="4">
        <v>1.0</v>
      </c>
    </row>
    <row r="9">
      <c r="A9" s="4">
        <f>VLOOKUP(B9,map!B:C,2,false)</f>
        <v>25</v>
      </c>
      <c r="B9" s="4" t="str">
        <f>IFERROR(__xludf.DUMMYFUNCTION("""COMPUTED_VALUE"""),"San Francisco")</f>
        <v>San Francisco</v>
      </c>
      <c r="C9" s="4">
        <f>VLOOKUP($B9,pts!$B:$D,3,false)</f>
        <v>28</v>
      </c>
      <c r="D9" s="4">
        <f>VLOOKUP($B9,ptsA!$B:$D,3,false)</f>
        <v>25.3</v>
      </c>
      <c r="E9" s="4">
        <f>VLOOKUP($B9,ypp!$B:$D,3,false)</f>
        <v>7</v>
      </c>
      <c r="F9" s="4">
        <f>VLOOKUP($B9,yppA!$B:$D,3,false)</f>
        <v>4.9</v>
      </c>
      <c r="G9" s="4">
        <f>VLOOKUP($B9,plays!$B:$D,3,false)</f>
        <v>60.3</v>
      </c>
      <c r="H9" s="4">
        <v>1.0</v>
      </c>
    </row>
    <row r="10">
      <c r="A10" s="4">
        <f>VLOOKUP(B10,map!B:C,2,false)</f>
        <v>2</v>
      </c>
      <c r="B10" s="4" t="str">
        <f>IFERROR(__xludf.DUMMYFUNCTION("""COMPUTED_VALUE"""),"Kansas City")</f>
        <v>Kansas City</v>
      </c>
      <c r="C10" s="4">
        <f>VLOOKUP($B10,pts!$B:$D,3,false)</f>
        <v>27</v>
      </c>
      <c r="D10" s="4">
        <f>VLOOKUP($B10,ptsA!$B:$D,3,false)</f>
        <v>17</v>
      </c>
      <c r="E10" s="4">
        <f>VLOOKUP($B10,ypp!$B:$D,3,false)</f>
        <v>5.2</v>
      </c>
      <c r="F10" s="4">
        <f>VLOOKUP($B10,yppA!$B:$D,3,false)</f>
        <v>4.7</v>
      </c>
      <c r="G10" s="4">
        <f>VLOOKUP($B10,plays!$B:$D,3,false)</f>
        <v>72</v>
      </c>
      <c r="H10" s="4">
        <v>1.0</v>
      </c>
    </row>
    <row r="11">
      <c r="A11" s="4">
        <f>VLOOKUP(B11,map!B:C,2,false)</f>
        <v>12</v>
      </c>
      <c r="B11" s="4" t="str">
        <f>IFERROR(__xludf.DUMMYFUNCTION("""COMPUTED_VALUE"""),"Philadelphia")</f>
        <v>Philadelphia</v>
      </c>
      <c r="C11" s="4">
        <f>VLOOKUP($B11,pts!$B:$D,3,false)</f>
        <v>28.3</v>
      </c>
      <c r="D11" s="4">
        <f>VLOOKUP($B11,ptsA!$B:$D,3,false)</f>
        <v>12</v>
      </c>
      <c r="E11" s="4">
        <f>VLOOKUP($B11,ypp!$B:$D,3,false)</f>
        <v>6</v>
      </c>
      <c r="F11" s="4">
        <f>VLOOKUP($B11,yppA!$B:$D,3,false)</f>
        <v>3.9</v>
      </c>
      <c r="G11" s="4">
        <f>VLOOKUP($B11,plays!$B:$D,3,false)</f>
        <v>62</v>
      </c>
      <c r="H11" s="4">
        <v>1.0</v>
      </c>
    </row>
    <row r="12">
      <c r="A12" s="4">
        <f>VLOOKUP(B12,map!B:C,2,false)</f>
        <v>4</v>
      </c>
      <c r="B12" s="4" t="str">
        <f>IFERROR(__xludf.DUMMYFUNCTION("""COMPUTED_VALUE"""),"Cincinnati")</f>
        <v>Cincinnati</v>
      </c>
      <c r="C12" s="4">
        <f>VLOOKUP($B12,pts!$B:$D,3,false)</f>
        <v>18.3</v>
      </c>
      <c r="D12" s="4">
        <f>VLOOKUP($B12,ptsA!$B:$D,3,false)</f>
        <v>19.3</v>
      </c>
      <c r="E12" s="4">
        <f>VLOOKUP($B12,ypp!$B:$D,3,false)</f>
        <v>5</v>
      </c>
      <c r="F12" s="4">
        <f>VLOOKUP($B12,yppA!$B:$D,3,false)</f>
        <v>5</v>
      </c>
      <c r="G12" s="4">
        <f>VLOOKUP($B12,plays!$B:$D,3,false)</f>
        <v>54.3</v>
      </c>
      <c r="H12" s="4">
        <v>1.0</v>
      </c>
    </row>
    <row r="13">
      <c r="A13" s="4">
        <f>VLOOKUP(B13,map!B:C,2,false)</f>
        <v>28</v>
      </c>
      <c r="B13" s="4" t="str">
        <f>IFERROR(__xludf.DUMMYFUNCTION("""COMPUTED_VALUE"""),"Atlanta")</f>
        <v>Atlanta</v>
      </c>
      <c r="C13" s="4">
        <f>VLOOKUP($B13,pts!$B:$D,3,false)</f>
        <v>27.7</v>
      </c>
      <c r="D13" s="4">
        <f>VLOOKUP($B13,ptsA!$B:$D,3,false)</f>
        <v>26.7</v>
      </c>
      <c r="E13" s="4">
        <f>VLOOKUP($B13,ypp!$B:$D,3,false)</f>
        <v>6</v>
      </c>
      <c r="F13" s="4">
        <f>VLOOKUP($B13,yppA!$B:$D,3,false)</f>
        <v>5.8</v>
      </c>
      <c r="G13" s="4">
        <f>VLOOKUP($B13,plays!$B:$D,3,false)</f>
        <v>66.3</v>
      </c>
      <c r="H13" s="4">
        <v>1.0</v>
      </c>
    </row>
    <row r="14">
      <c r="A14" s="4">
        <f>VLOOKUP(B14,map!B:C,2,false)</f>
        <v>13</v>
      </c>
      <c r="B14" s="4" t="str">
        <f>IFERROR(__xludf.DUMMYFUNCTION("""COMPUTED_VALUE"""),"Seattle")</f>
        <v>Seattle</v>
      </c>
      <c r="C14" s="4">
        <f>VLOOKUP($B14,pts!$B:$D,3,false)</f>
        <v>22.7</v>
      </c>
      <c r="D14" s="4">
        <f>VLOOKUP($B14,ptsA!$B:$D,3,false)</f>
        <v>27</v>
      </c>
      <c r="E14" s="4">
        <f>VLOOKUP($B14,ypp!$B:$D,3,false)</f>
        <v>5.3</v>
      </c>
      <c r="F14" s="4">
        <f>VLOOKUP($B14,yppA!$B:$D,3,false)</f>
        <v>6.5</v>
      </c>
      <c r="G14" s="4">
        <f>VLOOKUP($B14,plays!$B:$D,3,false)</f>
        <v>58.7</v>
      </c>
      <c r="H14" s="4">
        <v>1.0</v>
      </c>
    </row>
    <row r="15">
      <c r="A15" s="4">
        <f>VLOOKUP(B15,map!B:C,2,false)</f>
        <v>17</v>
      </c>
      <c r="B15" s="4" t="str">
        <f>IFERROR(__xludf.DUMMYFUNCTION("""COMPUTED_VALUE"""),"Houston")</f>
        <v>Houston</v>
      </c>
      <c r="C15" s="4">
        <f>VLOOKUP($B15,pts!$B:$D,3,false)</f>
        <v>28.7</v>
      </c>
      <c r="D15" s="4">
        <f>VLOOKUP($B15,ptsA!$B:$D,3,false)</f>
        <v>21.7</v>
      </c>
      <c r="E15" s="4">
        <f>VLOOKUP($B15,ypp!$B:$D,3,false)</f>
        <v>4.9</v>
      </c>
      <c r="F15" s="4">
        <f>VLOOKUP($B15,yppA!$B:$D,3,false)</f>
        <v>4.8</v>
      </c>
      <c r="G15" s="4">
        <f>VLOOKUP($B15,plays!$B:$D,3,false)</f>
        <v>62.7</v>
      </c>
      <c r="H15" s="4">
        <v>1.0</v>
      </c>
    </row>
    <row r="16">
      <c r="A16" s="4">
        <f>VLOOKUP(B16,map!B:C,2,false)</f>
        <v>31</v>
      </c>
      <c r="B16" s="4" t="str">
        <f>IFERROR(__xludf.DUMMYFUNCTION("""COMPUTED_VALUE"""),"Chicago")</f>
        <v>Chicago</v>
      </c>
      <c r="C16" s="4">
        <f>VLOOKUP($B16,pts!$B:$D,3,false)</f>
        <v>28.7</v>
      </c>
      <c r="D16" s="4">
        <f>VLOOKUP($B16,ptsA!$B:$D,3,false)</f>
        <v>14.7</v>
      </c>
      <c r="E16" s="4">
        <f>VLOOKUP($B16,ypp!$B:$D,3,false)</f>
        <v>5.8</v>
      </c>
      <c r="F16" s="4">
        <f>VLOOKUP($B16,yppA!$B:$D,3,false)</f>
        <v>5.5</v>
      </c>
      <c r="G16" s="4">
        <f>VLOOKUP($B16,plays!$B:$D,3,false)</f>
        <v>63.3</v>
      </c>
      <c r="H16" s="4">
        <v>1.0</v>
      </c>
    </row>
    <row r="17">
      <c r="A17" s="4">
        <f>VLOOKUP(B17,map!B:C,2,false)</f>
        <v>9</v>
      </c>
      <c r="B17" s="4" t="str">
        <f>IFERROR(__xludf.DUMMYFUNCTION("""COMPUTED_VALUE"""),"New Orleans")</f>
        <v>New Orleans</v>
      </c>
      <c r="C17" s="4">
        <f>VLOOKUP($B17,pts!$B:$D,3,false)</f>
        <v>15</v>
      </c>
      <c r="D17" s="4">
        <f>VLOOKUP($B17,ptsA!$B:$D,3,false)</f>
        <v>36.7</v>
      </c>
      <c r="E17" s="4">
        <f>VLOOKUP($B17,ypp!$B:$D,3,false)</f>
        <v>4.7</v>
      </c>
      <c r="F17" s="4">
        <f>VLOOKUP($B17,yppA!$B:$D,3,false)</f>
        <v>6.9</v>
      </c>
      <c r="G17" s="4">
        <f>VLOOKUP($B17,plays!$B:$D,3,false)</f>
        <v>66.7</v>
      </c>
      <c r="H17" s="4">
        <v>1.0</v>
      </c>
    </row>
    <row r="18">
      <c r="A18" s="4">
        <f>VLOOKUP(B18,map!B:C,2,false)</f>
        <v>29</v>
      </c>
      <c r="B18" s="4" t="str">
        <f>IFERROR(__xludf.DUMMYFUNCTION("""COMPUTED_VALUE"""),"Pittsburgh")</f>
        <v>Pittsburgh</v>
      </c>
      <c r="C18" s="4">
        <f>VLOOKUP($B18,pts!$B:$D,3,false)</f>
        <v>28.7</v>
      </c>
      <c r="D18" s="4">
        <f>VLOOKUP($B18,ptsA!$B:$D,3,false)</f>
        <v>16</v>
      </c>
      <c r="E18" s="4">
        <f>VLOOKUP($B18,ypp!$B:$D,3,false)</f>
        <v>5</v>
      </c>
      <c r="F18" s="4">
        <f>VLOOKUP($B18,yppA!$B:$D,3,false)</f>
        <v>5.5</v>
      </c>
      <c r="G18" s="4">
        <f>VLOOKUP($B18,plays!$B:$D,3,false)</f>
        <v>61.7</v>
      </c>
      <c r="H18" s="4">
        <v>1.0</v>
      </c>
    </row>
    <row r="19">
      <c r="A19" s="4">
        <f>VLOOKUP(B19,map!B:C,2,false)</f>
        <v>21</v>
      </c>
      <c r="B19" s="4" t="str">
        <f>IFERROR(__xludf.DUMMYFUNCTION("""COMPUTED_VALUE"""),"Arizona")</f>
        <v>Arizona</v>
      </c>
      <c r="C19" s="4">
        <f>VLOOKUP($B19,pts!$B:$D,3,false)</f>
        <v>19.3</v>
      </c>
      <c r="D19" s="4">
        <f>VLOOKUP($B19,ptsA!$B:$D,3,false)</f>
        <v>25.3</v>
      </c>
      <c r="E19" s="4">
        <f>VLOOKUP($B19,ypp!$B:$D,3,false)</f>
        <v>5.9</v>
      </c>
      <c r="F19" s="4">
        <f>VLOOKUP($B19,yppA!$B:$D,3,false)</f>
        <v>6.1</v>
      </c>
      <c r="G19" s="4">
        <f>VLOOKUP($B19,plays!$B:$D,3,false)</f>
        <v>57.3</v>
      </c>
      <c r="H19" s="4">
        <v>1.0</v>
      </c>
    </row>
    <row r="20">
      <c r="A20" s="4">
        <f>VLOOKUP(B20,map!B:C,2,false)</f>
        <v>20</v>
      </c>
      <c r="B20" s="4" t="str">
        <f>IFERROR(__xludf.DUMMYFUNCTION("""COMPUTED_VALUE"""),"Indianapolis")</f>
        <v>Indianapolis</v>
      </c>
      <c r="C20" s="4">
        <f>VLOOKUP($B20,pts!$B:$D,3,false)</f>
        <v>18.7</v>
      </c>
      <c r="D20" s="4">
        <f>VLOOKUP($B20,ptsA!$B:$D,3,false)</f>
        <v>16.7</v>
      </c>
      <c r="E20" s="4">
        <f>VLOOKUP($B20,ypp!$B:$D,3,false)</f>
        <v>4.5</v>
      </c>
      <c r="F20" s="4">
        <f>VLOOKUP($B20,yppA!$B:$D,3,false)</f>
        <v>4.9</v>
      </c>
      <c r="G20" s="4">
        <f>VLOOKUP($B20,plays!$B:$D,3,false)</f>
        <v>63.3</v>
      </c>
      <c r="H20" s="4">
        <v>1.0</v>
      </c>
    </row>
    <row r="21" ht="15.75" customHeight="1">
      <c r="A21" s="4">
        <f>VLOOKUP(B21,map!B:C,2,false)</f>
        <v>27</v>
      </c>
      <c r="B21" s="4" t="str">
        <f>IFERROR(__xludf.DUMMYFUNCTION("""COMPUTED_VALUE"""),"Denver")</f>
        <v>Denver</v>
      </c>
      <c r="C21" s="4">
        <f>VLOOKUP($B21,pts!$B:$D,3,false)</f>
        <v>25.7</v>
      </c>
      <c r="D21" s="4">
        <f>VLOOKUP($B21,ptsA!$B:$D,3,false)</f>
        <v>15.7</v>
      </c>
      <c r="E21" s="4">
        <f>VLOOKUP($B21,ypp!$B:$D,3,false)</f>
        <v>5.9</v>
      </c>
      <c r="F21" s="4">
        <f>VLOOKUP($B21,yppA!$B:$D,3,false)</f>
        <v>4.5</v>
      </c>
      <c r="G21" s="4">
        <f>VLOOKUP($B21,plays!$B:$D,3,false)</f>
        <v>62.3</v>
      </c>
      <c r="H21" s="4">
        <v>1.0</v>
      </c>
    </row>
    <row r="22" ht="15.75" customHeight="1">
      <c r="A22" s="4">
        <f>VLOOKUP(B22,map!B:C,2,false)</f>
        <v>6</v>
      </c>
      <c r="B22" s="4" t="str">
        <f>IFERROR(__xludf.DUMMYFUNCTION("""COMPUTED_VALUE"""),"Jacksonville")</f>
        <v>Jacksonville</v>
      </c>
      <c r="C22" s="4">
        <f>VLOOKUP($B22,pts!$B:$D,3,false)</f>
        <v>25</v>
      </c>
      <c r="D22" s="4">
        <f>VLOOKUP($B22,ptsA!$B:$D,3,false)</f>
        <v>27</v>
      </c>
      <c r="E22" s="4">
        <f>VLOOKUP($B22,ypp!$B:$D,3,false)</f>
        <v>5.9</v>
      </c>
      <c r="F22" s="4">
        <f>VLOOKUP($B22,yppA!$B:$D,3,false)</f>
        <v>6</v>
      </c>
      <c r="G22" s="4">
        <f>VLOOKUP($B22,plays!$B:$D,3,false)</f>
        <v>58.3</v>
      </c>
      <c r="H22" s="4">
        <v>1.0</v>
      </c>
    </row>
    <row r="23" ht="15.75" customHeight="1">
      <c r="A23" s="4">
        <f>VLOOKUP(B23,map!B:C,2,false)</f>
        <v>1</v>
      </c>
      <c r="B23" s="4" t="str">
        <f>IFERROR(__xludf.DUMMYFUNCTION("""COMPUTED_VALUE"""),"Dallas")</f>
        <v>Dallas</v>
      </c>
      <c r="C23" s="4">
        <f>VLOOKUP($B23,pts!$B:$D,3,false)</f>
        <v>17.7</v>
      </c>
      <c r="D23" s="4">
        <f>VLOOKUP($B23,ptsA!$B:$D,3,false)</f>
        <v>31.3</v>
      </c>
      <c r="E23" s="4">
        <f>VLOOKUP($B23,ypp!$B:$D,3,false)</f>
        <v>5</v>
      </c>
      <c r="F23" s="4">
        <f>VLOOKUP($B23,yppA!$B:$D,3,false)</f>
        <v>6.3</v>
      </c>
      <c r="G23" s="4">
        <f>VLOOKUP($B23,plays!$B:$D,3,false)</f>
        <v>66.3</v>
      </c>
      <c r="H23" s="4">
        <v>1.0</v>
      </c>
    </row>
    <row r="24" ht="15.75" customHeight="1">
      <c r="A24" s="4">
        <f>VLOOKUP(B24,map!B:C,2,false)</f>
        <v>18</v>
      </c>
      <c r="B24" s="4" t="str">
        <f>IFERROR(__xludf.DUMMYFUNCTION("""COMPUTED_VALUE"""),"LA Rams")</f>
        <v>LA Rams</v>
      </c>
      <c r="C24" s="4">
        <f>VLOOKUP($B24,pts!$B:$D,3,false)</f>
        <v>23</v>
      </c>
      <c r="D24" s="4">
        <f>VLOOKUP($B24,ptsA!$B:$D,3,false)</f>
        <v>19.7</v>
      </c>
      <c r="E24" s="4">
        <f>VLOOKUP($B24,ypp!$B:$D,3,false)</f>
        <v>5.2</v>
      </c>
      <c r="F24" s="4">
        <f>VLOOKUP($B24,yppA!$B:$D,3,false)</f>
        <v>5</v>
      </c>
      <c r="G24" s="4">
        <f>VLOOKUP($B24,plays!$B:$D,3,false)</f>
        <v>64.7</v>
      </c>
      <c r="H24" s="4">
        <v>1.0</v>
      </c>
    </row>
    <row r="25" ht="15.75" customHeight="1">
      <c r="A25" s="4">
        <f>VLOOKUP(B25,map!B:C,2,false)</f>
        <v>7</v>
      </c>
      <c r="B25" s="4" t="str">
        <f>IFERROR(__xludf.DUMMYFUNCTION("""COMPUTED_VALUE"""),"LA Chargers")</f>
        <v>LA Chargers</v>
      </c>
      <c r="C25" s="4">
        <f>VLOOKUP($B25,pts!$B:$D,3,false)</f>
        <v>21.3</v>
      </c>
      <c r="D25" s="4">
        <f>VLOOKUP($B25,ptsA!$B:$D,3,false)</f>
        <v>13.7</v>
      </c>
      <c r="E25" s="4">
        <f>VLOOKUP($B25,ypp!$B:$D,3,false)</f>
        <v>5.5</v>
      </c>
      <c r="F25" s="4">
        <f>VLOOKUP($B25,yppA!$B:$D,3,false)</f>
        <v>5.7</v>
      </c>
      <c r="G25" s="4">
        <f>VLOOKUP($B25,plays!$B:$D,3,false)</f>
        <v>67.7</v>
      </c>
      <c r="H25" s="4">
        <v>1.0</v>
      </c>
    </row>
    <row r="26" ht="15.75" customHeight="1">
      <c r="A26" s="4">
        <f>VLOOKUP(B26,map!B:C,2,false)</f>
        <v>19</v>
      </c>
      <c r="B26" s="4" t="str">
        <f>IFERROR(__xludf.DUMMYFUNCTION("""COMPUTED_VALUE"""),"NY Jets")</f>
        <v>NY Jets</v>
      </c>
      <c r="C26" s="4">
        <f>VLOOKUP($B26,pts!$B:$D,3,false)</f>
        <v>19</v>
      </c>
      <c r="D26" s="4">
        <f>VLOOKUP($B26,ptsA!$B:$D,3,false)</f>
        <v>28.3</v>
      </c>
      <c r="E26" s="4">
        <f>VLOOKUP($B26,ypp!$B:$D,3,false)</f>
        <v>6.2</v>
      </c>
      <c r="F26" s="4">
        <f>VLOOKUP($B26,yppA!$B:$D,3,false)</f>
        <v>5.4</v>
      </c>
      <c r="G26" s="4">
        <f>VLOOKUP($B26,plays!$B:$D,3,false)</f>
        <v>57</v>
      </c>
      <c r="H26" s="4">
        <v>1.0</v>
      </c>
    </row>
    <row r="27" ht="15.75" customHeight="1">
      <c r="A27" s="4">
        <f>VLOOKUP(B27,map!B:C,2,false)</f>
        <v>24</v>
      </c>
      <c r="B27" s="4" t="str">
        <f>IFERROR(__xludf.DUMMYFUNCTION("""COMPUTED_VALUE"""),"Las Vegas")</f>
        <v>Las Vegas</v>
      </c>
      <c r="C27" s="4">
        <f>VLOOKUP($B27,pts!$B:$D,3,false)</f>
        <v>16</v>
      </c>
      <c r="D27" s="4">
        <f>VLOOKUP($B27,ptsA!$B:$D,3,false)</f>
        <v>26.3</v>
      </c>
      <c r="E27" s="4">
        <f>VLOOKUP($B27,ypp!$B:$D,3,false)</f>
        <v>4.3</v>
      </c>
      <c r="F27" s="4">
        <f>VLOOKUP($B27,yppA!$B:$D,3,false)</f>
        <v>4.9</v>
      </c>
      <c r="G27" s="4">
        <f>VLOOKUP($B27,plays!$B:$D,3,false)</f>
        <v>63.7</v>
      </c>
      <c r="H27" s="4">
        <v>1.0</v>
      </c>
    </row>
    <row r="28" ht="15.75" customHeight="1">
      <c r="A28" s="4">
        <f>VLOOKUP(B28,map!B:C,2,false)</f>
        <v>16</v>
      </c>
      <c r="B28" s="4" t="str">
        <f>IFERROR(__xludf.DUMMYFUNCTION("""COMPUTED_VALUE"""),"Cleveland")</f>
        <v>Cleveland</v>
      </c>
      <c r="C28" s="4">
        <f>VLOOKUP($B28,pts!$B:$D,3,false)</f>
        <v>19.7</v>
      </c>
      <c r="D28" s="4">
        <f>VLOOKUP($B28,ptsA!$B:$D,3,false)</f>
        <v>21.7</v>
      </c>
      <c r="E28" s="4">
        <f>VLOOKUP($B28,ypp!$B:$D,3,false)</f>
        <v>5</v>
      </c>
      <c r="F28" s="4">
        <f>VLOOKUP($B28,yppA!$B:$D,3,false)</f>
        <v>5.5</v>
      </c>
      <c r="G28" s="4">
        <f>VLOOKUP($B28,plays!$B:$D,3,false)</f>
        <v>65.3</v>
      </c>
      <c r="H28" s="4">
        <v>1.0</v>
      </c>
    </row>
    <row r="29" ht="15.75" customHeight="1">
      <c r="A29" s="4">
        <f>VLOOKUP(B29,map!B:C,2,false)</f>
        <v>32</v>
      </c>
      <c r="B29" s="4" t="str">
        <f>IFERROR(__xludf.DUMMYFUNCTION("""COMPUTED_VALUE"""),"Tennessee")</f>
        <v>Tennessee</v>
      </c>
      <c r="C29" s="4">
        <f>VLOOKUP($B29,pts!$B:$D,3,false)</f>
        <v>13.7</v>
      </c>
      <c r="D29" s="4">
        <f>VLOOKUP($B29,ptsA!$B:$D,3,false)</f>
        <v>35.3</v>
      </c>
      <c r="E29" s="4">
        <f>VLOOKUP($B29,ypp!$B:$D,3,false)</f>
        <v>4.9</v>
      </c>
      <c r="F29" s="4">
        <f>VLOOKUP($B29,yppA!$B:$D,3,false)</f>
        <v>5.3</v>
      </c>
      <c r="G29" s="4">
        <f>VLOOKUP($B29,plays!$B:$D,3,false)</f>
        <v>64.3</v>
      </c>
      <c r="H29" s="4">
        <v>1.0</v>
      </c>
    </row>
    <row r="30" ht="15.75" customHeight="1">
      <c r="A30" s="4">
        <f>VLOOKUP(B30,map!B:C,2,false)</f>
        <v>22</v>
      </c>
      <c r="B30" s="4" t="str">
        <f>IFERROR(__xludf.DUMMYFUNCTION("""COMPUTED_VALUE"""),"New England")</f>
        <v>New England</v>
      </c>
      <c r="C30" s="4">
        <f>VLOOKUP($B30,pts!$B:$D,3,false)</f>
        <v>20.7</v>
      </c>
      <c r="D30" s="4">
        <f>VLOOKUP($B30,ptsA!$B:$D,3,false)</f>
        <v>31.7</v>
      </c>
      <c r="E30" s="4">
        <f>VLOOKUP($B30,ypp!$B:$D,3,false)</f>
        <v>4.6</v>
      </c>
      <c r="F30" s="4">
        <f>VLOOKUP($B30,yppA!$B:$D,3,false)</f>
        <v>6</v>
      </c>
      <c r="G30" s="4">
        <f>VLOOKUP($B30,plays!$B:$D,3,false)</f>
        <v>60</v>
      </c>
      <c r="H30" s="4">
        <v>1.0</v>
      </c>
    </row>
    <row r="31" ht="15.75" customHeight="1">
      <c r="A31" s="4">
        <f>VLOOKUP(B31,map!B:C,2,false)</f>
        <v>23</v>
      </c>
      <c r="B31" s="4" t="str">
        <f>IFERROR(__xludf.DUMMYFUNCTION("""COMPUTED_VALUE"""),"Carolina")</f>
        <v>Carolina</v>
      </c>
      <c r="C31" s="4">
        <f>VLOOKUP($B31,pts!$B:$D,3,false)</f>
        <v>13.7</v>
      </c>
      <c r="D31" s="4">
        <f>VLOOKUP($B31,ptsA!$B:$D,3,false)</f>
        <v>35.3</v>
      </c>
      <c r="E31" s="4">
        <f>VLOOKUP($B31,ypp!$B:$D,3,false)</f>
        <v>4.8</v>
      </c>
      <c r="F31" s="4">
        <f>VLOOKUP($B31,yppA!$B:$D,3,false)</f>
        <v>6.1</v>
      </c>
      <c r="G31" s="4">
        <f>VLOOKUP($B31,plays!$B:$D,3,false)</f>
        <v>55</v>
      </c>
      <c r="H31" s="4">
        <v>1.0</v>
      </c>
    </row>
    <row r="32" ht="15.75" customHeight="1">
      <c r="A32" s="4">
        <f>VLOOKUP(B32,map!B:C,2,false)</f>
        <v>26</v>
      </c>
      <c r="B32" s="4" t="str">
        <f>IFERROR(__xludf.DUMMYFUNCTION("""COMPUTED_VALUE"""),"NY Giants")</f>
        <v>NY Giants</v>
      </c>
      <c r="C32" s="4">
        <f>VLOOKUP($B32,pts!$B:$D,3,false)</f>
        <v>13</v>
      </c>
      <c r="D32" s="4">
        <f>VLOOKUP($B32,ptsA!$B:$D,3,false)</f>
        <v>21.7</v>
      </c>
      <c r="E32" s="4">
        <f>VLOOKUP($B32,ypp!$B:$D,3,false)</f>
        <v>4.2</v>
      </c>
      <c r="F32" s="4">
        <f>VLOOKUP($B32,yppA!$B:$D,3,false)</f>
        <v>5.6</v>
      </c>
      <c r="G32" s="4">
        <f>VLOOKUP($B32,plays!$B:$D,3,false)</f>
        <v>66.7</v>
      </c>
      <c r="H32" s="4">
        <v>1.0</v>
      </c>
    </row>
    <row r="33" ht="15.75" customHeight="1">
      <c r="A33" s="4">
        <f>VLOOKUP(B33,map!B:C,2,false)</f>
        <v>10</v>
      </c>
      <c r="B33" s="4" t="str">
        <f>IFERROR(__xludf.DUMMYFUNCTION("""COMPUTED_VALUE"""),"Miami")</f>
        <v>Miami</v>
      </c>
      <c r="C33" s="4">
        <f>VLOOKUP($B33,pts!$B:$D,3,false)</f>
        <v>17.3</v>
      </c>
      <c r="D33" s="4">
        <f>VLOOKUP($B33,ptsA!$B:$D,3,false)</f>
        <v>18</v>
      </c>
      <c r="E33" s="4">
        <f>VLOOKUP($B33,ypp!$B:$D,3,false)</f>
        <v>5.2</v>
      </c>
      <c r="F33" s="4">
        <f>VLOOKUP($B33,yppA!$B:$D,3,false)</f>
        <v>5.5</v>
      </c>
      <c r="G33" s="4">
        <f>VLOOKUP($B33,plays!$B:$D,3,false)</f>
        <v>69</v>
      </c>
      <c r="H33" s="4">
        <v>1.0</v>
      </c>
    </row>
    <row r="34" ht="15.75" customHeight="1">
      <c r="B34" s="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23</v>
      </c>
      <c r="B1" s="11" t="str">
        <f>IFERROR(__xludf.DUMMYFUNCTION("QUERY(IMPORTHTML(""https://www.teamrankings.com/nfl/stat/points-per-game?date=""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5</v>
      </c>
      <c r="B2" s="15" t="str">
        <f>IFERROR(__xludf.DUMMYFUNCTION("""COMPUTED_VALUE"""),"Detroit")</f>
        <v>Detroit</v>
      </c>
      <c r="C2" s="16">
        <f>IFERROR(__xludf.DUMMYFUNCTION("""COMPUTED_VALUE"""),33.4)</f>
        <v>33.4</v>
      </c>
      <c r="D2" s="16">
        <f>IFERROR(__xludf.DUMMYFUNCTION("""COMPUTED_VALUE"""),43.3)</f>
        <v>43.3</v>
      </c>
      <c r="E2" s="16">
        <f>IFERROR(__xludf.DUMMYFUNCTION("""COMPUTED_VALUE"""),52.0)</f>
        <v>52</v>
      </c>
      <c r="F2" s="16">
        <f>IFERROR(__xludf.DUMMYFUNCTION("""COMPUTED_VALUE"""),34.0)</f>
        <v>34</v>
      </c>
      <c r="G2" s="16">
        <f>IFERROR(__xludf.DUMMYFUNCTION("""COMPUTED_VALUE"""),32.7)</f>
        <v>32.7</v>
      </c>
      <c r="H2" s="16">
        <f>IFERROR(__xludf.DUMMYFUNCTION("""COMPUTED_VALUE"""),27.4)</f>
        <v>27.4</v>
      </c>
    </row>
    <row r="3">
      <c r="A3" s="14">
        <f>VLOOKUP(B3,map!B:C,2,false)</f>
        <v>30</v>
      </c>
      <c r="B3" s="15" t="str">
        <f>IFERROR(__xludf.DUMMYFUNCTION("""COMPUTED_VALUE"""),"Baltimore")</f>
        <v>Baltimore</v>
      </c>
      <c r="C3" s="16">
        <f>IFERROR(__xludf.DUMMYFUNCTION("""COMPUTED_VALUE"""),30.3)</f>
        <v>30.3</v>
      </c>
      <c r="D3" s="16">
        <f>IFERROR(__xludf.DUMMYFUNCTION("""COMPUTED_VALUE"""),31.7)</f>
        <v>31.7</v>
      </c>
      <c r="E3" s="16">
        <f>IFERROR(__xludf.DUMMYFUNCTION("""COMPUTED_VALUE"""),24.0)</f>
        <v>24</v>
      </c>
      <c r="F3" s="16">
        <f>IFERROR(__xludf.DUMMYFUNCTION("""COMPUTED_VALUE"""),29.3)</f>
        <v>29.3</v>
      </c>
      <c r="G3" s="16">
        <f>IFERROR(__xludf.DUMMYFUNCTION("""COMPUTED_VALUE"""),30.8)</f>
        <v>30.8</v>
      </c>
      <c r="H3" s="16">
        <f>IFERROR(__xludf.DUMMYFUNCTION("""COMPUTED_VALUE"""),27.7)</f>
        <v>27.7</v>
      </c>
    </row>
    <row r="4">
      <c r="A4" s="14">
        <f>VLOOKUP(B4,map!B:C,2,false)</f>
        <v>8</v>
      </c>
      <c r="B4" s="15" t="str">
        <f>IFERROR(__xludf.DUMMYFUNCTION("""COMPUTED_VALUE"""),"Washington")</f>
        <v>Washington</v>
      </c>
      <c r="C4" s="16">
        <f>IFERROR(__xludf.DUMMYFUNCTION("""COMPUTED_VALUE"""),29.5)</f>
        <v>29.5</v>
      </c>
      <c r="D4" s="16">
        <f>IFERROR(__xludf.DUMMYFUNCTION("""COMPUTED_VALUE"""),27.0)</f>
        <v>27</v>
      </c>
      <c r="E4" s="16">
        <f>IFERROR(__xludf.DUMMYFUNCTION("""COMPUTED_VALUE"""),18.0)</f>
        <v>18</v>
      </c>
      <c r="F4" s="16">
        <f>IFERROR(__xludf.DUMMYFUNCTION("""COMPUTED_VALUE"""),28.3)</f>
        <v>28.3</v>
      </c>
      <c r="G4" s="16">
        <f>IFERROR(__xludf.DUMMYFUNCTION("""COMPUTED_VALUE"""),30.8)</f>
        <v>30.8</v>
      </c>
      <c r="H4" s="16">
        <f>IFERROR(__xludf.DUMMYFUNCTION("""COMPUTED_VALUE"""),19.4)</f>
        <v>19.4</v>
      </c>
    </row>
    <row r="5">
      <c r="A5" s="14">
        <f>VLOOKUP(B5,map!B:C,2,false)</f>
        <v>14</v>
      </c>
      <c r="B5" s="15" t="str">
        <f>IFERROR(__xludf.DUMMYFUNCTION("""COMPUTED_VALUE"""),"Tampa Bay")</f>
        <v>Tampa Bay</v>
      </c>
      <c r="C5" s="16">
        <f>IFERROR(__xludf.DUMMYFUNCTION("""COMPUTED_VALUE"""),29.4)</f>
        <v>29.4</v>
      </c>
      <c r="D5" s="16">
        <f>IFERROR(__xludf.DUMMYFUNCTION("""COMPUTED_VALUE"""),36.0)</f>
        <v>36</v>
      </c>
      <c r="E5" s="16">
        <f>IFERROR(__xludf.DUMMYFUNCTION("""COMPUTED_VALUE"""),26.0)</f>
        <v>26</v>
      </c>
      <c r="F5" s="16">
        <f>IFERROR(__xludf.DUMMYFUNCTION("""COMPUTED_VALUE"""),26.8)</f>
        <v>26.8</v>
      </c>
      <c r="G5" s="16">
        <f>IFERROR(__xludf.DUMMYFUNCTION("""COMPUTED_VALUE"""),33.7)</f>
        <v>33.7</v>
      </c>
      <c r="H5" s="16">
        <f>IFERROR(__xludf.DUMMYFUNCTION("""COMPUTED_VALUE"""),21.2)</f>
        <v>21.2</v>
      </c>
    </row>
    <row r="6">
      <c r="A6" s="14">
        <f>VLOOKUP(B6,map!B:C,2,false)</f>
        <v>11</v>
      </c>
      <c r="B6" s="15" t="str">
        <f>IFERROR(__xludf.DUMMYFUNCTION("""COMPUTED_VALUE"""),"Buffalo")</f>
        <v>Buffalo</v>
      </c>
      <c r="C6" s="16">
        <f>IFERROR(__xludf.DUMMYFUNCTION("""COMPUTED_VALUE"""),28.8)</f>
        <v>28.8</v>
      </c>
      <c r="D6" s="16">
        <f>IFERROR(__xludf.DUMMYFUNCTION("""COMPUTED_VALUE"""),29.3)</f>
        <v>29.3</v>
      </c>
      <c r="E6" s="16">
        <f>IFERROR(__xludf.DUMMYFUNCTION("""COMPUTED_VALUE"""),31.0)</f>
        <v>31</v>
      </c>
      <c r="F6" s="16">
        <f>IFERROR(__xludf.DUMMYFUNCTION("""COMPUTED_VALUE"""),38.3)</f>
        <v>38.3</v>
      </c>
      <c r="G6" s="16">
        <f>IFERROR(__xludf.DUMMYFUNCTION("""COMPUTED_VALUE"""),23.0)</f>
        <v>23</v>
      </c>
      <c r="H6" s="16">
        <f>IFERROR(__xludf.DUMMYFUNCTION("""COMPUTED_VALUE"""),26.6)</f>
        <v>26.6</v>
      </c>
    </row>
    <row r="7">
      <c r="A7" s="14">
        <f>VLOOKUP(B7,map!B:C,2,false)</f>
        <v>15</v>
      </c>
      <c r="B7" s="15" t="str">
        <f>IFERROR(__xludf.DUMMYFUNCTION("""COMPUTED_VALUE"""),"Green Bay")</f>
        <v>Green Bay</v>
      </c>
      <c r="C7" s="16">
        <f>IFERROR(__xludf.DUMMYFUNCTION("""COMPUTED_VALUE"""),27.0)</f>
        <v>27</v>
      </c>
      <c r="D7" s="16">
        <f>IFERROR(__xludf.DUMMYFUNCTION("""COMPUTED_VALUE"""),29.3)</f>
        <v>29.3</v>
      </c>
      <c r="E7" s="16">
        <f>IFERROR(__xludf.DUMMYFUNCTION("""COMPUTED_VALUE"""),30.0)</f>
        <v>30</v>
      </c>
      <c r="F7" s="16">
        <f>IFERROR(__xludf.DUMMYFUNCTION("""COMPUTED_VALUE"""),25.8)</f>
        <v>25.8</v>
      </c>
      <c r="G7" s="16">
        <f>IFERROR(__xludf.DUMMYFUNCTION("""COMPUTED_VALUE"""),28.3)</f>
        <v>28.3</v>
      </c>
      <c r="H7" s="16">
        <f>IFERROR(__xludf.DUMMYFUNCTION("""COMPUTED_VALUE"""),23.8)</f>
        <v>23.8</v>
      </c>
    </row>
    <row r="8">
      <c r="A8" s="14">
        <f>VLOOKUP(B8,map!B:C,2,false)</f>
        <v>3</v>
      </c>
      <c r="B8" s="15" t="str">
        <f>IFERROR(__xludf.DUMMYFUNCTION("""COMPUTED_VALUE"""),"Minnesota")</f>
        <v>Minnesota</v>
      </c>
      <c r="C8" s="16">
        <f>IFERROR(__xludf.DUMMYFUNCTION("""COMPUTED_VALUE"""),26.9)</f>
        <v>26.9</v>
      </c>
      <c r="D8" s="16">
        <f>IFERROR(__xludf.DUMMYFUNCTION("""COMPUTED_VALUE"""),24.0)</f>
        <v>24</v>
      </c>
      <c r="E8" s="16">
        <f>IFERROR(__xludf.DUMMYFUNCTION("""COMPUTED_VALUE"""),20.0)</f>
        <v>20</v>
      </c>
      <c r="F8" s="16">
        <f>IFERROR(__xludf.DUMMYFUNCTION("""COMPUTED_VALUE"""),28.7)</f>
        <v>28.7</v>
      </c>
      <c r="G8" s="16">
        <f>IFERROR(__xludf.DUMMYFUNCTION("""COMPUTED_VALUE"""),25.5)</f>
        <v>25.5</v>
      </c>
      <c r="H8" s="16">
        <f>IFERROR(__xludf.DUMMYFUNCTION("""COMPUTED_VALUE"""),20.2)</f>
        <v>20.2</v>
      </c>
    </row>
    <row r="9">
      <c r="A9" s="14">
        <f>VLOOKUP(B9,map!B:C,2,false)</f>
        <v>25</v>
      </c>
      <c r="B9" s="15" t="str">
        <f>IFERROR(__xludf.DUMMYFUNCTION("""COMPUTED_VALUE"""),"San Francisco")</f>
        <v>San Francisco</v>
      </c>
      <c r="C9" s="16">
        <f>IFERROR(__xludf.DUMMYFUNCTION("""COMPUTED_VALUE"""),26.3)</f>
        <v>26.3</v>
      </c>
      <c r="D9" s="16">
        <f>IFERROR(__xludf.DUMMYFUNCTION("""COMPUTED_VALUE"""),28.0)</f>
        <v>28</v>
      </c>
      <c r="E9" s="16">
        <f>IFERROR(__xludf.DUMMYFUNCTION("""COMPUTED_VALUE"""),30.0)</f>
        <v>30</v>
      </c>
      <c r="F9" s="16">
        <f>IFERROR(__xludf.DUMMYFUNCTION("""COMPUTED_VALUE"""),26.6)</f>
        <v>26.6</v>
      </c>
      <c r="G9" s="16">
        <f>IFERROR(__xludf.DUMMYFUNCTION("""COMPUTED_VALUE"""),25.7)</f>
        <v>25.7</v>
      </c>
      <c r="H9" s="16">
        <f>IFERROR(__xludf.DUMMYFUNCTION("""COMPUTED_VALUE"""),28.6)</f>
        <v>28.6</v>
      </c>
    </row>
    <row r="10">
      <c r="A10" s="14">
        <f>VLOOKUP(B10,map!B:C,2,false)</f>
        <v>2</v>
      </c>
      <c r="B10" s="15" t="str">
        <f>IFERROR(__xludf.DUMMYFUNCTION("""COMPUTED_VALUE"""),"Kansas City")</f>
        <v>Kansas City</v>
      </c>
      <c r="C10" s="16">
        <f>IFERROR(__xludf.DUMMYFUNCTION("""COMPUTED_VALUE"""),24.7)</f>
        <v>24.7</v>
      </c>
      <c r="D10" s="16">
        <f>IFERROR(__xludf.DUMMYFUNCTION("""COMPUTED_VALUE"""),27.0)</f>
        <v>27</v>
      </c>
      <c r="E10" s="16">
        <f>IFERROR(__xludf.DUMMYFUNCTION("""COMPUTED_VALUE"""),27.0)</f>
        <v>27</v>
      </c>
      <c r="F10" s="16">
        <f>IFERROR(__xludf.DUMMYFUNCTION("""COMPUTED_VALUE"""),26.3)</f>
        <v>26.3</v>
      </c>
      <c r="G10" s="16">
        <f>IFERROR(__xludf.DUMMYFUNCTION("""COMPUTED_VALUE"""),23.5)</f>
        <v>23.5</v>
      </c>
      <c r="H10" s="16">
        <f>IFERROR(__xludf.DUMMYFUNCTION("""COMPUTED_VALUE"""),22.2)</f>
        <v>22.2</v>
      </c>
    </row>
    <row r="11">
      <c r="A11" s="14">
        <f>VLOOKUP(B11,map!B:C,2,false)</f>
        <v>12</v>
      </c>
      <c r="B11" s="15" t="str">
        <f>IFERROR(__xludf.DUMMYFUNCTION("""COMPUTED_VALUE"""),"Philadelphia")</f>
        <v>Philadelphia</v>
      </c>
      <c r="C11" s="16">
        <f>IFERROR(__xludf.DUMMYFUNCTION("""COMPUTED_VALUE"""),24.4)</f>
        <v>24.4</v>
      </c>
      <c r="D11" s="16">
        <f>IFERROR(__xludf.DUMMYFUNCTION("""COMPUTED_VALUE"""),28.3)</f>
        <v>28.3</v>
      </c>
      <c r="E11" s="16">
        <f>IFERROR(__xludf.DUMMYFUNCTION("""COMPUTED_VALUE"""),37.0)</f>
        <v>37</v>
      </c>
      <c r="F11" s="16">
        <f>IFERROR(__xludf.DUMMYFUNCTION("""COMPUTED_VALUE"""),20.5)</f>
        <v>20.5</v>
      </c>
      <c r="G11" s="16">
        <f>IFERROR(__xludf.DUMMYFUNCTION("""COMPUTED_VALUE"""),26.0)</f>
        <v>26</v>
      </c>
      <c r="H11" s="16">
        <f>IFERROR(__xludf.DUMMYFUNCTION("""COMPUTED_VALUE"""),24.6)</f>
        <v>24.6</v>
      </c>
    </row>
    <row r="12">
      <c r="A12" s="14">
        <f>VLOOKUP(B12,map!B:C,2,false)</f>
        <v>4</v>
      </c>
      <c r="B12" s="15" t="str">
        <f>IFERROR(__xludf.DUMMYFUNCTION("""COMPUTED_VALUE"""),"Cincinnati")</f>
        <v>Cincinnati</v>
      </c>
      <c r="C12" s="16">
        <f>IFERROR(__xludf.DUMMYFUNCTION("""COMPUTED_VALUE"""),24.4)</f>
        <v>24.4</v>
      </c>
      <c r="D12" s="16">
        <f>IFERROR(__xludf.DUMMYFUNCTION("""COMPUTED_VALUE"""),18.3)</f>
        <v>18.3</v>
      </c>
      <c r="E12" s="16">
        <f>IFERROR(__xludf.DUMMYFUNCTION("""COMPUTED_VALUE"""),17.0)</f>
        <v>17</v>
      </c>
      <c r="F12" s="16">
        <f>IFERROR(__xludf.DUMMYFUNCTION("""COMPUTED_VALUE"""),24.5)</f>
        <v>24.5</v>
      </c>
      <c r="G12" s="16">
        <f>IFERROR(__xludf.DUMMYFUNCTION("""COMPUTED_VALUE"""),24.3)</f>
        <v>24.3</v>
      </c>
      <c r="H12" s="16">
        <f>IFERROR(__xludf.DUMMYFUNCTION("""COMPUTED_VALUE"""),21.5)</f>
        <v>21.5</v>
      </c>
    </row>
    <row r="13">
      <c r="A13" s="14">
        <f>VLOOKUP(B13,map!B:C,2,false)</f>
        <v>28</v>
      </c>
      <c r="B13" s="15" t="str">
        <f>IFERROR(__xludf.DUMMYFUNCTION("""COMPUTED_VALUE"""),"Atlanta")</f>
        <v>Atlanta</v>
      </c>
      <c r="C13" s="16">
        <f>IFERROR(__xludf.DUMMYFUNCTION("""COMPUTED_VALUE"""),24.3)</f>
        <v>24.3</v>
      </c>
      <c r="D13" s="16">
        <f>IFERROR(__xludf.DUMMYFUNCTION("""COMPUTED_VALUE"""),27.7)</f>
        <v>27.7</v>
      </c>
      <c r="E13" s="16">
        <f>IFERROR(__xludf.DUMMYFUNCTION("""COMPUTED_VALUE"""),31.0)</f>
        <v>31</v>
      </c>
      <c r="F13" s="16">
        <f>IFERROR(__xludf.DUMMYFUNCTION("""COMPUTED_VALUE"""),20.6)</f>
        <v>20.6</v>
      </c>
      <c r="G13" s="16">
        <f>IFERROR(__xludf.DUMMYFUNCTION("""COMPUTED_VALUE"""),30.3)</f>
        <v>30.3</v>
      </c>
      <c r="H13" s="16">
        <f>IFERROR(__xludf.DUMMYFUNCTION("""COMPUTED_VALUE"""),18.9)</f>
        <v>18.9</v>
      </c>
    </row>
    <row r="14">
      <c r="A14" s="14">
        <f>VLOOKUP(B14,map!B:C,2,false)</f>
        <v>13</v>
      </c>
      <c r="B14" s="15" t="str">
        <f>IFERROR(__xludf.DUMMYFUNCTION("""COMPUTED_VALUE"""),"Seattle")</f>
        <v>Seattle</v>
      </c>
      <c r="C14" s="16">
        <f>IFERROR(__xludf.DUMMYFUNCTION("""COMPUTED_VALUE"""),23.8)</f>
        <v>23.8</v>
      </c>
      <c r="D14" s="16">
        <f>IFERROR(__xludf.DUMMYFUNCTION("""COMPUTED_VALUE"""),22.7)</f>
        <v>22.7</v>
      </c>
      <c r="E14" s="16">
        <f>IFERROR(__xludf.DUMMYFUNCTION("""COMPUTED_VALUE"""),10.0)</f>
        <v>10</v>
      </c>
      <c r="F14" s="16">
        <f>IFERROR(__xludf.DUMMYFUNCTION("""COMPUTED_VALUE"""),20.8)</f>
        <v>20.8</v>
      </c>
      <c r="G14" s="16">
        <f>IFERROR(__xludf.DUMMYFUNCTION("""COMPUTED_VALUE"""),28.7)</f>
        <v>28.7</v>
      </c>
      <c r="H14" s="16">
        <f>IFERROR(__xludf.DUMMYFUNCTION("""COMPUTED_VALUE"""),21.4)</f>
        <v>21.4</v>
      </c>
    </row>
    <row r="15">
      <c r="A15" s="14">
        <f>VLOOKUP(B15,map!B:C,2,false)</f>
        <v>17</v>
      </c>
      <c r="B15" s="15" t="str">
        <f>IFERROR(__xludf.DUMMYFUNCTION("""COMPUTED_VALUE"""),"Houston")</f>
        <v>Houston</v>
      </c>
      <c r="C15" s="16">
        <f>IFERROR(__xludf.DUMMYFUNCTION("""COMPUTED_VALUE"""),23.5)</f>
        <v>23.5</v>
      </c>
      <c r="D15" s="16">
        <f>IFERROR(__xludf.DUMMYFUNCTION("""COMPUTED_VALUE"""),28.7)</f>
        <v>28.7</v>
      </c>
      <c r="E15" s="16">
        <f>IFERROR(__xludf.DUMMYFUNCTION("""COMPUTED_VALUE"""),23.0)</f>
        <v>23</v>
      </c>
      <c r="F15" s="16">
        <f>IFERROR(__xludf.DUMMYFUNCTION("""COMPUTED_VALUE"""),22.3)</f>
        <v>22.3</v>
      </c>
      <c r="G15" s="16">
        <f>IFERROR(__xludf.DUMMYFUNCTION("""COMPUTED_VALUE"""),24.8)</f>
        <v>24.8</v>
      </c>
      <c r="H15" s="16">
        <f>IFERROR(__xludf.DUMMYFUNCTION("""COMPUTED_VALUE"""),22.7)</f>
        <v>22.7</v>
      </c>
    </row>
    <row r="16">
      <c r="A16" s="14">
        <f>VLOOKUP(B16,map!B:C,2,false)</f>
        <v>31</v>
      </c>
      <c r="B16" s="15" t="str">
        <f>IFERROR(__xludf.DUMMYFUNCTION("""COMPUTED_VALUE"""),"Chicago")</f>
        <v>Chicago</v>
      </c>
      <c r="C16" s="16">
        <f>IFERROR(__xludf.DUMMYFUNCTION("""COMPUTED_VALUE"""),23.3)</f>
        <v>23.3</v>
      </c>
      <c r="D16" s="16">
        <f>IFERROR(__xludf.DUMMYFUNCTION("""COMPUTED_VALUE"""),28.7)</f>
        <v>28.7</v>
      </c>
      <c r="E16" s="16">
        <f>IFERROR(__xludf.DUMMYFUNCTION("""COMPUTED_VALUE"""),15.0)</f>
        <v>15</v>
      </c>
      <c r="F16" s="16">
        <f>IFERROR(__xludf.DUMMYFUNCTION("""COMPUTED_VALUE"""),28.0)</f>
        <v>28</v>
      </c>
      <c r="G16" s="16">
        <f>IFERROR(__xludf.DUMMYFUNCTION("""COMPUTED_VALUE"""),19.8)</f>
        <v>19.8</v>
      </c>
      <c r="H16" s="16">
        <f>IFERROR(__xludf.DUMMYFUNCTION("""COMPUTED_VALUE"""),21.2)</f>
        <v>21.2</v>
      </c>
    </row>
    <row r="17">
      <c r="A17" s="14">
        <f>VLOOKUP(B17,map!B:C,2,false)</f>
        <v>9</v>
      </c>
      <c r="B17" s="15" t="str">
        <f>IFERROR(__xludf.DUMMYFUNCTION("""COMPUTED_VALUE"""),"New Orleans")</f>
        <v>New Orleans</v>
      </c>
      <c r="C17" s="16">
        <f>IFERROR(__xludf.DUMMYFUNCTION("""COMPUTED_VALUE"""),23.1)</f>
        <v>23.1</v>
      </c>
      <c r="D17" s="16">
        <f>IFERROR(__xludf.DUMMYFUNCTION("""COMPUTED_VALUE"""),15.0)</f>
        <v>15</v>
      </c>
      <c r="E17" s="16">
        <f>IFERROR(__xludf.DUMMYFUNCTION("""COMPUTED_VALUE"""),8.0)</f>
        <v>8</v>
      </c>
      <c r="F17" s="16">
        <f>IFERROR(__xludf.DUMMYFUNCTION("""COMPUTED_VALUE"""),24.0)</f>
        <v>24</v>
      </c>
      <c r="G17" s="16">
        <f>IFERROR(__xludf.DUMMYFUNCTION("""COMPUTED_VALUE"""),22.3)</f>
        <v>22.3</v>
      </c>
      <c r="H17" s="16">
        <f>IFERROR(__xludf.DUMMYFUNCTION("""COMPUTED_VALUE"""),23.6)</f>
        <v>23.6</v>
      </c>
    </row>
    <row r="18">
      <c r="A18" s="14">
        <f>VLOOKUP(B18,map!B:C,2,false)</f>
        <v>29</v>
      </c>
      <c r="B18" s="15" t="str">
        <f>IFERROR(__xludf.DUMMYFUNCTION("""COMPUTED_VALUE"""),"Pittsburgh")</f>
        <v>Pittsburgh</v>
      </c>
      <c r="C18" s="16">
        <f>IFERROR(__xludf.DUMMYFUNCTION("""COMPUTED_VALUE"""),23.0)</f>
        <v>23</v>
      </c>
      <c r="D18" s="16">
        <f>IFERROR(__xludf.DUMMYFUNCTION("""COMPUTED_VALUE"""),28.7)</f>
        <v>28.7</v>
      </c>
      <c r="E18" s="16">
        <f>IFERROR(__xludf.DUMMYFUNCTION("""COMPUTED_VALUE"""),37.0)</f>
        <v>37</v>
      </c>
      <c r="F18" s="16">
        <f>IFERROR(__xludf.DUMMYFUNCTION("""COMPUTED_VALUE"""),24.7)</f>
        <v>24.7</v>
      </c>
      <c r="G18" s="16">
        <f>IFERROR(__xludf.DUMMYFUNCTION("""COMPUTED_VALUE"""),21.8)</f>
        <v>21.8</v>
      </c>
      <c r="H18" s="16">
        <f>IFERROR(__xludf.DUMMYFUNCTION("""COMPUTED_VALUE"""),17.8)</f>
        <v>17.8</v>
      </c>
    </row>
    <row r="19">
      <c r="A19" s="14">
        <f>VLOOKUP(B19,map!B:C,2,false)</f>
        <v>21</v>
      </c>
      <c r="B19" s="15" t="str">
        <f>IFERROR(__xludf.DUMMYFUNCTION("""COMPUTED_VALUE"""),"Arizona")</f>
        <v>Arizona</v>
      </c>
      <c r="C19" s="16">
        <f>IFERROR(__xludf.DUMMYFUNCTION("""COMPUTED_VALUE"""),22.3)</f>
        <v>22.3</v>
      </c>
      <c r="D19" s="16">
        <f>IFERROR(__xludf.DUMMYFUNCTION("""COMPUTED_VALUE"""),19.3)</f>
        <v>19.3</v>
      </c>
      <c r="E19" s="16">
        <f>IFERROR(__xludf.DUMMYFUNCTION("""COMPUTED_VALUE"""),28.0)</f>
        <v>28</v>
      </c>
      <c r="F19" s="16">
        <f>IFERROR(__xludf.DUMMYFUNCTION("""COMPUTED_VALUE"""),21.3)</f>
        <v>21.3</v>
      </c>
      <c r="G19" s="16">
        <f>IFERROR(__xludf.DUMMYFUNCTION("""COMPUTED_VALUE"""),23.3)</f>
        <v>23.3</v>
      </c>
      <c r="H19" s="16">
        <f>IFERROR(__xludf.DUMMYFUNCTION("""COMPUTED_VALUE"""),19.4)</f>
        <v>19.4</v>
      </c>
    </row>
    <row r="20">
      <c r="A20" s="14">
        <f>VLOOKUP(B20,map!B:C,2,false)</f>
        <v>20</v>
      </c>
      <c r="B20" s="15" t="str">
        <f>IFERROR(__xludf.DUMMYFUNCTION("""COMPUTED_VALUE"""),"Indianapolis")</f>
        <v>Indianapolis</v>
      </c>
      <c r="C20" s="16">
        <f>IFERROR(__xludf.DUMMYFUNCTION("""COMPUTED_VALUE"""),21.9)</f>
        <v>21.9</v>
      </c>
      <c r="D20" s="16">
        <f>IFERROR(__xludf.DUMMYFUNCTION("""COMPUTED_VALUE"""),18.7)</f>
        <v>18.7</v>
      </c>
      <c r="E20" s="16">
        <f>IFERROR(__xludf.DUMMYFUNCTION("""COMPUTED_VALUE"""),20.0)</f>
        <v>20</v>
      </c>
      <c r="F20" s="16">
        <f>IFERROR(__xludf.DUMMYFUNCTION("""COMPUTED_VALUE"""),22.8)</f>
        <v>22.8</v>
      </c>
      <c r="G20" s="16">
        <f>IFERROR(__xludf.DUMMYFUNCTION("""COMPUTED_VALUE"""),21.0)</f>
        <v>21</v>
      </c>
      <c r="H20" s="16">
        <f>IFERROR(__xludf.DUMMYFUNCTION("""COMPUTED_VALUE"""),23.3)</f>
        <v>23.3</v>
      </c>
    </row>
    <row r="21">
      <c r="A21" s="14">
        <f>VLOOKUP(B21,map!B:C,2,false)</f>
        <v>27</v>
      </c>
      <c r="B21" s="15" t="str">
        <f>IFERROR(__xludf.DUMMYFUNCTION("""COMPUTED_VALUE"""),"Denver")</f>
        <v>Denver</v>
      </c>
      <c r="C21" s="16">
        <f>IFERROR(__xludf.DUMMYFUNCTION("""COMPUTED_VALUE"""),21.6)</f>
        <v>21.6</v>
      </c>
      <c r="D21" s="16">
        <f>IFERROR(__xludf.DUMMYFUNCTION("""COMPUTED_VALUE"""),25.7)</f>
        <v>25.7</v>
      </c>
      <c r="E21" s="16">
        <f>IFERROR(__xludf.DUMMYFUNCTION("""COMPUTED_VALUE"""),28.0)</f>
        <v>28</v>
      </c>
      <c r="F21" s="16">
        <f>IFERROR(__xludf.DUMMYFUNCTION("""COMPUTED_VALUE"""),21.0)</f>
        <v>21</v>
      </c>
      <c r="G21" s="16">
        <f>IFERROR(__xludf.DUMMYFUNCTION("""COMPUTED_VALUE"""),22.3)</f>
        <v>22.3</v>
      </c>
      <c r="H21" s="16">
        <f>IFERROR(__xludf.DUMMYFUNCTION("""COMPUTED_VALUE"""),21.0)</f>
        <v>21</v>
      </c>
    </row>
    <row r="22">
      <c r="A22" s="14">
        <f>VLOOKUP(B22,map!B:C,2,false)</f>
        <v>6</v>
      </c>
      <c r="B22" s="15" t="str">
        <f>IFERROR(__xludf.DUMMYFUNCTION("""COMPUTED_VALUE"""),"Jacksonville")</f>
        <v>Jacksonville</v>
      </c>
      <c r="C22" s="16">
        <f>IFERROR(__xludf.DUMMYFUNCTION("""COMPUTED_VALUE"""),21.5)</f>
        <v>21.5</v>
      </c>
      <c r="D22" s="16">
        <f>IFERROR(__xludf.DUMMYFUNCTION("""COMPUTED_VALUE"""),25.0)</f>
        <v>25</v>
      </c>
      <c r="E22" s="16">
        <f>IFERROR(__xludf.DUMMYFUNCTION("""COMPUTED_VALUE"""),27.0)</f>
        <v>27</v>
      </c>
      <c r="F22" s="16">
        <f>IFERROR(__xludf.DUMMYFUNCTION("""COMPUTED_VALUE"""),25.7)</f>
        <v>25.7</v>
      </c>
      <c r="G22" s="16">
        <f>IFERROR(__xludf.DUMMYFUNCTION("""COMPUTED_VALUE"""),19.0)</f>
        <v>19</v>
      </c>
      <c r="H22" s="16">
        <f>IFERROR(__xludf.DUMMYFUNCTION("""COMPUTED_VALUE"""),22.2)</f>
        <v>22.2</v>
      </c>
    </row>
    <row r="23">
      <c r="A23" s="14">
        <f>VLOOKUP(B23,map!B:C,2,false)</f>
        <v>1</v>
      </c>
      <c r="B23" s="15" t="str">
        <f>IFERROR(__xludf.DUMMYFUNCTION("""COMPUTED_VALUE"""),"Dallas")</f>
        <v>Dallas</v>
      </c>
      <c r="C23" s="16">
        <f>IFERROR(__xludf.DUMMYFUNCTION("""COMPUTED_VALUE"""),21.4)</f>
        <v>21.4</v>
      </c>
      <c r="D23" s="16">
        <f>IFERROR(__xludf.DUMMYFUNCTION("""COMPUTED_VALUE"""),17.7)</f>
        <v>17.7</v>
      </c>
      <c r="E23" s="16">
        <f>IFERROR(__xludf.DUMMYFUNCTION("""COMPUTED_VALUE"""),24.0)</f>
        <v>24</v>
      </c>
      <c r="F23" s="16">
        <f>IFERROR(__xludf.DUMMYFUNCTION("""COMPUTED_VALUE"""),17.7)</f>
        <v>17.7</v>
      </c>
      <c r="G23" s="16">
        <f>IFERROR(__xludf.DUMMYFUNCTION("""COMPUTED_VALUE"""),24.3)</f>
        <v>24.3</v>
      </c>
      <c r="H23" s="16">
        <f>IFERROR(__xludf.DUMMYFUNCTION("""COMPUTED_VALUE"""),30.1)</f>
        <v>30.1</v>
      </c>
    </row>
    <row r="24">
      <c r="A24" s="14">
        <f>VLOOKUP(B24,map!B:C,2,false)</f>
        <v>18</v>
      </c>
      <c r="B24" s="15" t="str">
        <f>IFERROR(__xludf.DUMMYFUNCTION("""COMPUTED_VALUE"""),"LA Rams")</f>
        <v>LA Rams</v>
      </c>
      <c r="C24" s="16">
        <f>IFERROR(__xludf.DUMMYFUNCTION("""COMPUTED_VALUE"""),20.6)</f>
        <v>20.6</v>
      </c>
      <c r="D24" s="16">
        <f>IFERROR(__xludf.DUMMYFUNCTION("""COMPUTED_VALUE"""),23.0)</f>
        <v>23</v>
      </c>
      <c r="E24" s="16">
        <f>IFERROR(__xludf.DUMMYFUNCTION("""COMPUTED_VALUE"""),30.0)</f>
        <v>30</v>
      </c>
      <c r="F24" s="16">
        <f>IFERROR(__xludf.DUMMYFUNCTION("""COMPUTED_VALUE"""),24.0)</f>
        <v>24</v>
      </c>
      <c r="G24" s="16">
        <f>IFERROR(__xludf.DUMMYFUNCTION("""COMPUTED_VALUE"""),16.0)</f>
        <v>16</v>
      </c>
      <c r="H24" s="16">
        <f>IFERROR(__xludf.DUMMYFUNCTION("""COMPUTED_VALUE"""),23.7)</f>
        <v>23.7</v>
      </c>
    </row>
    <row r="25">
      <c r="A25" s="14">
        <f>VLOOKUP(B25,map!B:C,2,false)</f>
        <v>7</v>
      </c>
      <c r="B25" s="15" t="str">
        <f>IFERROR(__xludf.DUMMYFUNCTION("""COMPUTED_VALUE"""),"LA Chargers")</f>
        <v>LA Chargers</v>
      </c>
      <c r="C25" s="16">
        <f>IFERROR(__xludf.DUMMYFUNCTION("""COMPUTED_VALUE"""),18.9)</f>
        <v>18.9</v>
      </c>
      <c r="D25" s="16">
        <f>IFERROR(__xludf.DUMMYFUNCTION("""COMPUTED_VALUE"""),21.3)</f>
        <v>21.3</v>
      </c>
      <c r="E25" s="16">
        <f>IFERROR(__xludf.DUMMYFUNCTION("""COMPUTED_VALUE"""),26.0)</f>
        <v>26</v>
      </c>
      <c r="F25" s="16">
        <f>IFERROR(__xludf.DUMMYFUNCTION("""COMPUTED_VALUE"""),19.3)</f>
        <v>19.3</v>
      </c>
      <c r="G25" s="16">
        <f>IFERROR(__xludf.DUMMYFUNCTION("""COMPUTED_VALUE"""),18.5)</f>
        <v>18.5</v>
      </c>
      <c r="H25" s="16">
        <f>IFERROR(__xludf.DUMMYFUNCTION("""COMPUTED_VALUE"""),20.4)</f>
        <v>20.4</v>
      </c>
    </row>
    <row r="26">
      <c r="A26" s="14">
        <f>VLOOKUP(B26,map!B:C,2,false)</f>
        <v>19</v>
      </c>
      <c r="B26" s="15" t="str">
        <f>IFERROR(__xludf.DUMMYFUNCTION("""COMPUTED_VALUE"""),"NY Jets")</f>
        <v>NY Jets</v>
      </c>
      <c r="C26" s="16">
        <f>IFERROR(__xludf.DUMMYFUNCTION("""COMPUTED_VALUE"""),18.8)</f>
        <v>18.8</v>
      </c>
      <c r="D26" s="16">
        <f>IFERROR(__xludf.DUMMYFUNCTION("""COMPUTED_VALUE"""),19.0)</f>
        <v>19</v>
      </c>
      <c r="E26" s="16">
        <f>IFERROR(__xludf.DUMMYFUNCTION("""COMPUTED_VALUE"""),22.0)</f>
        <v>22</v>
      </c>
      <c r="F26" s="16">
        <f>IFERROR(__xludf.DUMMYFUNCTION("""COMPUTED_VALUE"""),17.7)</f>
        <v>17.7</v>
      </c>
      <c r="G26" s="16">
        <f>IFERROR(__xludf.DUMMYFUNCTION("""COMPUTED_VALUE"""),19.4)</f>
        <v>19.4</v>
      </c>
      <c r="H26" s="16">
        <f>IFERROR(__xludf.DUMMYFUNCTION("""COMPUTED_VALUE"""),15.8)</f>
        <v>15.8</v>
      </c>
    </row>
    <row r="27">
      <c r="A27" s="14">
        <f>VLOOKUP(B27,map!B:C,2,false)</f>
        <v>24</v>
      </c>
      <c r="B27" s="15" t="str">
        <f>IFERROR(__xludf.DUMMYFUNCTION("""COMPUTED_VALUE"""),"Las Vegas")</f>
        <v>Las Vegas</v>
      </c>
      <c r="C27" s="16">
        <f>IFERROR(__xludf.DUMMYFUNCTION("""COMPUTED_VALUE"""),18.0)</f>
        <v>18</v>
      </c>
      <c r="D27" s="16">
        <f>IFERROR(__xludf.DUMMYFUNCTION("""COMPUTED_VALUE"""),16.0)</f>
        <v>16</v>
      </c>
      <c r="E27" s="16">
        <f>IFERROR(__xludf.DUMMYFUNCTION("""COMPUTED_VALUE"""),20.0)</f>
        <v>20</v>
      </c>
      <c r="F27" s="16">
        <f>IFERROR(__xludf.DUMMYFUNCTION("""COMPUTED_VALUE"""),18.8)</f>
        <v>18.8</v>
      </c>
      <c r="G27" s="16">
        <f>IFERROR(__xludf.DUMMYFUNCTION("""COMPUTED_VALUE"""),17.3)</f>
        <v>17.3</v>
      </c>
      <c r="H27" s="16">
        <f>IFERROR(__xludf.DUMMYFUNCTION("""COMPUTED_VALUE"""),19.5)</f>
        <v>19.5</v>
      </c>
    </row>
    <row r="28">
      <c r="A28" s="14">
        <f>VLOOKUP(B28,map!B:C,2,false)</f>
        <v>16</v>
      </c>
      <c r="B28" s="15" t="str">
        <f>IFERROR(__xludf.DUMMYFUNCTION("""COMPUTED_VALUE"""),"Cleveland")</f>
        <v>Cleveland</v>
      </c>
      <c r="C28" s="16">
        <f>IFERROR(__xludf.DUMMYFUNCTION("""COMPUTED_VALUE"""),17.3)</f>
        <v>17.3</v>
      </c>
      <c r="D28" s="16">
        <f>IFERROR(__xludf.DUMMYFUNCTION("""COMPUTED_VALUE"""),19.7)</f>
        <v>19.7</v>
      </c>
      <c r="E28" s="16">
        <f>IFERROR(__xludf.DUMMYFUNCTION("""COMPUTED_VALUE"""),29.0)</f>
        <v>29</v>
      </c>
      <c r="F28" s="16">
        <f>IFERROR(__xludf.DUMMYFUNCTION("""COMPUTED_VALUE"""),18.8)</f>
        <v>18.8</v>
      </c>
      <c r="G28" s="16">
        <f>IFERROR(__xludf.DUMMYFUNCTION("""COMPUTED_VALUE"""),15.8)</f>
        <v>15.8</v>
      </c>
      <c r="H28" s="16">
        <f>IFERROR(__xludf.DUMMYFUNCTION("""COMPUTED_VALUE"""),22.8)</f>
        <v>22.8</v>
      </c>
    </row>
    <row r="29">
      <c r="A29" s="14">
        <f>VLOOKUP(B29,map!B:C,2,false)</f>
        <v>32</v>
      </c>
      <c r="B29" s="15" t="str">
        <f>IFERROR(__xludf.DUMMYFUNCTION("""COMPUTED_VALUE"""),"Tennessee")</f>
        <v>Tennessee</v>
      </c>
      <c r="C29" s="16">
        <f>IFERROR(__xludf.DUMMYFUNCTION("""COMPUTED_VALUE"""),17.1)</f>
        <v>17.1</v>
      </c>
      <c r="D29" s="16">
        <f>IFERROR(__xludf.DUMMYFUNCTION("""COMPUTED_VALUE"""),13.7)</f>
        <v>13.7</v>
      </c>
      <c r="E29" s="16">
        <f>IFERROR(__xludf.DUMMYFUNCTION("""COMPUTED_VALUE"""),14.0)</f>
        <v>14</v>
      </c>
      <c r="F29" s="16">
        <f>IFERROR(__xludf.DUMMYFUNCTION("""COMPUTED_VALUE"""),16.0)</f>
        <v>16</v>
      </c>
      <c r="G29" s="16">
        <f>IFERROR(__xludf.DUMMYFUNCTION("""COMPUTED_VALUE"""),18.0)</f>
        <v>18</v>
      </c>
      <c r="H29" s="16">
        <f>IFERROR(__xludf.DUMMYFUNCTION("""COMPUTED_VALUE"""),17.9)</f>
        <v>17.9</v>
      </c>
    </row>
    <row r="30">
      <c r="A30" s="14">
        <f>VLOOKUP(B30,map!B:C,2,false)</f>
        <v>22</v>
      </c>
      <c r="B30" s="15" t="str">
        <f>IFERROR(__xludf.DUMMYFUNCTION("""COMPUTED_VALUE"""),"New England")</f>
        <v>New England</v>
      </c>
      <c r="C30" s="16">
        <f>IFERROR(__xludf.DUMMYFUNCTION("""COMPUTED_VALUE"""),15.5)</f>
        <v>15.5</v>
      </c>
      <c r="D30" s="16">
        <f>IFERROR(__xludf.DUMMYFUNCTION("""COMPUTED_VALUE"""),20.7)</f>
        <v>20.7</v>
      </c>
      <c r="E30" s="16">
        <f>IFERROR(__xludf.DUMMYFUNCTION("""COMPUTED_VALUE"""),25.0)</f>
        <v>25</v>
      </c>
      <c r="F30" s="16">
        <f>IFERROR(__xludf.DUMMYFUNCTION("""COMPUTED_VALUE"""),19.0)</f>
        <v>19</v>
      </c>
      <c r="G30" s="16">
        <f>IFERROR(__xludf.DUMMYFUNCTION("""COMPUTED_VALUE"""),12.0)</f>
        <v>12</v>
      </c>
      <c r="H30" s="16">
        <f>IFERROR(__xludf.DUMMYFUNCTION("""COMPUTED_VALUE"""),13.9)</f>
        <v>13.9</v>
      </c>
    </row>
    <row r="31">
      <c r="A31" s="14">
        <f>VLOOKUP(B31,map!B:C,2,false)</f>
        <v>23</v>
      </c>
      <c r="B31" s="15" t="str">
        <f>IFERROR(__xludf.DUMMYFUNCTION("""COMPUTED_VALUE"""),"Carolina")</f>
        <v>Carolina</v>
      </c>
      <c r="C31" s="16">
        <f>IFERROR(__xludf.DUMMYFUNCTION("""COMPUTED_VALUE"""),15.5)</f>
        <v>15.5</v>
      </c>
      <c r="D31" s="16">
        <f>IFERROR(__xludf.DUMMYFUNCTION("""COMPUTED_VALUE"""),13.7)</f>
        <v>13.7</v>
      </c>
      <c r="E31" s="16">
        <f>IFERROR(__xludf.DUMMYFUNCTION("""COMPUTED_VALUE"""),14.0)</f>
        <v>14</v>
      </c>
      <c r="F31" s="16">
        <f>IFERROR(__xludf.DUMMYFUNCTION("""COMPUTED_VALUE"""),15.7)</f>
        <v>15.7</v>
      </c>
      <c r="G31" s="16">
        <f>IFERROR(__xludf.DUMMYFUNCTION("""COMPUTED_VALUE"""),15.4)</f>
        <v>15.4</v>
      </c>
      <c r="H31" s="16">
        <f>IFERROR(__xludf.DUMMYFUNCTION("""COMPUTED_VALUE"""),13.9)</f>
        <v>13.9</v>
      </c>
    </row>
    <row r="32">
      <c r="A32" s="14">
        <f>VLOOKUP(B32,map!B:C,2,false)</f>
        <v>26</v>
      </c>
      <c r="B32" s="15" t="str">
        <f>IFERROR(__xludf.DUMMYFUNCTION("""COMPUTED_VALUE"""),"NY Giants")</f>
        <v>NY Giants</v>
      </c>
      <c r="C32" s="16">
        <f>IFERROR(__xludf.DUMMYFUNCTION("""COMPUTED_VALUE"""),14.1)</f>
        <v>14.1</v>
      </c>
      <c r="D32" s="16">
        <f>IFERROR(__xludf.DUMMYFUNCTION("""COMPUTED_VALUE"""),13.0)</f>
        <v>13</v>
      </c>
      <c r="E32" s="16">
        <f>IFERROR(__xludf.DUMMYFUNCTION("""COMPUTED_VALUE"""),3.0)</f>
        <v>3</v>
      </c>
      <c r="F32" s="16">
        <f>IFERROR(__xludf.DUMMYFUNCTION("""COMPUTED_VALUE"""),7.8)</f>
        <v>7.8</v>
      </c>
      <c r="G32" s="16">
        <f>IFERROR(__xludf.DUMMYFUNCTION("""COMPUTED_VALUE"""),22.7)</f>
        <v>22.7</v>
      </c>
      <c r="H32" s="16">
        <f>IFERROR(__xludf.DUMMYFUNCTION("""COMPUTED_VALUE"""),15.6)</f>
        <v>15.6</v>
      </c>
    </row>
    <row r="33">
      <c r="A33" s="14">
        <f>VLOOKUP(B33,map!B:C,2,false)</f>
        <v>10</v>
      </c>
      <c r="B33" s="15" t="str">
        <f>IFERROR(__xludf.DUMMYFUNCTION("""COMPUTED_VALUE"""),"Miami")</f>
        <v>Miami</v>
      </c>
      <c r="C33" s="16">
        <f>IFERROR(__xludf.DUMMYFUNCTION("""COMPUTED_VALUE"""),13.9)</f>
        <v>13.9</v>
      </c>
      <c r="D33" s="16">
        <f>IFERROR(__xludf.DUMMYFUNCTION("""COMPUTED_VALUE"""),17.3)</f>
        <v>17.3</v>
      </c>
      <c r="E33" s="16">
        <f>IFERROR(__xludf.DUMMYFUNCTION("""COMPUTED_VALUE"""),27.0)</f>
        <v>27</v>
      </c>
      <c r="F33" s="16">
        <f>IFERROR(__xludf.DUMMYFUNCTION("""COMPUTED_VALUE"""),17.3)</f>
        <v>17.3</v>
      </c>
      <c r="G33" s="16">
        <f>IFERROR(__xludf.DUMMYFUNCTION("""COMPUTED_VALUE"""),9.3)</f>
        <v>9.3</v>
      </c>
      <c r="H33" s="16">
        <f>IFERROR(__xludf.DUMMYFUNCTION("""COMPUTED_VALUE"""),27.9)</f>
        <v>27.9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23</v>
      </c>
      <c r="B1" s="11" t="str">
        <f>IFERROR(__xludf.DUMMYFUNCTION("QUERY(IMPORTHTML(""https://www.teamrankings.com/nfl/stat/opponent-points-per-game?date=""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7</v>
      </c>
      <c r="B2" s="15" t="str">
        <f>IFERROR(__xludf.DUMMYFUNCTION("""COMPUTED_VALUE"""),"LA Chargers")</f>
        <v>LA Chargers</v>
      </c>
      <c r="C2" s="16">
        <f>IFERROR(__xludf.DUMMYFUNCTION("""COMPUTED_VALUE"""),13.0)</f>
        <v>13</v>
      </c>
      <c r="D2" s="16">
        <f>IFERROR(__xludf.DUMMYFUNCTION("""COMPUTED_VALUE"""),13.7)</f>
        <v>13.7</v>
      </c>
      <c r="E2" s="16">
        <f>IFERROR(__xludf.DUMMYFUNCTION("""COMPUTED_VALUE"""),8.0)</f>
        <v>8</v>
      </c>
      <c r="F2" s="16">
        <f>IFERROR(__xludf.DUMMYFUNCTION("""COMPUTED_VALUE"""),11.7)</f>
        <v>11.7</v>
      </c>
      <c r="G2" s="16">
        <f>IFERROR(__xludf.DUMMYFUNCTION("""COMPUTED_VALUE"""),14.0)</f>
        <v>14</v>
      </c>
      <c r="H2" s="16">
        <f>IFERROR(__xludf.DUMMYFUNCTION("""COMPUTED_VALUE"""),23.4)</f>
        <v>23.4</v>
      </c>
    </row>
    <row r="3">
      <c r="A3" s="14">
        <f>VLOOKUP(B3,map!B:C,2,false)</f>
        <v>29</v>
      </c>
      <c r="B3" s="15" t="str">
        <f>IFERROR(__xludf.DUMMYFUNCTION("""COMPUTED_VALUE"""),"Pittsburgh")</f>
        <v>Pittsburgh</v>
      </c>
      <c r="C3" s="16">
        <f>IFERROR(__xludf.DUMMYFUNCTION("""COMPUTED_VALUE"""),14.4)</f>
        <v>14.4</v>
      </c>
      <c r="D3" s="16">
        <f>IFERROR(__xludf.DUMMYFUNCTION("""COMPUTED_VALUE"""),16.0)</f>
        <v>16</v>
      </c>
      <c r="E3" s="16">
        <f>IFERROR(__xludf.DUMMYFUNCTION("""COMPUTED_VALUE"""),15.0)</f>
        <v>15</v>
      </c>
      <c r="F3" s="16">
        <f>IFERROR(__xludf.DUMMYFUNCTION("""COMPUTED_VALUE"""),15.0)</f>
        <v>15</v>
      </c>
      <c r="G3" s="16">
        <f>IFERROR(__xludf.DUMMYFUNCTION("""COMPUTED_VALUE"""),14.0)</f>
        <v>14</v>
      </c>
      <c r="H3" s="16">
        <f>IFERROR(__xludf.DUMMYFUNCTION("""COMPUTED_VALUE"""),19.7)</f>
        <v>19.7</v>
      </c>
    </row>
    <row r="4">
      <c r="A4" s="14">
        <f>VLOOKUP(B4,map!B:C,2,false)</f>
        <v>27</v>
      </c>
      <c r="B4" s="15" t="str">
        <f>IFERROR(__xludf.DUMMYFUNCTION("""COMPUTED_VALUE"""),"Denver")</f>
        <v>Denver</v>
      </c>
      <c r="C4" s="16">
        <f>IFERROR(__xludf.DUMMYFUNCTION("""COMPUTED_VALUE"""),15.0)</f>
        <v>15</v>
      </c>
      <c r="D4" s="16">
        <f>IFERROR(__xludf.DUMMYFUNCTION("""COMPUTED_VALUE"""),15.7)</f>
        <v>15.7</v>
      </c>
      <c r="E4" s="16">
        <f>IFERROR(__xludf.DUMMYFUNCTION("""COMPUTED_VALUE"""),14.0)</f>
        <v>14</v>
      </c>
      <c r="F4" s="16">
        <f>IFERROR(__xludf.DUMMYFUNCTION("""COMPUTED_VALUE"""),17.0)</f>
        <v>17</v>
      </c>
      <c r="G4" s="16">
        <f>IFERROR(__xludf.DUMMYFUNCTION("""COMPUTED_VALUE"""),13.0)</f>
        <v>13</v>
      </c>
      <c r="H4" s="16">
        <f>IFERROR(__xludf.DUMMYFUNCTION("""COMPUTED_VALUE"""),24.3)</f>
        <v>24.3</v>
      </c>
    </row>
    <row r="5">
      <c r="A5" s="14">
        <f>VLOOKUP(B5,map!B:C,2,false)</f>
        <v>31</v>
      </c>
      <c r="B5" s="15" t="str">
        <f>IFERROR(__xludf.DUMMYFUNCTION("""COMPUTED_VALUE"""),"Chicago")</f>
        <v>Chicago</v>
      </c>
      <c r="C5" s="16">
        <f>IFERROR(__xludf.DUMMYFUNCTION("""COMPUTED_VALUE"""),17.0)</f>
        <v>17</v>
      </c>
      <c r="D5" s="16">
        <f>IFERROR(__xludf.DUMMYFUNCTION("""COMPUTED_VALUE"""),14.7)</f>
        <v>14.7</v>
      </c>
      <c r="E5" s="16">
        <f>IFERROR(__xludf.DUMMYFUNCTION("""COMPUTED_VALUE"""),18.0)</f>
        <v>18</v>
      </c>
      <c r="F5" s="16">
        <f>IFERROR(__xludf.DUMMYFUNCTION("""COMPUTED_VALUE"""),15.0)</f>
        <v>15</v>
      </c>
      <c r="G5" s="16">
        <f>IFERROR(__xludf.DUMMYFUNCTION("""COMPUTED_VALUE"""),18.5)</f>
        <v>18.5</v>
      </c>
      <c r="H5" s="16">
        <f>IFERROR(__xludf.DUMMYFUNCTION("""COMPUTED_VALUE"""),22.3)</f>
        <v>22.3</v>
      </c>
    </row>
    <row r="6">
      <c r="A6" s="14">
        <f>VLOOKUP(B6,map!B:C,2,false)</f>
        <v>2</v>
      </c>
      <c r="B6" s="15" t="str">
        <f>IFERROR(__xludf.DUMMYFUNCTION("""COMPUTED_VALUE"""),"Kansas City")</f>
        <v>Kansas City</v>
      </c>
      <c r="C6" s="16">
        <f>IFERROR(__xludf.DUMMYFUNCTION("""COMPUTED_VALUE"""),17.6)</f>
        <v>17.6</v>
      </c>
      <c r="D6" s="16">
        <f>IFERROR(__xludf.DUMMYFUNCTION("""COMPUTED_VALUE"""),17.0)</f>
        <v>17</v>
      </c>
      <c r="E6" s="16">
        <f>IFERROR(__xludf.DUMMYFUNCTION("""COMPUTED_VALUE"""),20.0)</f>
        <v>20</v>
      </c>
      <c r="F6" s="16">
        <f>IFERROR(__xludf.DUMMYFUNCTION("""COMPUTED_VALUE"""),19.3)</f>
        <v>19.3</v>
      </c>
      <c r="G6" s="16">
        <f>IFERROR(__xludf.DUMMYFUNCTION("""COMPUTED_VALUE"""),16.3)</f>
        <v>16.3</v>
      </c>
      <c r="H6" s="16">
        <f>IFERROR(__xludf.DUMMYFUNCTION("""COMPUTED_VALUE"""),17.0)</f>
        <v>17</v>
      </c>
    </row>
    <row r="7">
      <c r="A7" s="14">
        <f>VLOOKUP(B7,map!B:C,2,false)</f>
        <v>11</v>
      </c>
      <c r="B7" s="15" t="str">
        <f>IFERROR(__xludf.DUMMYFUNCTION("""COMPUTED_VALUE"""),"Buffalo")</f>
        <v>Buffalo</v>
      </c>
      <c r="C7" s="16">
        <f>IFERROR(__xludf.DUMMYFUNCTION("""COMPUTED_VALUE"""),18.3)</f>
        <v>18.3</v>
      </c>
      <c r="D7" s="16">
        <f>IFERROR(__xludf.DUMMYFUNCTION("""COMPUTED_VALUE"""),13.3)</f>
        <v>13.3</v>
      </c>
      <c r="E7" s="16">
        <f>IFERROR(__xludf.DUMMYFUNCTION("""COMPUTED_VALUE"""),10.0)</f>
        <v>10</v>
      </c>
      <c r="F7" s="16">
        <f>IFERROR(__xludf.DUMMYFUNCTION("""COMPUTED_VALUE"""),16.0)</f>
        <v>16</v>
      </c>
      <c r="G7" s="16">
        <f>IFERROR(__xludf.DUMMYFUNCTION("""COMPUTED_VALUE"""),19.6)</f>
        <v>19.6</v>
      </c>
      <c r="H7" s="16">
        <f>IFERROR(__xludf.DUMMYFUNCTION("""COMPUTED_VALUE"""),18.7)</f>
        <v>18.7</v>
      </c>
    </row>
    <row r="8">
      <c r="A8" s="14">
        <f>VLOOKUP(B8,map!B:C,2,false)</f>
        <v>12</v>
      </c>
      <c r="B8" s="15" t="str">
        <f>IFERROR(__xludf.DUMMYFUNCTION("""COMPUTED_VALUE"""),"Philadelphia")</f>
        <v>Philadelphia</v>
      </c>
      <c r="C8" s="16">
        <f>IFERROR(__xludf.DUMMYFUNCTION("""COMPUTED_VALUE"""),18.9)</f>
        <v>18.9</v>
      </c>
      <c r="D8" s="16">
        <f>IFERROR(__xludf.DUMMYFUNCTION("""COMPUTED_VALUE"""),12.0)</f>
        <v>12</v>
      </c>
      <c r="E8" s="16">
        <f>IFERROR(__xludf.DUMMYFUNCTION("""COMPUTED_VALUE"""),17.0)</f>
        <v>17</v>
      </c>
      <c r="F8" s="16">
        <f>IFERROR(__xludf.DUMMYFUNCTION("""COMPUTED_VALUE"""),19.0)</f>
        <v>19</v>
      </c>
      <c r="G8" s="16">
        <f>IFERROR(__xludf.DUMMYFUNCTION("""COMPUTED_VALUE"""),18.8)</f>
        <v>18.8</v>
      </c>
      <c r="H8" s="16">
        <f>IFERROR(__xludf.DUMMYFUNCTION("""COMPUTED_VALUE"""),25.6)</f>
        <v>25.6</v>
      </c>
    </row>
    <row r="9">
      <c r="A9" s="14">
        <f>VLOOKUP(B9,map!B:C,2,false)</f>
        <v>5</v>
      </c>
      <c r="B9" s="15" t="str">
        <f>IFERROR(__xludf.DUMMYFUNCTION("""COMPUTED_VALUE"""),"Detroit")</f>
        <v>Detroit</v>
      </c>
      <c r="C9" s="16">
        <f>IFERROR(__xludf.DUMMYFUNCTION("""COMPUTED_VALUE"""),19.1)</f>
        <v>19.1</v>
      </c>
      <c r="D9" s="16">
        <f>IFERROR(__xludf.DUMMYFUNCTION("""COMPUTED_VALUE"""),17.3)</f>
        <v>17.3</v>
      </c>
      <c r="E9" s="16">
        <f>IFERROR(__xludf.DUMMYFUNCTION("""COMPUTED_VALUE"""),14.0)</f>
        <v>14</v>
      </c>
      <c r="F9" s="16">
        <f>IFERROR(__xludf.DUMMYFUNCTION("""COMPUTED_VALUE"""),20.8)</f>
        <v>20.8</v>
      </c>
      <c r="G9" s="16">
        <f>IFERROR(__xludf.DUMMYFUNCTION("""COMPUTED_VALUE"""),17.0)</f>
        <v>17</v>
      </c>
      <c r="H9" s="16">
        <f>IFERROR(__xludf.DUMMYFUNCTION("""COMPUTED_VALUE"""),23.8)</f>
        <v>23.8</v>
      </c>
    </row>
    <row r="10">
      <c r="A10" s="14">
        <f>VLOOKUP(B10,map!B:C,2,false)</f>
        <v>3</v>
      </c>
      <c r="B10" s="15" t="str">
        <f>IFERROR(__xludf.DUMMYFUNCTION("""COMPUTED_VALUE"""),"Minnesota")</f>
        <v>Minnesota</v>
      </c>
      <c r="C10" s="16">
        <f>IFERROR(__xludf.DUMMYFUNCTION("""COMPUTED_VALUE"""),19.6)</f>
        <v>19.6</v>
      </c>
      <c r="D10" s="16">
        <f>IFERROR(__xludf.DUMMYFUNCTION("""COMPUTED_VALUE"""),26.0)</f>
        <v>26</v>
      </c>
      <c r="E10" s="16">
        <f>IFERROR(__xludf.DUMMYFUNCTION("""COMPUTED_VALUE"""),30.0)</f>
        <v>30</v>
      </c>
      <c r="F10" s="16">
        <f>IFERROR(__xludf.DUMMYFUNCTION("""COMPUTED_VALUE"""),18.3)</f>
        <v>18.3</v>
      </c>
      <c r="G10" s="16">
        <f>IFERROR(__xludf.DUMMYFUNCTION("""COMPUTED_VALUE"""),20.5)</f>
        <v>20.5</v>
      </c>
      <c r="H10" s="16">
        <f>IFERROR(__xludf.DUMMYFUNCTION("""COMPUTED_VALUE"""),21.3)</f>
        <v>21.3</v>
      </c>
    </row>
    <row r="11">
      <c r="A11" s="14">
        <f>VLOOKUP(B11,map!B:C,2,false)</f>
        <v>8</v>
      </c>
      <c r="B11" s="15" t="str">
        <f>IFERROR(__xludf.DUMMYFUNCTION("""COMPUTED_VALUE"""),"Washington")</f>
        <v>Washington</v>
      </c>
      <c r="C11" s="16">
        <f>IFERROR(__xludf.DUMMYFUNCTION("""COMPUTED_VALUE"""),20.9)</f>
        <v>20.9</v>
      </c>
      <c r="D11" s="16">
        <f>IFERROR(__xludf.DUMMYFUNCTION("""COMPUTED_VALUE"""),17.3)</f>
        <v>17.3</v>
      </c>
      <c r="E11" s="16">
        <f>IFERROR(__xludf.DUMMYFUNCTION("""COMPUTED_VALUE"""),15.0)</f>
        <v>15</v>
      </c>
      <c r="F11" s="16">
        <f>IFERROR(__xludf.DUMMYFUNCTION("""COMPUTED_VALUE"""),13.3)</f>
        <v>13.3</v>
      </c>
      <c r="G11" s="16">
        <f>IFERROR(__xludf.DUMMYFUNCTION("""COMPUTED_VALUE"""),28.5)</f>
        <v>28.5</v>
      </c>
      <c r="H11" s="16">
        <f>IFERROR(__xludf.DUMMYFUNCTION("""COMPUTED_VALUE"""),30.5)</f>
        <v>30.5</v>
      </c>
    </row>
    <row r="12">
      <c r="A12" s="14">
        <f>VLOOKUP(B12,map!B:C,2,false)</f>
        <v>19</v>
      </c>
      <c r="B12" s="15" t="str">
        <f>IFERROR(__xludf.DUMMYFUNCTION("""COMPUTED_VALUE"""),"NY Jets")</f>
        <v>NY Jets</v>
      </c>
      <c r="C12" s="16">
        <f>IFERROR(__xludf.DUMMYFUNCTION("""COMPUTED_VALUE"""),21.3)</f>
        <v>21.3</v>
      </c>
      <c r="D12" s="16">
        <f>IFERROR(__xludf.DUMMYFUNCTION("""COMPUTED_VALUE"""),28.3)</f>
        <v>28.3</v>
      </c>
      <c r="E12" s="16">
        <f>IFERROR(__xludf.DUMMYFUNCTION("""COMPUTED_VALUE"""),25.0)</f>
        <v>25</v>
      </c>
      <c r="F12" s="16">
        <f>IFERROR(__xludf.DUMMYFUNCTION("""COMPUTED_VALUE"""),12.0)</f>
        <v>12</v>
      </c>
      <c r="G12" s="16">
        <f>IFERROR(__xludf.DUMMYFUNCTION("""COMPUTED_VALUE"""),26.8)</f>
        <v>26.8</v>
      </c>
      <c r="H12" s="16">
        <f>IFERROR(__xludf.DUMMYFUNCTION("""COMPUTED_VALUE"""),20.9)</f>
        <v>20.9</v>
      </c>
    </row>
    <row r="13">
      <c r="A13" s="14">
        <f>VLOOKUP(B13,map!B:C,2,false)</f>
        <v>15</v>
      </c>
      <c r="B13" s="15" t="str">
        <f>IFERROR(__xludf.DUMMYFUNCTION("""COMPUTED_VALUE"""),"Green Bay")</f>
        <v>Green Bay</v>
      </c>
      <c r="C13" s="16">
        <f>IFERROR(__xludf.DUMMYFUNCTION("""COMPUTED_VALUE"""),21.3)</f>
        <v>21.3</v>
      </c>
      <c r="D13" s="16">
        <f>IFERROR(__xludf.DUMMYFUNCTION("""COMPUTED_VALUE"""),20.7)</f>
        <v>20.7</v>
      </c>
      <c r="E13" s="16">
        <f>IFERROR(__xludf.DUMMYFUNCTION("""COMPUTED_VALUE"""),27.0)</f>
        <v>27</v>
      </c>
      <c r="F13" s="16">
        <f>IFERROR(__xludf.DUMMYFUNCTION("""COMPUTED_VALUE"""),19.0)</f>
        <v>19</v>
      </c>
      <c r="G13" s="16">
        <f>IFERROR(__xludf.DUMMYFUNCTION("""COMPUTED_VALUE"""),23.5)</f>
        <v>23.5</v>
      </c>
      <c r="H13" s="16">
        <f>IFERROR(__xludf.DUMMYFUNCTION("""COMPUTED_VALUE"""),21.4)</f>
        <v>21.4</v>
      </c>
    </row>
    <row r="14">
      <c r="A14" s="14">
        <f>VLOOKUP(B14,map!B:C,2,false)</f>
        <v>26</v>
      </c>
      <c r="B14" s="15" t="str">
        <f>IFERROR(__xludf.DUMMYFUNCTION("""COMPUTED_VALUE"""),"NY Giants")</f>
        <v>NY Giants</v>
      </c>
      <c r="C14" s="16">
        <f>IFERROR(__xludf.DUMMYFUNCTION("""COMPUTED_VALUE"""),21.3)</f>
        <v>21.3</v>
      </c>
      <c r="D14" s="16">
        <f>IFERROR(__xludf.DUMMYFUNCTION("""COMPUTED_VALUE"""),21.7)</f>
        <v>21.7</v>
      </c>
      <c r="E14" s="16">
        <f>IFERROR(__xludf.DUMMYFUNCTION("""COMPUTED_VALUE"""),28.0)</f>
        <v>28</v>
      </c>
      <c r="F14" s="16">
        <f>IFERROR(__xludf.DUMMYFUNCTION("""COMPUTED_VALUE"""),23.3)</f>
        <v>23.3</v>
      </c>
      <c r="G14" s="16">
        <f>IFERROR(__xludf.DUMMYFUNCTION("""COMPUTED_VALUE"""),18.7)</f>
        <v>18.7</v>
      </c>
      <c r="H14" s="16">
        <f>IFERROR(__xludf.DUMMYFUNCTION("""COMPUTED_VALUE"""),23.9)</f>
        <v>23.9</v>
      </c>
    </row>
    <row r="15">
      <c r="A15" s="14">
        <f>VLOOKUP(B15,map!B:C,2,false)</f>
        <v>20</v>
      </c>
      <c r="B15" s="15" t="str">
        <f>IFERROR(__xludf.DUMMYFUNCTION("""COMPUTED_VALUE"""),"Indianapolis")</f>
        <v>Indianapolis</v>
      </c>
      <c r="C15" s="16">
        <f>IFERROR(__xludf.DUMMYFUNCTION("""COMPUTED_VALUE"""),21.5)</f>
        <v>21.5</v>
      </c>
      <c r="D15" s="16">
        <f>IFERROR(__xludf.DUMMYFUNCTION("""COMPUTED_VALUE"""),16.7)</f>
        <v>16.7</v>
      </c>
      <c r="E15" s="16">
        <f>IFERROR(__xludf.DUMMYFUNCTION("""COMPUTED_VALUE"""),23.0)</f>
        <v>23</v>
      </c>
      <c r="F15" s="16">
        <f>IFERROR(__xludf.DUMMYFUNCTION("""COMPUTED_VALUE"""),19.8)</f>
        <v>19.8</v>
      </c>
      <c r="G15" s="16">
        <f>IFERROR(__xludf.DUMMYFUNCTION("""COMPUTED_VALUE"""),23.3)</f>
        <v>23.3</v>
      </c>
      <c r="H15" s="16">
        <f>IFERROR(__xludf.DUMMYFUNCTION("""COMPUTED_VALUE"""),24.4)</f>
        <v>24.4</v>
      </c>
    </row>
    <row r="16">
      <c r="A16" s="14">
        <f>VLOOKUP(B16,map!B:C,2,false)</f>
        <v>17</v>
      </c>
      <c r="B16" s="15" t="str">
        <f>IFERROR(__xludf.DUMMYFUNCTION("""COMPUTED_VALUE"""),"Houston")</f>
        <v>Houston</v>
      </c>
      <c r="C16" s="16">
        <f>IFERROR(__xludf.DUMMYFUNCTION("""COMPUTED_VALUE"""),22.4)</f>
        <v>22.4</v>
      </c>
      <c r="D16" s="16">
        <f>IFERROR(__xludf.DUMMYFUNCTION("""COMPUTED_VALUE"""),21.7)</f>
        <v>21.7</v>
      </c>
      <c r="E16" s="16">
        <f>IFERROR(__xludf.DUMMYFUNCTION("""COMPUTED_VALUE"""),20.0)</f>
        <v>20</v>
      </c>
      <c r="F16" s="16">
        <f>IFERROR(__xludf.DUMMYFUNCTION("""COMPUTED_VALUE"""),18.3)</f>
        <v>18.3</v>
      </c>
      <c r="G16" s="16">
        <f>IFERROR(__xludf.DUMMYFUNCTION("""COMPUTED_VALUE"""),26.5)</f>
        <v>26.5</v>
      </c>
      <c r="H16" s="16">
        <f>IFERROR(__xludf.DUMMYFUNCTION("""COMPUTED_VALUE"""),21.1)</f>
        <v>21.1</v>
      </c>
    </row>
    <row r="17">
      <c r="A17" s="14">
        <f>VLOOKUP(B17,map!B:C,2,false)</f>
        <v>10</v>
      </c>
      <c r="B17" s="15" t="str">
        <f>IFERROR(__xludf.DUMMYFUNCTION("""COMPUTED_VALUE"""),"Miami")</f>
        <v>Miami</v>
      </c>
      <c r="C17" s="16">
        <f>IFERROR(__xludf.DUMMYFUNCTION("""COMPUTED_VALUE"""),22.4)</f>
        <v>22.4</v>
      </c>
      <c r="D17" s="16">
        <f>IFERROR(__xludf.DUMMYFUNCTION("""COMPUTED_VALUE"""),18.0)</f>
        <v>18</v>
      </c>
      <c r="E17" s="16">
        <f>IFERROR(__xludf.DUMMYFUNCTION("""COMPUTED_VALUE"""),28.0)</f>
        <v>28</v>
      </c>
      <c r="F17" s="16">
        <f>IFERROR(__xludf.DUMMYFUNCTION("""COMPUTED_VALUE"""),26.8)</f>
        <v>26.8</v>
      </c>
      <c r="G17" s="16">
        <f>IFERROR(__xludf.DUMMYFUNCTION("""COMPUTED_VALUE"""),16.7)</f>
        <v>16.7</v>
      </c>
      <c r="H17" s="16">
        <f>IFERROR(__xludf.DUMMYFUNCTION("""COMPUTED_VALUE"""),23.2)</f>
        <v>23.2</v>
      </c>
    </row>
    <row r="18">
      <c r="A18" s="14">
        <f>VLOOKUP(B18,map!B:C,2,false)</f>
        <v>25</v>
      </c>
      <c r="B18" s="15" t="str">
        <f>IFERROR(__xludf.DUMMYFUNCTION("""COMPUTED_VALUE"""),"San Francisco")</f>
        <v>San Francisco</v>
      </c>
      <c r="C18" s="16">
        <f>IFERROR(__xludf.DUMMYFUNCTION("""COMPUTED_VALUE"""),22.8)</f>
        <v>22.8</v>
      </c>
      <c r="D18" s="16">
        <f>IFERROR(__xludf.DUMMYFUNCTION("""COMPUTED_VALUE"""),25.3)</f>
        <v>25.3</v>
      </c>
      <c r="E18" s="16">
        <f>IFERROR(__xludf.DUMMYFUNCTION("""COMPUTED_VALUE"""),24.0)</f>
        <v>24</v>
      </c>
      <c r="F18" s="16">
        <f>IFERROR(__xludf.DUMMYFUNCTION("""COMPUTED_VALUE"""),21.6)</f>
        <v>21.6</v>
      </c>
      <c r="G18" s="16">
        <f>IFERROR(__xludf.DUMMYFUNCTION("""COMPUTED_VALUE"""),24.7)</f>
        <v>24.7</v>
      </c>
      <c r="H18" s="16">
        <f>IFERROR(__xludf.DUMMYFUNCTION("""COMPUTED_VALUE"""),18.8)</f>
        <v>18.8</v>
      </c>
    </row>
    <row r="19">
      <c r="A19" s="14">
        <f>VLOOKUP(B19,map!B:C,2,false)</f>
        <v>16</v>
      </c>
      <c r="B19" s="15" t="str">
        <f>IFERROR(__xludf.DUMMYFUNCTION("""COMPUTED_VALUE"""),"Cleveland")</f>
        <v>Cleveland</v>
      </c>
      <c r="C19" s="16">
        <f>IFERROR(__xludf.DUMMYFUNCTION("""COMPUTED_VALUE"""),23.3)</f>
        <v>23.3</v>
      </c>
      <c r="D19" s="16">
        <f>IFERROR(__xludf.DUMMYFUNCTION("""COMPUTED_VALUE"""),21.7)</f>
        <v>21.7</v>
      </c>
      <c r="E19" s="16">
        <f>IFERROR(__xludf.DUMMYFUNCTION("""COMPUTED_VALUE"""),24.0)</f>
        <v>24</v>
      </c>
      <c r="F19" s="16">
        <f>IFERROR(__xludf.DUMMYFUNCTION("""COMPUTED_VALUE"""),24.8)</f>
        <v>24.8</v>
      </c>
      <c r="G19" s="16">
        <f>IFERROR(__xludf.DUMMYFUNCTION("""COMPUTED_VALUE"""),21.8)</f>
        <v>21.8</v>
      </c>
      <c r="H19" s="16">
        <f>IFERROR(__xludf.DUMMYFUNCTION("""COMPUTED_VALUE"""),22.6)</f>
        <v>22.6</v>
      </c>
    </row>
    <row r="20">
      <c r="A20" s="14">
        <f>VLOOKUP(B20,map!B:C,2,false)</f>
        <v>13</v>
      </c>
      <c r="B20" s="15" t="str">
        <f>IFERROR(__xludf.DUMMYFUNCTION("""COMPUTED_VALUE"""),"Seattle")</f>
        <v>Seattle</v>
      </c>
      <c r="C20" s="16">
        <f>IFERROR(__xludf.DUMMYFUNCTION("""COMPUTED_VALUE"""),24.4)</f>
        <v>24.4</v>
      </c>
      <c r="D20" s="16">
        <f>IFERROR(__xludf.DUMMYFUNCTION("""COMPUTED_VALUE"""),27.0)</f>
        <v>27</v>
      </c>
      <c r="E20" s="16">
        <f>IFERROR(__xludf.DUMMYFUNCTION("""COMPUTED_VALUE"""),31.0)</f>
        <v>31</v>
      </c>
      <c r="F20" s="16">
        <f>IFERROR(__xludf.DUMMYFUNCTION("""COMPUTED_VALUE"""),23.8)</f>
        <v>23.8</v>
      </c>
      <c r="G20" s="16">
        <f>IFERROR(__xludf.DUMMYFUNCTION("""COMPUTED_VALUE"""),25.3)</f>
        <v>25.3</v>
      </c>
      <c r="H20" s="16">
        <f>IFERROR(__xludf.DUMMYFUNCTION("""COMPUTED_VALUE"""),23.6)</f>
        <v>23.6</v>
      </c>
    </row>
    <row r="21">
      <c r="A21" s="14">
        <f>VLOOKUP(B21,map!B:C,2,false)</f>
        <v>28</v>
      </c>
      <c r="B21" s="15" t="str">
        <f>IFERROR(__xludf.DUMMYFUNCTION("""COMPUTED_VALUE"""),"Atlanta")</f>
        <v>Atlanta</v>
      </c>
      <c r="C21" s="16">
        <f>IFERROR(__xludf.DUMMYFUNCTION("""COMPUTED_VALUE"""),24.4)</f>
        <v>24.4</v>
      </c>
      <c r="D21" s="16">
        <f>IFERROR(__xludf.DUMMYFUNCTION("""COMPUTED_VALUE"""),26.7)</f>
        <v>26.7</v>
      </c>
      <c r="E21" s="16">
        <f>IFERROR(__xludf.DUMMYFUNCTION("""COMPUTED_VALUE"""),26.0)</f>
        <v>26</v>
      </c>
      <c r="F21" s="16">
        <f>IFERROR(__xludf.DUMMYFUNCTION("""COMPUTED_VALUE"""),25.6)</f>
        <v>25.6</v>
      </c>
      <c r="G21" s="16">
        <f>IFERROR(__xludf.DUMMYFUNCTION("""COMPUTED_VALUE"""),22.3)</f>
        <v>22.3</v>
      </c>
      <c r="H21" s="16">
        <f>IFERROR(__xludf.DUMMYFUNCTION("""COMPUTED_VALUE"""),21.9)</f>
        <v>21.9</v>
      </c>
    </row>
    <row r="22">
      <c r="A22" s="14">
        <f>VLOOKUP(B22,map!B:C,2,false)</f>
        <v>22</v>
      </c>
      <c r="B22" s="15" t="str">
        <f>IFERROR(__xludf.DUMMYFUNCTION("""COMPUTED_VALUE"""),"New England")</f>
        <v>New England</v>
      </c>
      <c r="C22" s="16">
        <f>IFERROR(__xludf.DUMMYFUNCTION("""COMPUTED_VALUE"""),24.6)</f>
        <v>24.6</v>
      </c>
      <c r="D22" s="16">
        <f>IFERROR(__xludf.DUMMYFUNCTION("""COMPUTED_VALUE"""),31.7)</f>
        <v>31.7</v>
      </c>
      <c r="E22" s="16">
        <f>IFERROR(__xludf.DUMMYFUNCTION("""COMPUTED_VALUE"""),22.0)</f>
        <v>22</v>
      </c>
      <c r="F22" s="16">
        <f>IFERROR(__xludf.DUMMYFUNCTION("""COMPUTED_VALUE"""),25.3)</f>
        <v>25.3</v>
      </c>
      <c r="G22" s="16">
        <f>IFERROR(__xludf.DUMMYFUNCTION("""COMPUTED_VALUE"""),24.0)</f>
        <v>24</v>
      </c>
      <c r="H22" s="16">
        <f>IFERROR(__xludf.DUMMYFUNCTION("""COMPUTED_VALUE"""),21.5)</f>
        <v>21.5</v>
      </c>
    </row>
    <row r="23">
      <c r="A23" s="14">
        <f>VLOOKUP(B23,map!B:C,2,false)</f>
        <v>18</v>
      </c>
      <c r="B23" s="15" t="str">
        <f>IFERROR(__xludf.DUMMYFUNCTION("""COMPUTED_VALUE"""),"LA Rams")</f>
        <v>LA Rams</v>
      </c>
      <c r="C23" s="16">
        <f>IFERROR(__xludf.DUMMYFUNCTION("""COMPUTED_VALUE"""),24.9)</f>
        <v>24.9</v>
      </c>
      <c r="D23" s="16">
        <f>IFERROR(__xludf.DUMMYFUNCTION("""COMPUTED_VALUE"""),19.7)</f>
        <v>19.7</v>
      </c>
      <c r="E23" s="16">
        <f>IFERROR(__xludf.DUMMYFUNCTION("""COMPUTED_VALUE"""),20.0)</f>
        <v>20</v>
      </c>
      <c r="F23" s="16">
        <f>IFERROR(__xludf.DUMMYFUNCTION("""COMPUTED_VALUE"""),20.8)</f>
        <v>20.8</v>
      </c>
      <c r="G23" s="16">
        <f>IFERROR(__xludf.DUMMYFUNCTION("""COMPUTED_VALUE"""),30.3)</f>
        <v>30.3</v>
      </c>
      <c r="H23" s="16">
        <f>IFERROR(__xludf.DUMMYFUNCTION("""COMPUTED_VALUE"""),22.3)</f>
        <v>22.3</v>
      </c>
    </row>
    <row r="24">
      <c r="A24" s="14">
        <f>VLOOKUP(B24,map!B:C,2,false)</f>
        <v>4</v>
      </c>
      <c r="B24" s="15" t="str">
        <f>IFERROR(__xludf.DUMMYFUNCTION("""COMPUTED_VALUE"""),"Cincinnati")</f>
        <v>Cincinnati</v>
      </c>
      <c r="C24" s="16">
        <f>IFERROR(__xludf.DUMMYFUNCTION("""COMPUTED_VALUE"""),25.4)</f>
        <v>25.4</v>
      </c>
      <c r="D24" s="16">
        <f>IFERROR(__xludf.DUMMYFUNCTION("""COMPUTED_VALUE"""),19.3)</f>
        <v>19.3</v>
      </c>
      <c r="E24" s="16">
        <f>IFERROR(__xludf.DUMMYFUNCTION("""COMPUTED_VALUE"""),37.0)</f>
        <v>37</v>
      </c>
      <c r="F24" s="16">
        <f>IFERROR(__xludf.DUMMYFUNCTION("""COMPUTED_VALUE"""),33.0)</f>
        <v>33</v>
      </c>
      <c r="G24" s="16">
        <f>IFERROR(__xludf.DUMMYFUNCTION("""COMPUTED_VALUE"""),17.8)</f>
        <v>17.8</v>
      </c>
      <c r="H24" s="16">
        <f>IFERROR(__xludf.DUMMYFUNCTION("""COMPUTED_VALUE"""),22.6)</f>
        <v>22.6</v>
      </c>
    </row>
    <row r="25">
      <c r="A25" s="14">
        <f>VLOOKUP(B25,map!B:C,2,false)</f>
        <v>21</v>
      </c>
      <c r="B25" s="15" t="str">
        <f>IFERROR(__xludf.DUMMYFUNCTION("""COMPUTED_VALUE"""),"Arizona")</f>
        <v>Arizona</v>
      </c>
      <c r="C25" s="16">
        <f>IFERROR(__xludf.DUMMYFUNCTION("""COMPUTED_VALUE"""),25.6)</f>
        <v>25.6</v>
      </c>
      <c r="D25" s="16">
        <f>IFERROR(__xludf.DUMMYFUNCTION("""COMPUTED_VALUE"""),25.3)</f>
        <v>25.3</v>
      </c>
      <c r="E25" s="16">
        <f>IFERROR(__xludf.DUMMYFUNCTION("""COMPUTED_VALUE"""),27.0)</f>
        <v>27</v>
      </c>
      <c r="F25" s="16">
        <f>IFERROR(__xludf.DUMMYFUNCTION("""COMPUTED_VALUE"""),21.8)</f>
        <v>21.8</v>
      </c>
      <c r="G25" s="16">
        <f>IFERROR(__xludf.DUMMYFUNCTION("""COMPUTED_VALUE"""),29.5)</f>
        <v>29.5</v>
      </c>
      <c r="H25" s="16">
        <f>IFERROR(__xludf.DUMMYFUNCTION("""COMPUTED_VALUE"""),26.8)</f>
        <v>26.8</v>
      </c>
    </row>
    <row r="26">
      <c r="A26" s="14">
        <f>VLOOKUP(B26,map!B:C,2,false)</f>
        <v>9</v>
      </c>
      <c r="B26" s="15" t="str">
        <f>IFERROR(__xludf.DUMMYFUNCTION("""COMPUTED_VALUE"""),"New Orleans")</f>
        <v>New Orleans</v>
      </c>
      <c r="C26" s="16">
        <f>IFERROR(__xludf.DUMMYFUNCTION("""COMPUTED_VALUE"""),25.8)</f>
        <v>25.8</v>
      </c>
      <c r="D26" s="16">
        <f>IFERROR(__xludf.DUMMYFUNCTION("""COMPUTED_VALUE"""),36.7)</f>
        <v>36.7</v>
      </c>
      <c r="E26" s="16">
        <f>IFERROR(__xludf.DUMMYFUNCTION("""COMPUTED_VALUE"""),26.0)</f>
        <v>26</v>
      </c>
      <c r="F26" s="16">
        <f>IFERROR(__xludf.DUMMYFUNCTION("""COMPUTED_VALUE"""),27.3)</f>
        <v>27.3</v>
      </c>
      <c r="G26" s="16">
        <f>IFERROR(__xludf.DUMMYFUNCTION("""COMPUTED_VALUE"""),24.3)</f>
        <v>24.3</v>
      </c>
      <c r="H26" s="16">
        <f>IFERROR(__xludf.DUMMYFUNCTION("""COMPUTED_VALUE"""),19.2)</f>
        <v>19.2</v>
      </c>
    </row>
    <row r="27">
      <c r="A27" s="14">
        <f>VLOOKUP(B27,map!B:C,2,false)</f>
        <v>30</v>
      </c>
      <c r="B27" s="15" t="str">
        <f>IFERROR(__xludf.DUMMYFUNCTION("""COMPUTED_VALUE"""),"Baltimore")</f>
        <v>Baltimore</v>
      </c>
      <c r="C27" s="16">
        <f>IFERROR(__xludf.DUMMYFUNCTION("""COMPUTED_VALUE"""),26.1)</f>
        <v>26.1</v>
      </c>
      <c r="D27" s="16">
        <f>IFERROR(__xludf.DUMMYFUNCTION("""COMPUTED_VALUE"""),27.7)</f>
        <v>27.7</v>
      </c>
      <c r="E27" s="16">
        <f>IFERROR(__xludf.DUMMYFUNCTION("""COMPUTED_VALUE"""),29.0)</f>
        <v>29</v>
      </c>
      <c r="F27" s="16">
        <f>IFERROR(__xludf.DUMMYFUNCTION("""COMPUTED_VALUE"""),19.7)</f>
        <v>19.7</v>
      </c>
      <c r="G27" s="16">
        <f>IFERROR(__xludf.DUMMYFUNCTION("""COMPUTED_VALUE"""),30.0)</f>
        <v>30</v>
      </c>
      <c r="H27" s="16">
        <f>IFERROR(__xludf.DUMMYFUNCTION("""COMPUTED_VALUE"""),16.2)</f>
        <v>16.2</v>
      </c>
    </row>
    <row r="28">
      <c r="A28" s="14">
        <f>VLOOKUP(B28,map!B:C,2,false)</f>
        <v>24</v>
      </c>
      <c r="B28" s="15" t="str">
        <f>IFERROR(__xludf.DUMMYFUNCTION("""COMPUTED_VALUE"""),"Las Vegas")</f>
        <v>Las Vegas</v>
      </c>
      <c r="C28" s="16">
        <f>IFERROR(__xludf.DUMMYFUNCTION("""COMPUTED_VALUE"""),26.3)</f>
        <v>26.3</v>
      </c>
      <c r="D28" s="16">
        <f>IFERROR(__xludf.DUMMYFUNCTION("""COMPUTED_VALUE"""),26.3)</f>
        <v>26.3</v>
      </c>
      <c r="E28" s="16">
        <f>IFERROR(__xludf.DUMMYFUNCTION("""COMPUTED_VALUE"""),27.0)</f>
        <v>27</v>
      </c>
      <c r="F28" s="16">
        <f>IFERROR(__xludf.DUMMYFUNCTION("""COMPUTED_VALUE"""),27.8)</f>
        <v>27.8</v>
      </c>
      <c r="G28" s="16">
        <f>IFERROR(__xludf.DUMMYFUNCTION("""COMPUTED_VALUE"""),24.8)</f>
        <v>24.8</v>
      </c>
      <c r="H28" s="16">
        <f>IFERROR(__xludf.DUMMYFUNCTION("""COMPUTED_VALUE"""),19.5)</f>
        <v>19.5</v>
      </c>
    </row>
    <row r="29">
      <c r="A29" s="14">
        <f>VLOOKUP(B29,map!B:C,2,false)</f>
        <v>14</v>
      </c>
      <c r="B29" s="15" t="str">
        <f>IFERROR(__xludf.DUMMYFUNCTION("""COMPUTED_VALUE"""),"Tampa Bay")</f>
        <v>Tampa Bay</v>
      </c>
      <c r="C29" s="16">
        <f>IFERROR(__xludf.DUMMYFUNCTION("""COMPUTED_VALUE"""),26.6)</f>
        <v>26.6</v>
      </c>
      <c r="D29" s="16">
        <f>IFERROR(__xludf.DUMMYFUNCTION("""COMPUTED_VALUE"""),33.0)</f>
        <v>33</v>
      </c>
      <c r="E29" s="16">
        <f>IFERROR(__xludf.DUMMYFUNCTION("""COMPUTED_VALUE"""),31.0)</f>
        <v>31</v>
      </c>
      <c r="F29" s="16">
        <f>IFERROR(__xludf.DUMMYFUNCTION("""COMPUTED_VALUE"""),26.8)</f>
        <v>26.8</v>
      </c>
      <c r="G29" s="16">
        <f>IFERROR(__xludf.DUMMYFUNCTION("""COMPUTED_VALUE"""),26.3)</f>
        <v>26.3</v>
      </c>
      <c r="H29" s="16">
        <f>IFERROR(__xludf.DUMMYFUNCTION("""COMPUTED_VALUE"""),19.2)</f>
        <v>19.2</v>
      </c>
    </row>
    <row r="30">
      <c r="A30" s="14">
        <f>VLOOKUP(B30,map!B:C,2,false)</f>
        <v>6</v>
      </c>
      <c r="B30" s="15" t="str">
        <f>IFERROR(__xludf.DUMMYFUNCTION("""COMPUTED_VALUE"""),"Jacksonville")</f>
        <v>Jacksonville</v>
      </c>
      <c r="C30" s="16">
        <f>IFERROR(__xludf.DUMMYFUNCTION("""COMPUTED_VALUE"""),28.0)</f>
        <v>28</v>
      </c>
      <c r="D30" s="16">
        <f>IFERROR(__xludf.DUMMYFUNCTION("""COMPUTED_VALUE"""),27.0)</f>
        <v>27</v>
      </c>
      <c r="E30" s="16">
        <f>IFERROR(__xludf.DUMMYFUNCTION("""COMPUTED_VALUE"""),30.0)</f>
        <v>30</v>
      </c>
      <c r="F30" s="16">
        <f>IFERROR(__xludf.DUMMYFUNCTION("""COMPUTED_VALUE"""),27.3)</f>
        <v>27.3</v>
      </c>
      <c r="G30" s="16">
        <f>IFERROR(__xludf.DUMMYFUNCTION("""COMPUTED_VALUE"""),28.4)</f>
        <v>28.4</v>
      </c>
      <c r="H30" s="16">
        <f>IFERROR(__xludf.DUMMYFUNCTION("""COMPUTED_VALUE"""),21.8)</f>
        <v>21.8</v>
      </c>
    </row>
    <row r="31">
      <c r="A31" s="14">
        <f>VLOOKUP(B31,map!B:C,2,false)</f>
        <v>32</v>
      </c>
      <c r="B31" s="15" t="str">
        <f>IFERROR(__xludf.DUMMYFUNCTION("""COMPUTED_VALUE"""),"Tennessee")</f>
        <v>Tennessee</v>
      </c>
      <c r="C31" s="16">
        <f>IFERROR(__xludf.DUMMYFUNCTION("""COMPUTED_VALUE"""),28.0)</f>
        <v>28</v>
      </c>
      <c r="D31" s="16">
        <f>IFERROR(__xludf.DUMMYFUNCTION("""COMPUTED_VALUE"""),35.3)</f>
        <v>35.3</v>
      </c>
      <c r="E31" s="16">
        <f>IFERROR(__xludf.DUMMYFUNCTION("""COMPUTED_VALUE"""),52.0)</f>
        <v>52</v>
      </c>
      <c r="F31" s="16">
        <f>IFERROR(__xludf.DUMMYFUNCTION("""COMPUTED_VALUE"""),24.7)</f>
        <v>24.7</v>
      </c>
      <c r="G31" s="16">
        <f>IFERROR(__xludf.DUMMYFUNCTION("""COMPUTED_VALUE"""),30.5)</f>
        <v>30.5</v>
      </c>
      <c r="H31" s="16">
        <f>IFERROR(__xludf.DUMMYFUNCTION("""COMPUTED_VALUE"""),21.6)</f>
        <v>21.6</v>
      </c>
    </row>
    <row r="32">
      <c r="A32" s="14">
        <f>VLOOKUP(B32,map!B:C,2,false)</f>
        <v>1</v>
      </c>
      <c r="B32" s="15" t="str">
        <f>IFERROR(__xludf.DUMMYFUNCTION("""COMPUTED_VALUE"""),"Dallas")</f>
        <v>Dallas</v>
      </c>
      <c r="C32" s="16">
        <f>IFERROR(__xludf.DUMMYFUNCTION("""COMPUTED_VALUE"""),28.3)</f>
        <v>28.3</v>
      </c>
      <c r="D32" s="16">
        <f>IFERROR(__xludf.DUMMYFUNCTION("""COMPUTED_VALUE"""),31.3)</f>
        <v>31.3</v>
      </c>
      <c r="E32" s="16">
        <f>IFERROR(__xludf.DUMMYFUNCTION("""COMPUTED_VALUE"""),30.0)</f>
        <v>30</v>
      </c>
      <c r="F32" s="16">
        <f>IFERROR(__xludf.DUMMYFUNCTION("""COMPUTED_VALUE"""),39.7)</f>
        <v>39.7</v>
      </c>
      <c r="G32" s="16">
        <f>IFERROR(__xludf.DUMMYFUNCTION("""COMPUTED_VALUE"""),19.8)</f>
        <v>19.8</v>
      </c>
      <c r="H32" s="16">
        <f>IFERROR(__xludf.DUMMYFUNCTION("""COMPUTED_VALUE"""),20.2)</f>
        <v>20.2</v>
      </c>
    </row>
    <row r="33">
      <c r="A33" s="14">
        <f>VLOOKUP(B33,map!B:C,2,false)</f>
        <v>23</v>
      </c>
      <c r="B33" s="15" t="str">
        <f>IFERROR(__xludf.DUMMYFUNCTION("""COMPUTED_VALUE"""),"Carolina")</f>
        <v>Carolina</v>
      </c>
      <c r="C33" s="16">
        <f>IFERROR(__xludf.DUMMYFUNCTION("""COMPUTED_VALUE"""),33.9)</f>
        <v>33.9</v>
      </c>
      <c r="D33" s="16">
        <f>IFERROR(__xludf.DUMMYFUNCTION("""COMPUTED_VALUE"""),35.3)</f>
        <v>35.3</v>
      </c>
      <c r="E33" s="16">
        <f>IFERROR(__xludf.DUMMYFUNCTION("""COMPUTED_VALUE"""),28.0)</f>
        <v>28</v>
      </c>
      <c r="F33" s="16">
        <f>IFERROR(__xludf.DUMMYFUNCTION("""COMPUTED_VALUE"""),32.7)</f>
        <v>32.7</v>
      </c>
      <c r="G33" s="16">
        <f>IFERROR(__xludf.DUMMYFUNCTION("""COMPUTED_VALUE"""),34.6)</f>
        <v>34.6</v>
      </c>
      <c r="H33" s="16">
        <f>IFERROR(__xludf.DUMMYFUNCTION("""COMPUTED_VALUE"""),24.5)</f>
        <v>24.5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23</v>
      </c>
      <c r="B1" s="11" t="str">
        <f>IFERROR(__xludf.DUMMYFUNCTION("QUERY(IMPORTHTML(""https://www.teamrankings.com/nfl/stat/yards-per-play?date=""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30</v>
      </c>
      <c r="B2" s="15" t="str">
        <f>IFERROR(__xludf.DUMMYFUNCTION("""COMPUTED_VALUE"""),"Baltimore")</f>
        <v>Baltimore</v>
      </c>
      <c r="C2" s="16">
        <f>IFERROR(__xludf.DUMMYFUNCTION("""COMPUTED_VALUE"""),7.1)</f>
        <v>7.1</v>
      </c>
      <c r="D2" s="16">
        <f>IFERROR(__xludf.DUMMYFUNCTION("""COMPUTED_VALUE"""),7.6)</f>
        <v>7.6</v>
      </c>
      <c r="E2" s="16">
        <f>IFERROR(__xludf.DUMMYFUNCTION("""COMPUTED_VALUE"""),6.2)</f>
        <v>6.2</v>
      </c>
      <c r="F2" s="16">
        <f>IFERROR(__xludf.DUMMYFUNCTION("""COMPUTED_VALUE"""),7.1)</f>
        <v>7.1</v>
      </c>
      <c r="G2" s="16">
        <f>IFERROR(__xludf.DUMMYFUNCTION("""COMPUTED_VALUE"""),7.1)</f>
        <v>7.1</v>
      </c>
      <c r="H2" s="16">
        <f>IFERROR(__xludf.DUMMYFUNCTION("""COMPUTED_VALUE"""),5.8)</f>
        <v>5.8</v>
      </c>
    </row>
    <row r="3">
      <c r="A3" s="14">
        <f>VLOOKUP(B3,map!B:C,2,false)</f>
        <v>25</v>
      </c>
      <c r="B3" s="15" t="str">
        <f>IFERROR(__xludf.DUMMYFUNCTION("""COMPUTED_VALUE"""),"San Francisco")</f>
        <v>San Francisco</v>
      </c>
      <c r="C3" s="16">
        <f>IFERROR(__xludf.DUMMYFUNCTION("""COMPUTED_VALUE"""),6.5)</f>
        <v>6.5</v>
      </c>
      <c r="D3" s="16">
        <f>IFERROR(__xludf.DUMMYFUNCTION("""COMPUTED_VALUE"""),7.0)</f>
        <v>7</v>
      </c>
      <c r="E3" s="16">
        <f>IFERROR(__xludf.DUMMYFUNCTION("""COMPUTED_VALUE"""),7.3)</f>
        <v>7.3</v>
      </c>
      <c r="F3" s="16">
        <f>IFERROR(__xludf.DUMMYFUNCTION("""COMPUTED_VALUE"""),6.4)</f>
        <v>6.4</v>
      </c>
      <c r="G3" s="16">
        <f>IFERROR(__xludf.DUMMYFUNCTION("""COMPUTED_VALUE"""),6.8)</f>
        <v>6.8</v>
      </c>
      <c r="H3" s="16">
        <f>IFERROR(__xludf.DUMMYFUNCTION("""COMPUTED_VALUE"""),6.5)</f>
        <v>6.5</v>
      </c>
    </row>
    <row r="4">
      <c r="A4" s="14">
        <f>VLOOKUP(B4,map!B:C,2,false)</f>
        <v>8</v>
      </c>
      <c r="B4" s="15" t="str">
        <f>IFERROR(__xludf.DUMMYFUNCTION("""COMPUTED_VALUE"""),"Washington")</f>
        <v>Washington</v>
      </c>
      <c r="C4" s="16">
        <f>IFERROR(__xludf.DUMMYFUNCTION("""COMPUTED_VALUE"""),6.3)</f>
        <v>6.3</v>
      </c>
      <c r="D4" s="16">
        <f>IFERROR(__xludf.DUMMYFUNCTION("""COMPUTED_VALUE"""),6.3)</f>
        <v>6.3</v>
      </c>
      <c r="E4" s="16">
        <f>IFERROR(__xludf.DUMMYFUNCTION("""COMPUTED_VALUE"""),6.7)</f>
        <v>6.7</v>
      </c>
      <c r="F4" s="16">
        <f>IFERROR(__xludf.DUMMYFUNCTION("""COMPUTED_VALUE"""),6.5)</f>
        <v>6.5</v>
      </c>
      <c r="G4" s="16">
        <f>IFERROR(__xludf.DUMMYFUNCTION("""COMPUTED_VALUE"""),6.0)</f>
        <v>6</v>
      </c>
      <c r="H4" s="16">
        <f>IFERROR(__xludf.DUMMYFUNCTION("""COMPUTED_VALUE"""),5.0)</f>
        <v>5</v>
      </c>
    </row>
    <row r="5">
      <c r="A5" s="14">
        <f>VLOOKUP(B5,map!B:C,2,false)</f>
        <v>5</v>
      </c>
      <c r="B5" s="15" t="str">
        <f>IFERROR(__xludf.DUMMYFUNCTION("""COMPUTED_VALUE"""),"Detroit")</f>
        <v>Detroit</v>
      </c>
      <c r="C5" s="16">
        <f>IFERROR(__xludf.DUMMYFUNCTION("""COMPUTED_VALUE"""),6.3)</f>
        <v>6.3</v>
      </c>
      <c r="D5" s="16">
        <f>IFERROR(__xludf.DUMMYFUNCTION("""COMPUTED_VALUE"""),6.6)</f>
        <v>6.6</v>
      </c>
      <c r="E5" s="16">
        <f>IFERROR(__xludf.DUMMYFUNCTION("""COMPUTED_VALUE"""),4.8)</f>
        <v>4.8</v>
      </c>
      <c r="F5" s="16">
        <f>IFERROR(__xludf.DUMMYFUNCTION("""COMPUTED_VALUE"""),6.0)</f>
        <v>6</v>
      </c>
      <c r="G5" s="16">
        <f>IFERROR(__xludf.DUMMYFUNCTION("""COMPUTED_VALUE"""),6.6)</f>
        <v>6.6</v>
      </c>
      <c r="H5" s="16">
        <f>IFERROR(__xludf.DUMMYFUNCTION("""COMPUTED_VALUE"""),5.9)</f>
        <v>5.9</v>
      </c>
    </row>
    <row r="6">
      <c r="A6" s="14">
        <f>VLOOKUP(B6,map!B:C,2,false)</f>
        <v>14</v>
      </c>
      <c r="B6" s="15" t="str">
        <f>IFERROR(__xludf.DUMMYFUNCTION("""COMPUTED_VALUE"""),"Tampa Bay")</f>
        <v>Tampa Bay</v>
      </c>
      <c r="C6" s="16">
        <f>IFERROR(__xludf.DUMMYFUNCTION("""COMPUTED_VALUE"""),6.1)</f>
        <v>6.1</v>
      </c>
      <c r="D6" s="16">
        <f>IFERROR(__xludf.DUMMYFUNCTION("""COMPUTED_VALUE"""),6.8)</f>
        <v>6.8</v>
      </c>
      <c r="E6" s="16">
        <f>IFERROR(__xludf.DUMMYFUNCTION("""COMPUTED_VALUE"""),6.0)</f>
        <v>6</v>
      </c>
      <c r="F6" s="16">
        <f>IFERROR(__xludf.DUMMYFUNCTION("""COMPUTED_VALUE"""),5.8)</f>
        <v>5.8</v>
      </c>
      <c r="G6" s="16">
        <f>IFERROR(__xludf.DUMMYFUNCTION("""COMPUTED_VALUE"""),6.7)</f>
        <v>6.7</v>
      </c>
      <c r="H6" s="16">
        <f>IFERROR(__xludf.DUMMYFUNCTION("""COMPUTED_VALUE"""),5.2)</f>
        <v>5.2</v>
      </c>
    </row>
    <row r="7">
      <c r="A7" s="14">
        <f>VLOOKUP(B7,map!B:C,2,false)</f>
        <v>15</v>
      </c>
      <c r="B7" s="15" t="str">
        <f>IFERROR(__xludf.DUMMYFUNCTION("""COMPUTED_VALUE"""),"Green Bay")</f>
        <v>Green Bay</v>
      </c>
      <c r="C7" s="16">
        <f>IFERROR(__xludf.DUMMYFUNCTION("""COMPUTED_VALUE"""),6.1)</f>
        <v>6.1</v>
      </c>
      <c r="D7" s="16">
        <f>IFERROR(__xludf.DUMMYFUNCTION("""COMPUTED_VALUE"""),5.9)</f>
        <v>5.9</v>
      </c>
      <c r="E7" s="16">
        <f>IFERROR(__xludf.DUMMYFUNCTION("""COMPUTED_VALUE"""),6.3)</f>
        <v>6.3</v>
      </c>
      <c r="F7" s="16">
        <f>IFERROR(__xludf.DUMMYFUNCTION("""COMPUTED_VALUE"""),5.9)</f>
        <v>5.9</v>
      </c>
      <c r="G7" s="16">
        <f>IFERROR(__xludf.DUMMYFUNCTION("""COMPUTED_VALUE"""),6.4)</f>
        <v>6.4</v>
      </c>
      <c r="H7" s="16">
        <f>IFERROR(__xludf.DUMMYFUNCTION("""COMPUTED_VALUE"""),5.7)</f>
        <v>5.7</v>
      </c>
    </row>
    <row r="8">
      <c r="A8" s="14">
        <f>VLOOKUP(B8,map!B:C,2,false)</f>
        <v>28</v>
      </c>
      <c r="B8" s="15" t="str">
        <f>IFERROR(__xludf.DUMMYFUNCTION("""COMPUTED_VALUE"""),"Atlanta")</f>
        <v>Atlanta</v>
      </c>
      <c r="C8" s="16">
        <f>IFERROR(__xludf.DUMMYFUNCTION("""COMPUTED_VALUE"""),6.0)</f>
        <v>6</v>
      </c>
      <c r="D8" s="16">
        <f>IFERROR(__xludf.DUMMYFUNCTION("""COMPUTED_VALUE"""),6.0)</f>
        <v>6</v>
      </c>
      <c r="E8" s="16">
        <f>IFERROR(__xludf.DUMMYFUNCTION("""COMPUTED_VALUE"""),6.6)</f>
        <v>6.6</v>
      </c>
      <c r="F8" s="16">
        <f>IFERROR(__xludf.DUMMYFUNCTION("""COMPUTED_VALUE"""),5.7)</f>
        <v>5.7</v>
      </c>
      <c r="G8" s="16">
        <f>IFERROR(__xludf.DUMMYFUNCTION("""COMPUTED_VALUE"""),6.5)</f>
        <v>6.5</v>
      </c>
      <c r="H8" s="16">
        <f>IFERROR(__xludf.DUMMYFUNCTION("""COMPUTED_VALUE"""),5.2)</f>
        <v>5.2</v>
      </c>
    </row>
    <row r="9">
      <c r="A9" s="14">
        <f>VLOOKUP(B9,map!B:C,2,false)</f>
        <v>21</v>
      </c>
      <c r="B9" s="15" t="str">
        <f>IFERROR(__xludf.DUMMYFUNCTION("""COMPUTED_VALUE"""),"Arizona")</f>
        <v>Arizona</v>
      </c>
      <c r="C9" s="16">
        <f>IFERROR(__xludf.DUMMYFUNCTION("""COMPUTED_VALUE"""),5.9)</f>
        <v>5.9</v>
      </c>
      <c r="D9" s="16">
        <f>IFERROR(__xludf.DUMMYFUNCTION("""COMPUTED_VALUE"""),5.9)</f>
        <v>5.9</v>
      </c>
      <c r="E9" s="16">
        <f>IFERROR(__xludf.DUMMYFUNCTION("""COMPUTED_VALUE"""),6.3)</f>
        <v>6.3</v>
      </c>
      <c r="F9" s="16">
        <f>IFERROR(__xludf.DUMMYFUNCTION("""COMPUTED_VALUE"""),6.1)</f>
        <v>6.1</v>
      </c>
      <c r="G9" s="16">
        <f>IFERROR(__xludf.DUMMYFUNCTION("""COMPUTED_VALUE"""),5.6)</f>
        <v>5.6</v>
      </c>
      <c r="H9" s="16">
        <f>IFERROR(__xludf.DUMMYFUNCTION("""COMPUTED_VALUE"""),5.2)</f>
        <v>5.2</v>
      </c>
    </row>
    <row r="10">
      <c r="A10" s="14">
        <f>VLOOKUP(B10,map!B:C,2,false)</f>
        <v>11</v>
      </c>
      <c r="B10" s="15" t="str">
        <f>IFERROR(__xludf.DUMMYFUNCTION("""COMPUTED_VALUE"""),"Buffalo")</f>
        <v>Buffalo</v>
      </c>
      <c r="C10" s="16">
        <f>IFERROR(__xludf.DUMMYFUNCTION("""COMPUTED_VALUE"""),5.8)</f>
        <v>5.8</v>
      </c>
      <c r="D10" s="16">
        <f>IFERROR(__xludf.DUMMYFUNCTION("""COMPUTED_VALUE"""),6.5)</f>
        <v>6.5</v>
      </c>
      <c r="E10" s="16">
        <f>IFERROR(__xludf.DUMMYFUNCTION("""COMPUTED_VALUE"""),6.4)</f>
        <v>6.4</v>
      </c>
      <c r="F10" s="16">
        <f>IFERROR(__xludf.DUMMYFUNCTION("""COMPUTED_VALUE"""),6.6)</f>
        <v>6.6</v>
      </c>
      <c r="G10" s="16">
        <f>IFERROR(__xludf.DUMMYFUNCTION("""COMPUTED_VALUE"""),5.4)</f>
        <v>5.4</v>
      </c>
      <c r="H10" s="16">
        <f>IFERROR(__xludf.DUMMYFUNCTION("""COMPUTED_VALUE"""),5.6)</f>
        <v>5.6</v>
      </c>
    </row>
    <row r="11">
      <c r="A11" s="14">
        <f>VLOOKUP(B11,map!B:C,2,false)</f>
        <v>6</v>
      </c>
      <c r="B11" s="15" t="str">
        <f>IFERROR(__xludf.DUMMYFUNCTION("""COMPUTED_VALUE"""),"Jacksonville")</f>
        <v>Jacksonville</v>
      </c>
      <c r="C11" s="16">
        <f>IFERROR(__xludf.DUMMYFUNCTION("""COMPUTED_VALUE"""),5.8)</f>
        <v>5.8</v>
      </c>
      <c r="D11" s="16">
        <f>IFERROR(__xludf.DUMMYFUNCTION("""COMPUTED_VALUE"""),5.9)</f>
        <v>5.9</v>
      </c>
      <c r="E11" s="16">
        <f>IFERROR(__xludf.DUMMYFUNCTION("""COMPUTED_VALUE"""),7.0)</f>
        <v>7</v>
      </c>
      <c r="F11" s="16">
        <f>IFERROR(__xludf.DUMMYFUNCTION("""COMPUTED_VALUE"""),7.2)</f>
        <v>7.2</v>
      </c>
      <c r="G11" s="16">
        <f>IFERROR(__xludf.DUMMYFUNCTION("""COMPUTED_VALUE"""),5.0)</f>
        <v>5</v>
      </c>
      <c r="H11" s="16">
        <f>IFERROR(__xludf.DUMMYFUNCTION("""COMPUTED_VALUE"""),5.2)</f>
        <v>5.2</v>
      </c>
    </row>
    <row r="12">
      <c r="A12" s="14">
        <f>VLOOKUP(B12,map!B:C,2,false)</f>
        <v>3</v>
      </c>
      <c r="B12" s="15" t="str">
        <f>IFERROR(__xludf.DUMMYFUNCTION("""COMPUTED_VALUE"""),"Minnesota")</f>
        <v>Minnesota</v>
      </c>
      <c r="C12" s="16">
        <f>IFERROR(__xludf.DUMMYFUNCTION("""COMPUTED_VALUE"""),5.7)</f>
        <v>5.7</v>
      </c>
      <c r="D12" s="16">
        <f>IFERROR(__xludf.DUMMYFUNCTION("""COMPUTED_VALUE"""),5.4)</f>
        <v>5.4</v>
      </c>
      <c r="E12" s="16">
        <f>IFERROR(__xludf.DUMMYFUNCTION("""COMPUTED_VALUE"""),5.5)</f>
        <v>5.5</v>
      </c>
      <c r="F12" s="16">
        <f>IFERROR(__xludf.DUMMYFUNCTION("""COMPUTED_VALUE"""),6.4)</f>
        <v>6.4</v>
      </c>
      <c r="G12" s="16">
        <f>IFERROR(__xludf.DUMMYFUNCTION("""COMPUTED_VALUE"""),5.3)</f>
        <v>5.3</v>
      </c>
      <c r="H12" s="16">
        <f>IFERROR(__xludf.DUMMYFUNCTION("""COMPUTED_VALUE"""),5.5)</f>
        <v>5.5</v>
      </c>
    </row>
    <row r="13">
      <c r="A13" s="14">
        <f>VLOOKUP(B13,map!B:C,2,false)</f>
        <v>12</v>
      </c>
      <c r="B13" s="15" t="str">
        <f>IFERROR(__xludf.DUMMYFUNCTION("""COMPUTED_VALUE"""),"Philadelphia")</f>
        <v>Philadelphia</v>
      </c>
      <c r="C13" s="16">
        <f>IFERROR(__xludf.DUMMYFUNCTION("""COMPUTED_VALUE"""),5.7)</f>
        <v>5.7</v>
      </c>
      <c r="D13" s="16">
        <f>IFERROR(__xludf.DUMMYFUNCTION("""COMPUTED_VALUE"""),6.0)</f>
        <v>6</v>
      </c>
      <c r="E13" s="16">
        <f>IFERROR(__xludf.DUMMYFUNCTION("""COMPUTED_VALUE"""),6.7)</f>
        <v>6.7</v>
      </c>
      <c r="F13" s="16">
        <f>IFERROR(__xludf.DUMMYFUNCTION("""COMPUTED_VALUE"""),5.7)</f>
        <v>5.7</v>
      </c>
      <c r="G13" s="16">
        <f>IFERROR(__xludf.DUMMYFUNCTION("""COMPUTED_VALUE"""),5.7)</f>
        <v>5.7</v>
      </c>
      <c r="H13" s="16">
        <f>IFERROR(__xludf.DUMMYFUNCTION("""COMPUTED_VALUE"""),5.4)</f>
        <v>5.4</v>
      </c>
    </row>
    <row r="14">
      <c r="A14" s="14">
        <f>VLOOKUP(B14,map!B:C,2,false)</f>
        <v>4</v>
      </c>
      <c r="B14" s="15" t="str">
        <f>IFERROR(__xludf.DUMMYFUNCTION("""COMPUTED_VALUE"""),"Cincinnati")</f>
        <v>Cincinnati</v>
      </c>
      <c r="C14" s="16">
        <f>IFERROR(__xludf.DUMMYFUNCTION("""COMPUTED_VALUE"""),5.7)</f>
        <v>5.7</v>
      </c>
      <c r="D14" s="16">
        <f>IFERROR(__xludf.DUMMYFUNCTION("""COMPUTED_VALUE"""),5.0)</f>
        <v>5</v>
      </c>
      <c r="E14" s="16">
        <f>IFERROR(__xludf.DUMMYFUNCTION("""COMPUTED_VALUE"""),4.8)</f>
        <v>4.8</v>
      </c>
      <c r="F14" s="16">
        <f>IFERROR(__xludf.DUMMYFUNCTION("""COMPUTED_VALUE"""),6.0)</f>
        <v>6</v>
      </c>
      <c r="G14" s="16">
        <f>IFERROR(__xludf.DUMMYFUNCTION("""COMPUTED_VALUE"""),5.4)</f>
        <v>5.4</v>
      </c>
      <c r="H14" s="16">
        <f>IFERROR(__xludf.DUMMYFUNCTION("""COMPUTED_VALUE"""),5.2)</f>
        <v>5.2</v>
      </c>
    </row>
    <row r="15">
      <c r="A15" s="14">
        <f>VLOOKUP(B15,map!B:C,2,false)</f>
        <v>13</v>
      </c>
      <c r="B15" s="15" t="str">
        <f>IFERROR(__xludf.DUMMYFUNCTION("""COMPUTED_VALUE"""),"Seattle")</f>
        <v>Seattle</v>
      </c>
      <c r="C15" s="16">
        <f>IFERROR(__xludf.DUMMYFUNCTION("""COMPUTED_VALUE"""),5.6)</f>
        <v>5.6</v>
      </c>
      <c r="D15" s="16">
        <f>IFERROR(__xludf.DUMMYFUNCTION("""COMPUTED_VALUE"""),5.3)</f>
        <v>5.3</v>
      </c>
      <c r="E15" s="16">
        <f>IFERROR(__xludf.DUMMYFUNCTION("""COMPUTED_VALUE"""),5.0)</f>
        <v>5</v>
      </c>
      <c r="F15" s="16">
        <f>IFERROR(__xludf.DUMMYFUNCTION("""COMPUTED_VALUE"""),5.4)</f>
        <v>5.4</v>
      </c>
      <c r="G15" s="16">
        <f>IFERROR(__xludf.DUMMYFUNCTION("""COMPUTED_VALUE"""),6.1)</f>
        <v>6.1</v>
      </c>
      <c r="H15" s="16">
        <f>IFERROR(__xludf.DUMMYFUNCTION("""COMPUTED_VALUE"""),5.5)</f>
        <v>5.5</v>
      </c>
    </row>
    <row r="16">
      <c r="A16" s="14">
        <f>VLOOKUP(B16,map!B:C,2,false)</f>
        <v>20</v>
      </c>
      <c r="B16" s="15" t="str">
        <f>IFERROR(__xludf.DUMMYFUNCTION("""COMPUTED_VALUE"""),"Indianapolis")</f>
        <v>Indianapolis</v>
      </c>
      <c r="C16" s="16">
        <f>IFERROR(__xludf.DUMMYFUNCTION("""COMPUTED_VALUE"""),5.5)</f>
        <v>5.5</v>
      </c>
      <c r="D16" s="16">
        <f>IFERROR(__xludf.DUMMYFUNCTION("""COMPUTED_VALUE"""),4.5)</f>
        <v>4.5</v>
      </c>
      <c r="E16" s="16">
        <f>IFERROR(__xludf.DUMMYFUNCTION("""COMPUTED_VALUE"""),4.8)</f>
        <v>4.8</v>
      </c>
      <c r="F16" s="16">
        <f>IFERROR(__xludf.DUMMYFUNCTION("""COMPUTED_VALUE"""),5.6)</f>
        <v>5.6</v>
      </c>
      <c r="G16" s="16">
        <f>IFERROR(__xludf.DUMMYFUNCTION("""COMPUTED_VALUE"""),5.4)</f>
        <v>5.4</v>
      </c>
      <c r="H16" s="16">
        <f>IFERROR(__xludf.DUMMYFUNCTION("""COMPUTED_VALUE"""),5.2)</f>
        <v>5.2</v>
      </c>
    </row>
    <row r="17">
      <c r="A17" s="14">
        <f>VLOOKUP(B17,map!B:C,2,false)</f>
        <v>17</v>
      </c>
      <c r="B17" s="15" t="str">
        <f>IFERROR(__xludf.DUMMYFUNCTION("""COMPUTED_VALUE"""),"Houston")</f>
        <v>Houston</v>
      </c>
      <c r="C17" s="16">
        <f>IFERROR(__xludf.DUMMYFUNCTION("""COMPUTED_VALUE"""),5.4)</f>
        <v>5.4</v>
      </c>
      <c r="D17" s="16">
        <f>IFERROR(__xludf.DUMMYFUNCTION("""COMPUTED_VALUE"""),4.9)</f>
        <v>4.9</v>
      </c>
      <c r="E17" s="16">
        <f>IFERROR(__xludf.DUMMYFUNCTION("""COMPUTED_VALUE"""),5.3)</f>
        <v>5.3</v>
      </c>
      <c r="F17" s="16">
        <f>IFERROR(__xludf.DUMMYFUNCTION("""COMPUTED_VALUE"""),5.8)</f>
        <v>5.8</v>
      </c>
      <c r="G17" s="16">
        <f>IFERROR(__xludf.DUMMYFUNCTION("""COMPUTED_VALUE"""),4.9)</f>
        <v>4.9</v>
      </c>
      <c r="H17" s="16">
        <f>IFERROR(__xludf.DUMMYFUNCTION("""COMPUTED_VALUE"""),5.4)</f>
        <v>5.4</v>
      </c>
    </row>
    <row r="18">
      <c r="A18" s="14">
        <f>VLOOKUP(B18,map!B:C,2,false)</f>
        <v>2</v>
      </c>
      <c r="B18" s="15" t="str">
        <f>IFERROR(__xludf.DUMMYFUNCTION("""COMPUTED_VALUE"""),"Kansas City")</f>
        <v>Kansas City</v>
      </c>
      <c r="C18" s="16">
        <f>IFERROR(__xludf.DUMMYFUNCTION("""COMPUTED_VALUE"""),5.4)</f>
        <v>5.4</v>
      </c>
      <c r="D18" s="16">
        <f>IFERROR(__xludf.DUMMYFUNCTION("""COMPUTED_VALUE"""),5.2)</f>
        <v>5.2</v>
      </c>
      <c r="E18" s="16">
        <f>IFERROR(__xludf.DUMMYFUNCTION("""COMPUTED_VALUE"""),4.9)</f>
        <v>4.9</v>
      </c>
      <c r="F18" s="16">
        <f>IFERROR(__xludf.DUMMYFUNCTION("""COMPUTED_VALUE"""),5.8)</f>
        <v>5.8</v>
      </c>
      <c r="G18" s="16">
        <f>IFERROR(__xludf.DUMMYFUNCTION("""COMPUTED_VALUE"""),5.0)</f>
        <v>5</v>
      </c>
      <c r="H18" s="16">
        <f>IFERROR(__xludf.DUMMYFUNCTION("""COMPUTED_VALUE"""),5.6)</f>
        <v>5.6</v>
      </c>
    </row>
    <row r="19">
      <c r="A19" s="14">
        <f>VLOOKUP(B19,map!B:C,2,false)</f>
        <v>18</v>
      </c>
      <c r="B19" s="15" t="str">
        <f>IFERROR(__xludf.DUMMYFUNCTION("""COMPUTED_VALUE"""),"LA Rams")</f>
        <v>LA Rams</v>
      </c>
      <c r="C19" s="16">
        <f>IFERROR(__xludf.DUMMYFUNCTION("""COMPUTED_VALUE"""),5.2)</f>
        <v>5.2</v>
      </c>
      <c r="D19" s="16">
        <f>IFERROR(__xludf.DUMMYFUNCTION("""COMPUTED_VALUE"""),5.2)</f>
        <v>5.2</v>
      </c>
      <c r="E19" s="16">
        <f>IFERROR(__xludf.DUMMYFUNCTION("""COMPUTED_VALUE"""),5.8)</f>
        <v>5.8</v>
      </c>
      <c r="F19" s="16">
        <f>IFERROR(__xludf.DUMMYFUNCTION("""COMPUTED_VALUE"""),5.3)</f>
        <v>5.3</v>
      </c>
      <c r="G19" s="16">
        <f>IFERROR(__xludf.DUMMYFUNCTION("""COMPUTED_VALUE"""),5.2)</f>
        <v>5.2</v>
      </c>
      <c r="H19" s="16">
        <f>IFERROR(__xludf.DUMMYFUNCTION("""COMPUTED_VALUE"""),5.7)</f>
        <v>5.7</v>
      </c>
    </row>
    <row r="20">
      <c r="A20" s="14">
        <f>VLOOKUP(B20,map!B:C,2,false)</f>
        <v>7</v>
      </c>
      <c r="B20" s="15" t="str">
        <f>IFERROR(__xludf.DUMMYFUNCTION("""COMPUTED_VALUE"""),"LA Chargers")</f>
        <v>LA Chargers</v>
      </c>
      <c r="C20" s="16">
        <f>IFERROR(__xludf.DUMMYFUNCTION("""COMPUTED_VALUE"""),5.2)</f>
        <v>5.2</v>
      </c>
      <c r="D20" s="16">
        <f>IFERROR(__xludf.DUMMYFUNCTION("""COMPUTED_VALUE"""),5.5)</f>
        <v>5.5</v>
      </c>
      <c r="E20" s="16">
        <f>IFERROR(__xludf.DUMMYFUNCTION("""COMPUTED_VALUE"""),5.9)</f>
        <v>5.9</v>
      </c>
      <c r="F20" s="16">
        <f>IFERROR(__xludf.DUMMYFUNCTION("""COMPUTED_VALUE"""),5.4)</f>
        <v>5.4</v>
      </c>
      <c r="G20" s="16">
        <f>IFERROR(__xludf.DUMMYFUNCTION("""COMPUTED_VALUE"""),5.1)</f>
        <v>5.1</v>
      </c>
      <c r="H20" s="16">
        <f>IFERROR(__xludf.DUMMYFUNCTION("""COMPUTED_VALUE"""),5.1)</f>
        <v>5.1</v>
      </c>
    </row>
    <row r="21">
      <c r="A21" s="14">
        <f>VLOOKUP(B21,map!B:C,2,false)</f>
        <v>1</v>
      </c>
      <c r="B21" s="15" t="str">
        <f>IFERROR(__xludf.DUMMYFUNCTION("""COMPUTED_VALUE"""),"Dallas")</f>
        <v>Dallas</v>
      </c>
      <c r="C21" s="16">
        <f>IFERROR(__xludf.DUMMYFUNCTION("""COMPUTED_VALUE"""),5.2)</f>
        <v>5.2</v>
      </c>
      <c r="D21" s="16">
        <f>IFERROR(__xludf.DUMMYFUNCTION("""COMPUTED_VALUE"""),5.0)</f>
        <v>5</v>
      </c>
      <c r="E21" s="16">
        <f>IFERROR(__xludf.DUMMYFUNCTION("""COMPUTED_VALUE"""),4.9)</f>
        <v>4.9</v>
      </c>
      <c r="F21" s="16">
        <f>IFERROR(__xludf.DUMMYFUNCTION("""COMPUTED_VALUE"""),5.1)</f>
        <v>5.1</v>
      </c>
      <c r="G21" s="16">
        <f>IFERROR(__xludf.DUMMYFUNCTION("""COMPUTED_VALUE"""),5.3)</f>
        <v>5.3</v>
      </c>
      <c r="H21" s="16">
        <f>IFERROR(__xludf.DUMMYFUNCTION("""COMPUTED_VALUE"""),5.6)</f>
        <v>5.6</v>
      </c>
    </row>
    <row r="22">
      <c r="A22" s="14">
        <f>VLOOKUP(B22,map!B:C,2,false)</f>
        <v>9</v>
      </c>
      <c r="B22" s="15" t="str">
        <f>IFERROR(__xludf.DUMMYFUNCTION("""COMPUTED_VALUE"""),"New Orleans")</f>
        <v>New Orleans</v>
      </c>
      <c r="C22" s="16">
        <f>IFERROR(__xludf.DUMMYFUNCTION("""COMPUTED_VALUE"""),5.2)</f>
        <v>5.2</v>
      </c>
      <c r="D22" s="16">
        <f>IFERROR(__xludf.DUMMYFUNCTION("""COMPUTED_VALUE"""),4.7)</f>
        <v>4.7</v>
      </c>
      <c r="E22" s="16">
        <f>IFERROR(__xludf.DUMMYFUNCTION("""COMPUTED_VALUE"""),5.4)</f>
        <v>5.4</v>
      </c>
      <c r="F22" s="16">
        <f>IFERROR(__xludf.DUMMYFUNCTION("""COMPUTED_VALUE"""),4.7)</f>
        <v>4.7</v>
      </c>
      <c r="G22" s="16">
        <f>IFERROR(__xludf.DUMMYFUNCTION("""COMPUTED_VALUE"""),5.6)</f>
        <v>5.6</v>
      </c>
      <c r="H22" s="16">
        <f>IFERROR(__xludf.DUMMYFUNCTION("""COMPUTED_VALUE"""),5.1)</f>
        <v>5.1</v>
      </c>
    </row>
    <row r="23">
      <c r="A23" s="14">
        <f>VLOOKUP(B23,map!B:C,2,false)</f>
        <v>19</v>
      </c>
      <c r="B23" s="15" t="str">
        <f>IFERROR(__xludf.DUMMYFUNCTION("""COMPUTED_VALUE"""),"NY Jets")</f>
        <v>NY Jets</v>
      </c>
      <c r="C23" s="16">
        <f>IFERROR(__xludf.DUMMYFUNCTION("""COMPUTED_VALUE"""),5.1)</f>
        <v>5.1</v>
      </c>
      <c r="D23" s="16">
        <f>IFERROR(__xludf.DUMMYFUNCTION("""COMPUTED_VALUE"""),6.2)</f>
        <v>6.2</v>
      </c>
      <c r="E23" s="16">
        <f>IFERROR(__xludf.DUMMYFUNCTION("""COMPUTED_VALUE"""),5.9)</f>
        <v>5.9</v>
      </c>
      <c r="F23" s="16">
        <f>IFERROR(__xludf.DUMMYFUNCTION("""COMPUTED_VALUE"""),5.2)</f>
        <v>5.2</v>
      </c>
      <c r="G23" s="16">
        <f>IFERROR(__xludf.DUMMYFUNCTION("""COMPUTED_VALUE"""),5.0)</f>
        <v>5</v>
      </c>
      <c r="H23" s="16">
        <f>IFERROR(__xludf.DUMMYFUNCTION("""COMPUTED_VALUE"""),4.3)</f>
        <v>4.3</v>
      </c>
    </row>
    <row r="24">
      <c r="A24" s="14">
        <f>VLOOKUP(B24,map!B:C,2,false)</f>
        <v>27</v>
      </c>
      <c r="B24" s="15" t="str">
        <f>IFERROR(__xludf.DUMMYFUNCTION("""COMPUTED_VALUE"""),"Denver")</f>
        <v>Denver</v>
      </c>
      <c r="C24" s="16">
        <f>IFERROR(__xludf.DUMMYFUNCTION("""COMPUTED_VALUE"""),5.0)</f>
        <v>5</v>
      </c>
      <c r="D24" s="16">
        <f>IFERROR(__xludf.DUMMYFUNCTION("""COMPUTED_VALUE"""),5.9)</f>
        <v>5.9</v>
      </c>
      <c r="E24" s="16">
        <f>IFERROR(__xludf.DUMMYFUNCTION("""COMPUTED_VALUE"""),5.5)</f>
        <v>5.5</v>
      </c>
      <c r="F24" s="16">
        <f>IFERROR(__xludf.DUMMYFUNCTION("""COMPUTED_VALUE"""),5.4)</f>
        <v>5.4</v>
      </c>
      <c r="G24" s="16">
        <f>IFERROR(__xludf.DUMMYFUNCTION("""COMPUTED_VALUE"""),4.6)</f>
        <v>4.6</v>
      </c>
      <c r="H24" s="16">
        <f>IFERROR(__xludf.DUMMYFUNCTION("""COMPUTED_VALUE"""),5.0)</f>
        <v>5</v>
      </c>
    </row>
    <row r="25">
      <c r="A25" s="14">
        <f>VLOOKUP(B25,map!B:C,2,false)</f>
        <v>29</v>
      </c>
      <c r="B25" s="15" t="str">
        <f>IFERROR(__xludf.DUMMYFUNCTION("""COMPUTED_VALUE"""),"Pittsburgh")</f>
        <v>Pittsburgh</v>
      </c>
      <c r="C25" s="16">
        <f>IFERROR(__xludf.DUMMYFUNCTION("""COMPUTED_VALUE"""),5.0)</f>
        <v>5</v>
      </c>
      <c r="D25" s="16">
        <f>IFERROR(__xludf.DUMMYFUNCTION("""COMPUTED_VALUE"""),5.0)</f>
        <v>5</v>
      </c>
      <c r="E25" s="16">
        <f>IFERROR(__xludf.DUMMYFUNCTION("""COMPUTED_VALUE"""),6.2)</f>
        <v>6.2</v>
      </c>
      <c r="F25" s="16">
        <f>IFERROR(__xludf.DUMMYFUNCTION("""COMPUTED_VALUE"""),5.2)</f>
        <v>5.2</v>
      </c>
      <c r="G25" s="16">
        <f>IFERROR(__xludf.DUMMYFUNCTION("""COMPUTED_VALUE"""),4.8)</f>
        <v>4.8</v>
      </c>
      <c r="H25" s="16">
        <f>IFERROR(__xludf.DUMMYFUNCTION("""COMPUTED_VALUE"""),5.0)</f>
        <v>5</v>
      </c>
    </row>
    <row r="26">
      <c r="A26" s="14">
        <f>VLOOKUP(B26,map!B:C,2,false)</f>
        <v>10</v>
      </c>
      <c r="B26" s="15" t="str">
        <f>IFERROR(__xludf.DUMMYFUNCTION("""COMPUTED_VALUE"""),"Miami")</f>
        <v>Miami</v>
      </c>
      <c r="C26" s="16">
        <f>IFERROR(__xludf.DUMMYFUNCTION("""COMPUTED_VALUE"""),4.9)</f>
        <v>4.9</v>
      </c>
      <c r="D26" s="16">
        <f>IFERROR(__xludf.DUMMYFUNCTION("""COMPUTED_VALUE"""),5.2)</f>
        <v>5.2</v>
      </c>
      <c r="E26" s="16">
        <f>IFERROR(__xludf.DUMMYFUNCTION("""COMPUTED_VALUE"""),5.9)</f>
        <v>5.9</v>
      </c>
      <c r="F26" s="16">
        <f>IFERROR(__xludf.DUMMYFUNCTION("""COMPUTED_VALUE"""),5.1)</f>
        <v>5.1</v>
      </c>
      <c r="G26" s="16">
        <f>IFERROR(__xludf.DUMMYFUNCTION("""COMPUTED_VALUE"""),4.6)</f>
        <v>4.6</v>
      </c>
      <c r="H26" s="16">
        <f>IFERROR(__xludf.DUMMYFUNCTION("""COMPUTED_VALUE"""),6.4)</f>
        <v>6.4</v>
      </c>
    </row>
    <row r="27">
      <c r="A27" s="14">
        <f>VLOOKUP(B27,map!B:C,2,false)</f>
        <v>23</v>
      </c>
      <c r="B27" s="15" t="str">
        <f>IFERROR(__xludf.DUMMYFUNCTION("""COMPUTED_VALUE"""),"Carolina")</f>
        <v>Carolina</v>
      </c>
      <c r="C27" s="16">
        <f>IFERROR(__xludf.DUMMYFUNCTION("""COMPUTED_VALUE"""),4.9)</f>
        <v>4.9</v>
      </c>
      <c r="D27" s="16">
        <f>IFERROR(__xludf.DUMMYFUNCTION("""COMPUTED_VALUE"""),4.8)</f>
        <v>4.8</v>
      </c>
      <c r="E27" s="16">
        <f>IFERROR(__xludf.DUMMYFUNCTION("""COMPUTED_VALUE"""),4.7)</f>
        <v>4.7</v>
      </c>
      <c r="F27" s="16">
        <f>IFERROR(__xludf.DUMMYFUNCTION("""COMPUTED_VALUE"""),4.9)</f>
        <v>4.9</v>
      </c>
      <c r="G27" s="16">
        <f>IFERROR(__xludf.DUMMYFUNCTION("""COMPUTED_VALUE"""),4.8)</f>
        <v>4.8</v>
      </c>
      <c r="H27" s="16">
        <f>IFERROR(__xludf.DUMMYFUNCTION("""COMPUTED_VALUE"""),4.1)</f>
        <v>4.1</v>
      </c>
    </row>
    <row r="28">
      <c r="A28" s="14">
        <f>VLOOKUP(B28,map!B:C,2,false)</f>
        <v>31</v>
      </c>
      <c r="B28" s="15" t="str">
        <f>IFERROR(__xludf.DUMMYFUNCTION("""COMPUTED_VALUE"""),"Chicago")</f>
        <v>Chicago</v>
      </c>
      <c r="C28" s="16">
        <f>IFERROR(__xludf.DUMMYFUNCTION("""COMPUTED_VALUE"""),4.7)</f>
        <v>4.7</v>
      </c>
      <c r="D28" s="16">
        <f>IFERROR(__xludf.DUMMYFUNCTION("""COMPUTED_VALUE"""),5.8)</f>
        <v>5.8</v>
      </c>
      <c r="E28" s="16">
        <f>IFERROR(__xludf.DUMMYFUNCTION("""COMPUTED_VALUE"""),5.1)</f>
        <v>5.1</v>
      </c>
      <c r="F28" s="16">
        <f>IFERROR(__xludf.DUMMYFUNCTION("""COMPUTED_VALUE"""),4.8)</f>
        <v>4.8</v>
      </c>
      <c r="G28" s="16">
        <f>IFERROR(__xludf.DUMMYFUNCTION("""COMPUTED_VALUE"""),4.7)</f>
        <v>4.7</v>
      </c>
      <c r="H28" s="16">
        <f>IFERROR(__xludf.DUMMYFUNCTION("""COMPUTED_VALUE"""),5.0)</f>
        <v>5</v>
      </c>
    </row>
    <row r="29">
      <c r="A29" s="14">
        <f>VLOOKUP(B29,map!B:C,2,false)</f>
        <v>24</v>
      </c>
      <c r="B29" s="15" t="str">
        <f>IFERROR(__xludf.DUMMYFUNCTION("""COMPUTED_VALUE"""),"Las Vegas")</f>
        <v>Las Vegas</v>
      </c>
      <c r="C29" s="16">
        <f>IFERROR(__xludf.DUMMYFUNCTION("""COMPUTED_VALUE"""),4.7)</f>
        <v>4.7</v>
      </c>
      <c r="D29" s="16">
        <f>IFERROR(__xludf.DUMMYFUNCTION("""COMPUTED_VALUE"""),4.3)</f>
        <v>4.3</v>
      </c>
      <c r="E29" s="16">
        <f>IFERROR(__xludf.DUMMYFUNCTION("""COMPUTED_VALUE"""),4.1)</f>
        <v>4.1</v>
      </c>
      <c r="F29" s="16">
        <f>IFERROR(__xludf.DUMMYFUNCTION("""COMPUTED_VALUE"""),4.8)</f>
        <v>4.8</v>
      </c>
      <c r="G29" s="16">
        <f>IFERROR(__xludf.DUMMYFUNCTION("""COMPUTED_VALUE"""),4.6)</f>
        <v>4.6</v>
      </c>
      <c r="H29" s="16">
        <f>IFERROR(__xludf.DUMMYFUNCTION("""COMPUTED_VALUE"""),4.9)</f>
        <v>4.9</v>
      </c>
    </row>
    <row r="30">
      <c r="A30" s="14">
        <f>VLOOKUP(B30,map!B:C,2,false)</f>
        <v>32</v>
      </c>
      <c r="B30" s="15" t="str">
        <f>IFERROR(__xludf.DUMMYFUNCTION("""COMPUTED_VALUE"""),"Tennessee")</f>
        <v>Tennessee</v>
      </c>
      <c r="C30" s="16">
        <f>IFERROR(__xludf.DUMMYFUNCTION("""COMPUTED_VALUE"""),4.6)</f>
        <v>4.6</v>
      </c>
      <c r="D30" s="16">
        <f>IFERROR(__xludf.DUMMYFUNCTION("""COMPUTED_VALUE"""),4.9)</f>
        <v>4.9</v>
      </c>
      <c r="E30" s="16">
        <f>IFERROR(__xludf.DUMMYFUNCTION("""COMPUTED_VALUE"""),5.9)</f>
        <v>5.9</v>
      </c>
      <c r="F30" s="16">
        <f>IFERROR(__xludf.DUMMYFUNCTION("""COMPUTED_VALUE"""),4.6)</f>
        <v>4.6</v>
      </c>
      <c r="G30" s="16">
        <f>IFERROR(__xludf.DUMMYFUNCTION("""COMPUTED_VALUE"""),4.6)</f>
        <v>4.6</v>
      </c>
      <c r="H30" s="16">
        <f>IFERROR(__xludf.DUMMYFUNCTION("""COMPUTED_VALUE"""),4.9)</f>
        <v>4.9</v>
      </c>
    </row>
    <row r="31">
      <c r="A31" s="14">
        <f>VLOOKUP(B31,map!B:C,2,false)</f>
        <v>26</v>
      </c>
      <c r="B31" s="15" t="str">
        <f>IFERROR(__xludf.DUMMYFUNCTION("""COMPUTED_VALUE"""),"NY Giants")</f>
        <v>NY Giants</v>
      </c>
      <c r="C31" s="16">
        <f>IFERROR(__xludf.DUMMYFUNCTION("""COMPUTED_VALUE"""),4.5)</f>
        <v>4.5</v>
      </c>
      <c r="D31" s="16">
        <f>IFERROR(__xludf.DUMMYFUNCTION("""COMPUTED_VALUE"""),4.2)</f>
        <v>4.2</v>
      </c>
      <c r="E31" s="16">
        <f>IFERROR(__xludf.DUMMYFUNCTION("""COMPUTED_VALUE"""),2.2)</f>
        <v>2.2</v>
      </c>
      <c r="F31" s="16">
        <f>IFERROR(__xludf.DUMMYFUNCTION("""COMPUTED_VALUE"""),3.7)</f>
        <v>3.7</v>
      </c>
      <c r="G31" s="16">
        <f>IFERROR(__xludf.DUMMYFUNCTION("""COMPUTED_VALUE"""),5.6)</f>
        <v>5.6</v>
      </c>
      <c r="H31" s="16">
        <f>IFERROR(__xludf.DUMMYFUNCTION("""COMPUTED_VALUE"""),4.5)</f>
        <v>4.5</v>
      </c>
    </row>
    <row r="32">
      <c r="A32" s="14">
        <f>VLOOKUP(B32,map!B:C,2,false)</f>
        <v>22</v>
      </c>
      <c r="B32" s="15" t="str">
        <f>IFERROR(__xludf.DUMMYFUNCTION("""COMPUTED_VALUE"""),"New England")</f>
        <v>New England</v>
      </c>
      <c r="C32" s="16">
        <f>IFERROR(__xludf.DUMMYFUNCTION("""COMPUTED_VALUE"""),4.4)</f>
        <v>4.4</v>
      </c>
      <c r="D32" s="16">
        <f>IFERROR(__xludf.DUMMYFUNCTION("""COMPUTED_VALUE"""),4.6)</f>
        <v>4.6</v>
      </c>
      <c r="E32" s="16">
        <f>IFERROR(__xludf.DUMMYFUNCTION("""COMPUTED_VALUE"""),3.9)</f>
        <v>3.9</v>
      </c>
      <c r="F32" s="16">
        <f>IFERROR(__xludf.DUMMYFUNCTION("""COMPUTED_VALUE"""),4.6)</f>
        <v>4.6</v>
      </c>
      <c r="G32" s="16">
        <f>IFERROR(__xludf.DUMMYFUNCTION("""COMPUTED_VALUE"""),4.1)</f>
        <v>4.1</v>
      </c>
      <c r="H32" s="16">
        <f>IFERROR(__xludf.DUMMYFUNCTION("""COMPUTED_VALUE"""),4.6)</f>
        <v>4.6</v>
      </c>
    </row>
    <row r="33">
      <c r="A33" s="14">
        <f>VLOOKUP(B33,map!B:C,2,false)</f>
        <v>16</v>
      </c>
      <c r="B33" s="15" t="str">
        <f>IFERROR(__xludf.DUMMYFUNCTION("""COMPUTED_VALUE"""),"Cleveland")</f>
        <v>Cleveland</v>
      </c>
      <c r="C33" s="16">
        <f>IFERROR(__xludf.DUMMYFUNCTION("""COMPUTED_VALUE"""),4.3)</f>
        <v>4.3</v>
      </c>
      <c r="D33" s="16">
        <f>IFERROR(__xludf.DUMMYFUNCTION("""COMPUTED_VALUE"""),5.0)</f>
        <v>5</v>
      </c>
      <c r="E33" s="16">
        <f>IFERROR(__xludf.DUMMYFUNCTION("""COMPUTED_VALUE"""),6.1)</f>
        <v>6.1</v>
      </c>
      <c r="F33" s="16">
        <f>IFERROR(__xludf.DUMMYFUNCTION("""COMPUTED_VALUE"""),4.3)</f>
        <v>4.3</v>
      </c>
      <c r="G33" s="16">
        <f>IFERROR(__xludf.DUMMYFUNCTION("""COMPUTED_VALUE"""),4.2)</f>
        <v>4.2</v>
      </c>
      <c r="H33" s="16">
        <f>IFERROR(__xludf.DUMMYFUNCTION("""COMPUTED_VALUE"""),4.8)</f>
        <v>4.8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23</v>
      </c>
      <c r="B1" s="11" t="str">
        <f>IFERROR(__xludf.DUMMYFUNCTION("QUERY(IMPORTHTML(""https://www.teamrankings.com/nfl/stat/opponent-yards-per-play?date=""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27</v>
      </c>
      <c r="B2" s="15" t="str">
        <f>IFERROR(__xludf.DUMMYFUNCTION("""COMPUTED_VALUE"""),"Denver")</f>
        <v>Denver</v>
      </c>
      <c r="C2" s="16">
        <f>IFERROR(__xludf.DUMMYFUNCTION("""COMPUTED_VALUE"""),4.4)</f>
        <v>4.4</v>
      </c>
      <c r="D2" s="16">
        <f>IFERROR(__xludf.DUMMYFUNCTION("""COMPUTED_VALUE"""),4.5)</f>
        <v>4.5</v>
      </c>
      <c r="E2" s="16">
        <f>IFERROR(__xludf.DUMMYFUNCTION("""COMPUTED_VALUE"""),4.7)</f>
        <v>4.7</v>
      </c>
      <c r="F2" s="16">
        <f>IFERROR(__xludf.DUMMYFUNCTION("""COMPUTED_VALUE"""),4.7)</f>
        <v>4.7</v>
      </c>
      <c r="G2" s="16">
        <f>IFERROR(__xludf.DUMMYFUNCTION("""COMPUTED_VALUE"""),4.2)</f>
        <v>4.2</v>
      </c>
      <c r="H2" s="16">
        <f>IFERROR(__xludf.DUMMYFUNCTION("""COMPUTED_VALUE"""),5.8)</f>
        <v>5.8</v>
      </c>
    </row>
    <row r="3">
      <c r="A3" s="14">
        <f>VLOOKUP(B3,map!B:C,2,false)</f>
        <v>19</v>
      </c>
      <c r="B3" s="15" t="str">
        <f>IFERROR(__xludf.DUMMYFUNCTION("""COMPUTED_VALUE"""),"NY Jets")</f>
        <v>NY Jets</v>
      </c>
      <c r="C3" s="16">
        <f>IFERROR(__xludf.DUMMYFUNCTION("""COMPUTED_VALUE"""),4.7)</f>
        <v>4.7</v>
      </c>
      <c r="D3" s="16">
        <f>IFERROR(__xludf.DUMMYFUNCTION("""COMPUTED_VALUE"""),5.4)</f>
        <v>5.4</v>
      </c>
      <c r="E3" s="16">
        <f>IFERROR(__xludf.DUMMYFUNCTION("""COMPUTED_VALUE"""),3.9)</f>
        <v>3.9</v>
      </c>
      <c r="F3" s="16">
        <f>IFERROR(__xludf.DUMMYFUNCTION("""COMPUTED_VALUE"""),4.2)</f>
        <v>4.2</v>
      </c>
      <c r="G3" s="16">
        <f>IFERROR(__xludf.DUMMYFUNCTION("""COMPUTED_VALUE"""),5.0)</f>
        <v>5</v>
      </c>
      <c r="H3" s="16">
        <f>IFERROR(__xludf.DUMMYFUNCTION("""COMPUTED_VALUE"""),4.6)</f>
        <v>4.6</v>
      </c>
    </row>
    <row r="4">
      <c r="A4" s="14">
        <f>VLOOKUP(B4,map!B:C,2,false)</f>
        <v>32</v>
      </c>
      <c r="B4" s="15" t="str">
        <f>IFERROR(__xludf.DUMMYFUNCTION("""COMPUTED_VALUE"""),"Tennessee")</f>
        <v>Tennessee</v>
      </c>
      <c r="C4" s="16">
        <f>IFERROR(__xludf.DUMMYFUNCTION("""COMPUTED_VALUE"""),4.8)</f>
        <v>4.8</v>
      </c>
      <c r="D4" s="16">
        <f>IFERROR(__xludf.DUMMYFUNCTION("""COMPUTED_VALUE"""),5.3)</f>
        <v>5.3</v>
      </c>
      <c r="E4" s="16">
        <f>IFERROR(__xludf.DUMMYFUNCTION("""COMPUTED_VALUE"""),4.8)</f>
        <v>4.8</v>
      </c>
      <c r="F4" s="16">
        <f>IFERROR(__xludf.DUMMYFUNCTION("""COMPUTED_VALUE"""),5.0)</f>
        <v>5</v>
      </c>
      <c r="G4" s="16">
        <f>IFERROR(__xludf.DUMMYFUNCTION("""COMPUTED_VALUE"""),4.5)</f>
        <v>4.5</v>
      </c>
      <c r="H4" s="16">
        <f>IFERROR(__xludf.DUMMYFUNCTION("""COMPUTED_VALUE"""),5.2)</f>
        <v>5.2</v>
      </c>
    </row>
    <row r="5">
      <c r="A5" s="14">
        <f>VLOOKUP(B5,map!B:C,2,false)</f>
        <v>17</v>
      </c>
      <c r="B5" s="15" t="str">
        <f>IFERROR(__xludf.DUMMYFUNCTION("""COMPUTED_VALUE"""),"Houston")</f>
        <v>Houston</v>
      </c>
      <c r="C5" s="16">
        <f>IFERROR(__xludf.DUMMYFUNCTION("""COMPUTED_VALUE"""),4.8)</f>
        <v>4.8</v>
      </c>
      <c r="D5" s="16">
        <f>IFERROR(__xludf.DUMMYFUNCTION("""COMPUTED_VALUE"""),4.8)</f>
        <v>4.8</v>
      </c>
      <c r="E5" s="16">
        <f>IFERROR(__xludf.DUMMYFUNCTION("""COMPUTED_VALUE"""),4.8)</f>
        <v>4.8</v>
      </c>
      <c r="F5" s="16">
        <f>IFERROR(__xludf.DUMMYFUNCTION("""COMPUTED_VALUE"""),4.5)</f>
        <v>4.5</v>
      </c>
      <c r="G5" s="16">
        <f>IFERROR(__xludf.DUMMYFUNCTION("""COMPUTED_VALUE"""),5.2)</f>
        <v>5.2</v>
      </c>
      <c r="H5" s="16">
        <f>IFERROR(__xludf.DUMMYFUNCTION("""COMPUTED_VALUE"""),5.2)</f>
        <v>5.2</v>
      </c>
    </row>
    <row r="6">
      <c r="A6" s="14">
        <f>VLOOKUP(B6,map!B:C,2,false)</f>
        <v>2</v>
      </c>
      <c r="B6" s="15" t="str">
        <f>IFERROR(__xludf.DUMMYFUNCTION("""COMPUTED_VALUE"""),"Kansas City")</f>
        <v>Kansas City</v>
      </c>
      <c r="C6" s="16">
        <f>IFERROR(__xludf.DUMMYFUNCTION("""COMPUTED_VALUE"""),5.1)</f>
        <v>5.1</v>
      </c>
      <c r="D6" s="16">
        <f>IFERROR(__xludf.DUMMYFUNCTION("""COMPUTED_VALUE"""),4.7)</f>
        <v>4.7</v>
      </c>
      <c r="E6" s="16">
        <f>IFERROR(__xludf.DUMMYFUNCTION("""COMPUTED_VALUE"""),4.1)</f>
        <v>4.1</v>
      </c>
      <c r="F6" s="16">
        <f>IFERROR(__xludf.DUMMYFUNCTION("""COMPUTED_VALUE"""),5.3)</f>
        <v>5.3</v>
      </c>
      <c r="G6" s="16">
        <f>IFERROR(__xludf.DUMMYFUNCTION("""COMPUTED_VALUE"""),4.9)</f>
        <v>4.9</v>
      </c>
      <c r="H6" s="16">
        <f>IFERROR(__xludf.DUMMYFUNCTION("""COMPUTED_VALUE"""),4.8)</f>
        <v>4.8</v>
      </c>
    </row>
    <row r="7">
      <c r="A7" s="14">
        <f>VLOOKUP(B7,map!B:C,2,false)</f>
        <v>12</v>
      </c>
      <c r="B7" s="15" t="str">
        <f>IFERROR(__xludf.DUMMYFUNCTION("""COMPUTED_VALUE"""),"Philadelphia")</f>
        <v>Philadelphia</v>
      </c>
      <c r="C7" s="16">
        <f>IFERROR(__xludf.DUMMYFUNCTION("""COMPUTED_VALUE"""),5.1)</f>
        <v>5.1</v>
      </c>
      <c r="D7" s="16">
        <f>IFERROR(__xludf.DUMMYFUNCTION("""COMPUTED_VALUE"""),3.9)</f>
        <v>3.9</v>
      </c>
      <c r="E7" s="16">
        <f>IFERROR(__xludf.DUMMYFUNCTION("""COMPUTED_VALUE"""),4.8)</f>
        <v>4.8</v>
      </c>
      <c r="F7" s="16">
        <f>IFERROR(__xludf.DUMMYFUNCTION("""COMPUTED_VALUE"""),5.7)</f>
        <v>5.7</v>
      </c>
      <c r="G7" s="16">
        <f>IFERROR(__xludf.DUMMYFUNCTION("""COMPUTED_VALUE"""),4.9)</f>
        <v>4.9</v>
      </c>
      <c r="H7" s="16">
        <f>IFERROR(__xludf.DUMMYFUNCTION("""COMPUTED_VALUE"""),5.5)</f>
        <v>5.5</v>
      </c>
    </row>
    <row r="8">
      <c r="A8" s="14">
        <f>VLOOKUP(B8,map!B:C,2,false)</f>
        <v>29</v>
      </c>
      <c r="B8" s="15" t="str">
        <f>IFERROR(__xludf.DUMMYFUNCTION("""COMPUTED_VALUE"""),"Pittsburgh")</f>
        <v>Pittsburgh</v>
      </c>
      <c r="C8" s="16">
        <f>IFERROR(__xludf.DUMMYFUNCTION("""COMPUTED_VALUE"""),5.2)</f>
        <v>5.2</v>
      </c>
      <c r="D8" s="16">
        <f>IFERROR(__xludf.DUMMYFUNCTION("""COMPUTED_VALUE"""),5.5)</f>
        <v>5.5</v>
      </c>
      <c r="E8" s="16">
        <f>IFERROR(__xludf.DUMMYFUNCTION("""COMPUTED_VALUE"""),5.9)</f>
        <v>5.9</v>
      </c>
      <c r="F8" s="16">
        <f>IFERROR(__xludf.DUMMYFUNCTION("""COMPUTED_VALUE"""),5.3)</f>
        <v>5.3</v>
      </c>
      <c r="G8" s="16">
        <f>IFERROR(__xludf.DUMMYFUNCTION("""COMPUTED_VALUE"""),5.0)</f>
        <v>5</v>
      </c>
      <c r="H8" s="16">
        <f>IFERROR(__xludf.DUMMYFUNCTION("""COMPUTED_VALUE"""),5.4)</f>
        <v>5.4</v>
      </c>
    </row>
    <row r="9">
      <c r="A9" s="14">
        <f>VLOOKUP(B9,map!B:C,2,false)</f>
        <v>3</v>
      </c>
      <c r="B9" s="15" t="str">
        <f>IFERROR(__xludf.DUMMYFUNCTION("""COMPUTED_VALUE"""),"Minnesota")</f>
        <v>Minnesota</v>
      </c>
      <c r="C9" s="16">
        <f>IFERROR(__xludf.DUMMYFUNCTION("""COMPUTED_VALUE"""),5.2)</f>
        <v>5.2</v>
      </c>
      <c r="D9" s="16">
        <f>IFERROR(__xludf.DUMMYFUNCTION("""COMPUTED_VALUE"""),5.3)</f>
        <v>5.3</v>
      </c>
      <c r="E9" s="16">
        <f>IFERROR(__xludf.DUMMYFUNCTION("""COMPUTED_VALUE"""),5.8)</f>
        <v>5.8</v>
      </c>
      <c r="F9" s="16">
        <f>IFERROR(__xludf.DUMMYFUNCTION("""COMPUTED_VALUE"""),5.8)</f>
        <v>5.8</v>
      </c>
      <c r="G9" s="16">
        <f>IFERROR(__xludf.DUMMYFUNCTION("""COMPUTED_VALUE"""),4.8)</f>
        <v>4.8</v>
      </c>
      <c r="H9" s="16">
        <f>IFERROR(__xludf.DUMMYFUNCTION("""COMPUTED_VALUE"""),5.2)</f>
        <v>5.2</v>
      </c>
    </row>
    <row r="10">
      <c r="A10" s="14">
        <f>VLOOKUP(B10,map!B:C,2,false)</f>
        <v>31</v>
      </c>
      <c r="B10" s="15" t="str">
        <f>IFERROR(__xludf.DUMMYFUNCTION("""COMPUTED_VALUE"""),"Chicago")</f>
        <v>Chicago</v>
      </c>
      <c r="C10" s="16">
        <f>IFERROR(__xludf.DUMMYFUNCTION("""COMPUTED_VALUE"""),5.3)</f>
        <v>5.3</v>
      </c>
      <c r="D10" s="16">
        <f>IFERROR(__xludf.DUMMYFUNCTION("""COMPUTED_VALUE"""),5.5)</f>
        <v>5.5</v>
      </c>
      <c r="E10" s="16">
        <f>IFERROR(__xludf.DUMMYFUNCTION("""COMPUTED_VALUE"""),6.7)</f>
        <v>6.7</v>
      </c>
      <c r="F10" s="16">
        <f>IFERROR(__xludf.DUMMYFUNCTION("""COMPUTED_VALUE"""),4.8)</f>
        <v>4.8</v>
      </c>
      <c r="G10" s="16">
        <f>IFERROR(__xludf.DUMMYFUNCTION("""COMPUTED_VALUE"""),5.6)</f>
        <v>5.6</v>
      </c>
      <c r="H10" s="16">
        <f>IFERROR(__xludf.DUMMYFUNCTION("""COMPUTED_VALUE"""),5.3)</f>
        <v>5.3</v>
      </c>
    </row>
    <row r="11">
      <c r="A11" s="14">
        <f>VLOOKUP(B11,map!B:C,2,false)</f>
        <v>24</v>
      </c>
      <c r="B11" s="15" t="str">
        <f>IFERROR(__xludf.DUMMYFUNCTION("""COMPUTED_VALUE"""),"Las Vegas")</f>
        <v>Las Vegas</v>
      </c>
      <c r="C11" s="16">
        <f>IFERROR(__xludf.DUMMYFUNCTION("""COMPUTED_VALUE"""),5.3)</f>
        <v>5.3</v>
      </c>
      <c r="D11" s="16">
        <f>IFERROR(__xludf.DUMMYFUNCTION("""COMPUTED_VALUE"""),4.9)</f>
        <v>4.9</v>
      </c>
      <c r="E11" s="16">
        <f>IFERROR(__xludf.DUMMYFUNCTION("""COMPUTED_VALUE"""),4.9)</f>
        <v>4.9</v>
      </c>
      <c r="F11" s="16">
        <f>IFERROR(__xludf.DUMMYFUNCTION("""COMPUTED_VALUE"""),5.1)</f>
        <v>5.1</v>
      </c>
      <c r="G11" s="16">
        <f>IFERROR(__xludf.DUMMYFUNCTION("""COMPUTED_VALUE"""),5.5)</f>
        <v>5.5</v>
      </c>
      <c r="H11" s="16">
        <f>IFERROR(__xludf.DUMMYFUNCTION("""COMPUTED_VALUE"""),5.2)</f>
        <v>5.2</v>
      </c>
    </row>
    <row r="12">
      <c r="A12" s="14">
        <f>VLOOKUP(B12,map!B:C,2,false)</f>
        <v>25</v>
      </c>
      <c r="B12" s="15" t="str">
        <f>IFERROR(__xludf.DUMMYFUNCTION("""COMPUTED_VALUE"""),"San Francisco")</f>
        <v>San Francisco</v>
      </c>
      <c r="C12" s="16">
        <f>IFERROR(__xludf.DUMMYFUNCTION("""COMPUTED_VALUE"""),5.3)</f>
        <v>5.3</v>
      </c>
      <c r="D12" s="16">
        <f>IFERROR(__xludf.DUMMYFUNCTION("""COMPUTED_VALUE"""),4.9)</f>
        <v>4.9</v>
      </c>
      <c r="E12" s="16">
        <f>IFERROR(__xludf.DUMMYFUNCTION("""COMPUTED_VALUE"""),4.9)</f>
        <v>4.9</v>
      </c>
      <c r="F12" s="16">
        <f>IFERROR(__xludf.DUMMYFUNCTION("""COMPUTED_VALUE"""),5.0)</f>
        <v>5</v>
      </c>
      <c r="G12" s="16">
        <f>IFERROR(__xludf.DUMMYFUNCTION("""COMPUTED_VALUE"""),5.8)</f>
        <v>5.8</v>
      </c>
      <c r="H12" s="16">
        <f>IFERROR(__xludf.DUMMYFUNCTION("""COMPUTED_VALUE"""),5.1)</f>
        <v>5.1</v>
      </c>
    </row>
    <row r="13">
      <c r="A13" s="14">
        <f>VLOOKUP(B13,map!B:C,2,false)</f>
        <v>11</v>
      </c>
      <c r="B13" s="15" t="str">
        <f>IFERROR(__xludf.DUMMYFUNCTION("""COMPUTED_VALUE"""),"Buffalo")</f>
        <v>Buffalo</v>
      </c>
      <c r="C13" s="16">
        <f>IFERROR(__xludf.DUMMYFUNCTION("""COMPUTED_VALUE"""),5.3)</f>
        <v>5.3</v>
      </c>
      <c r="D13" s="16">
        <f>IFERROR(__xludf.DUMMYFUNCTION("""COMPUTED_VALUE"""),5.3)</f>
        <v>5.3</v>
      </c>
      <c r="E13" s="16">
        <f>IFERROR(__xludf.DUMMYFUNCTION("""COMPUTED_VALUE"""),5.0)</f>
        <v>5</v>
      </c>
      <c r="F13" s="16">
        <f>IFERROR(__xludf.DUMMYFUNCTION("""COMPUTED_VALUE"""),4.1)</f>
        <v>4.1</v>
      </c>
      <c r="G13" s="16">
        <f>IFERROR(__xludf.DUMMYFUNCTION("""COMPUTED_VALUE"""),6.1)</f>
        <v>6.1</v>
      </c>
      <c r="H13" s="16">
        <f>IFERROR(__xludf.DUMMYFUNCTION("""COMPUTED_VALUE"""),5.3)</f>
        <v>5.3</v>
      </c>
    </row>
    <row r="14">
      <c r="A14" s="14">
        <f>VLOOKUP(B14,map!B:C,2,false)</f>
        <v>7</v>
      </c>
      <c r="B14" s="15" t="str">
        <f>IFERROR(__xludf.DUMMYFUNCTION("""COMPUTED_VALUE"""),"LA Chargers")</f>
        <v>LA Chargers</v>
      </c>
      <c r="C14" s="16">
        <f>IFERROR(__xludf.DUMMYFUNCTION("""COMPUTED_VALUE"""),5.3)</f>
        <v>5.3</v>
      </c>
      <c r="D14" s="16">
        <f>IFERROR(__xludf.DUMMYFUNCTION("""COMPUTED_VALUE"""),5.7)</f>
        <v>5.7</v>
      </c>
      <c r="E14" s="16">
        <f>IFERROR(__xludf.DUMMYFUNCTION("""COMPUTED_VALUE"""),5.4)</f>
        <v>5.4</v>
      </c>
      <c r="F14" s="16">
        <f>IFERROR(__xludf.DUMMYFUNCTION("""COMPUTED_VALUE"""),5.4)</f>
        <v>5.4</v>
      </c>
      <c r="G14" s="16">
        <f>IFERROR(__xludf.DUMMYFUNCTION("""COMPUTED_VALUE"""),5.2)</f>
        <v>5.2</v>
      </c>
      <c r="H14" s="16">
        <f>IFERROR(__xludf.DUMMYFUNCTION("""COMPUTED_VALUE"""),5.5)</f>
        <v>5.5</v>
      </c>
    </row>
    <row r="15">
      <c r="A15" s="14">
        <f>VLOOKUP(B15,map!B:C,2,false)</f>
        <v>10</v>
      </c>
      <c r="B15" s="15" t="str">
        <f>IFERROR(__xludf.DUMMYFUNCTION("""COMPUTED_VALUE"""),"Miami")</f>
        <v>Miami</v>
      </c>
      <c r="C15" s="16">
        <f>IFERROR(__xludf.DUMMYFUNCTION("""COMPUTED_VALUE"""),5.3)</f>
        <v>5.3</v>
      </c>
      <c r="D15" s="16">
        <f>IFERROR(__xludf.DUMMYFUNCTION("""COMPUTED_VALUE"""),5.5)</f>
        <v>5.5</v>
      </c>
      <c r="E15" s="16">
        <f>IFERROR(__xludf.DUMMYFUNCTION("""COMPUTED_VALUE"""),6.3)</f>
        <v>6.3</v>
      </c>
      <c r="F15" s="16">
        <f>IFERROR(__xludf.DUMMYFUNCTION("""COMPUTED_VALUE"""),5.2)</f>
        <v>5.2</v>
      </c>
      <c r="G15" s="16">
        <f>IFERROR(__xludf.DUMMYFUNCTION("""COMPUTED_VALUE"""),5.4)</f>
        <v>5.4</v>
      </c>
      <c r="H15" s="16">
        <f>IFERROR(__xludf.DUMMYFUNCTION("""COMPUTED_VALUE"""),5.1)</f>
        <v>5.1</v>
      </c>
    </row>
    <row r="16">
      <c r="A16" s="14">
        <f>VLOOKUP(B16,map!B:C,2,false)</f>
        <v>4</v>
      </c>
      <c r="B16" s="15" t="str">
        <f>IFERROR(__xludf.DUMMYFUNCTION("""COMPUTED_VALUE"""),"Cincinnati")</f>
        <v>Cincinnati</v>
      </c>
      <c r="C16" s="16">
        <f>IFERROR(__xludf.DUMMYFUNCTION("""COMPUTED_VALUE"""),5.3)</f>
        <v>5.3</v>
      </c>
      <c r="D16" s="16">
        <f>IFERROR(__xludf.DUMMYFUNCTION("""COMPUTED_VALUE"""),5.0)</f>
        <v>5</v>
      </c>
      <c r="E16" s="16">
        <f>IFERROR(__xludf.DUMMYFUNCTION("""COMPUTED_VALUE"""),6.7)</f>
        <v>6.7</v>
      </c>
      <c r="F16" s="16">
        <f>IFERROR(__xludf.DUMMYFUNCTION("""COMPUTED_VALUE"""),6.1)</f>
        <v>6.1</v>
      </c>
      <c r="G16" s="16">
        <f>IFERROR(__xludf.DUMMYFUNCTION("""COMPUTED_VALUE"""),4.7)</f>
        <v>4.7</v>
      </c>
      <c r="H16" s="16">
        <f>IFERROR(__xludf.DUMMYFUNCTION("""COMPUTED_VALUE"""),6.0)</f>
        <v>6</v>
      </c>
    </row>
    <row r="17">
      <c r="A17" s="14">
        <f>VLOOKUP(B17,map!B:C,2,false)</f>
        <v>15</v>
      </c>
      <c r="B17" s="15" t="str">
        <f>IFERROR(__xludf.DUMMYFUNCTION("""COMPUTED_VALUE"""),"Green Bay")</f>
        <v>Green Bay</v>
      </c>
      <c r="C17" s="16">
        <f>IFERROR(__xludf.DUMMYFUNCTION("""COMPUTED_VALUE"""),5.4)</f>
        <v>5.4</v>
      </c>
      <c r="D17" s="16">
        <f>IFERROR(__xludf.DUMMYFUNCTION("""COMPUTED_VALUE"""),5.3)</f>
        <v>5.3</v>
      </c>
      <c r="E17" s="16">
        <f>IFERROR(__xludf.DUMMYFUNCTION("""COMPUTED_VALUE"""),7.0)</f>
        <v>7</v>
      </c>
      <c r="F17" s="16">
        <f>IFERROR(__xludf.DUMMYFUNCTION("""COMPUTED_VALUE"""),5.3)</f>
        <v>5.3</v>
      </c>
      <c r="G17" s="16">
        <f>IFERROR(__xludf.DUMMYFUNCTION("""COMPUTED_VALUE"""),5.4)</f>
        <v>5.4</v>
      </c>
      <c r="H17" s="16">
        <f>IFERROR(__xludf.DUMMYFUNCTION("""COMPUTED_VALUE"""),5.4)</f>
        <v>5.4</v>
      </c>
    </row>
    <row r="18">
      <c r="A18" s="14">
        <f>VLOOKUP(B18,map!B:C,2,false)</f>
        <v>28</v>
      </c>
      <c r="B18" s="15" t="str">
        <f>IFERROR(__xludf.DUMMYFUNCTION("""COMPUTED_VALUE"""),"Atlanta")</f>
        <v>Atlanta</v>
      </c>
      <c r="C18" s="16">
        <f>IFERROR(__xludf.DUMMYFUNCTION("""COMPUTED_VALUE"""),5.4)</f>
        <v>5.4</v>
      </c>
      <c r="D18" s="16">
        <f>IFERROR(__xludf.DUMMYFUNCTION("""COMPUTED_VALUE"""),5.8)</f>
        <v>5.8</v>
      </c>
      <c r="E18" s="16">
        <f>IFERROR(__xludf.DUMMYFUNCTION("""COMPUTED_VALUE"""),6.0)</f>
        <v>6</v>
      </c>
      <c r="F18" s="16">
        <f>IFERROR(__xludf.DUMMYFUNCTION("""COMPUTED_VALUE"""),5.2)</f>
        <v>5.2</v>
      </c>
      <c r="G18" s="16">
        <f>IFERROR(__xludf.DUMMYFUNCTION("""COMPUTED_VALUE"""),5.6)</f>
        <v>5.6</v>
      </c>
      <c r="H18" s="16">
        <f>IFERROR(__xludf.DUMMYFUNCTION("""COMPUTED_VALUE"""),5.0)</f>
        <v>5</v>
      </c>
    </row>
    <row r="19">
      <c r="A19" s="14">
        <f>VLOOKUP(B19,map!B:C,2,false)</f>
        <v>16</v>
      </c>
      <c r="B19" s="15" t="str">
        <f>IFERROR(__xludf.DUMMYFUNCTION("""COMPUTED_VALUE"""),"Cleveland")</f>
        <v>Cleveland</v>
      </c>
      <c r="C19" s="16">
        <f>IFERROR(__xludf.DUMMYFUNCTION("""COMPUTED_VALUE"""),5.4)</f>
        <v>5.4</v>
      </c>
      <c r="D19" s="16">
        <f>IFERROR(__xludf.DUMMYFUNCTION("""COMPUTED_VALUE"""),5.5)</f>
        <v>5.5</v>
      </c>
      <c r="E19" s="16">
        <f>IFERROR(__xludf.DUMMYFUNCTION("""COMPUTED_VALUE"""),6.2)</f>
        <v>6.2</v>
      </c>
      <c r="F19" s="16">
        <f>IFERROR(__xludf.DUMMYFUNCTION("""COMPUTED_VALUE"""),5.0)</f>
        <v>5</v>
      </c>
      <c r="G19" s="16">
        <f>IFERROR(__xludf.DUMMYFUNCTION("""COMPUTED_VALUE"""),5.9)</f>
        <v>5.9</v>
      </c>
      <c r="H19" s="16">
        <f>IFERROR(__xludf.DUMMYFUNCTION("""COMPUTED_VALUE"""),4.7)</f>
        <v>4.7</v>
      </c>
    </row>
    <row r="20">
      <c r="A20" s="14">
        <f>VLOOKUP(B20,map!B:C,2,false)</f>
        <v>26</v>
      </c>
      <c r="B20" s="15" t="str">
        <f>IFERROR(__xludf.DUMMYFUNCTION("""COMPUTED_VALUE"""),"NY Giants")</f>
        <v>NY Giants</v>
      </c>
      <c r="C20" s="16">
        <f>IFERROR(__xludf.DUMMYFUNCTION("""COMPUTED_VALUE"""),5.4)</f>
        <v>5.4</v>
      </c>
      <c r="D20" s="16">
        <f>IFERROR(__xludf.DUMMYFUNCTION("""COMPUTED_VALUE"""),5.6)</f>
        <v>5.6</v>
      </c>
      <c r="E20" s="16">
        <f>IFERROR(__xludf.DUMMYFUNCTION("""COMPUTED_VALUE"""),5.2)</f>
        <v>5.2</v>
      </c>
      <c r="F20" s="16">
        <f>IFERROR(__xludf.DUMMYFUNCTION("""COMPUTED_VALUE"""),5.7)</f>
        <v>5.7</v>
      </c>
      <c r="G20" s="16">
        <f>IFERROR(__xludf.DUMMYFUNCTION("""COMPUTED_VALUE"""),5.1)</f>
        <v>5.1</v>
      </c>
      <c r="H20" s="16">
        <f>IFERROR(__xludf.DUMMYFUNCTION("""COMPUTED_VALUE"""),5.6)</f>
        <v>5.6</v>
      </c>
    </row>
    <row r="21">
      <c r="A21" s="14">
        <f>VLOOKUP(B21,map!B:C,2,false)</f>
        <v>5</v>
      </c>
      <c r="B21" s="15" t="str">
        <f>IFERROR(__xludf.DUMMYFUNCTION("""COMPUTED_VALUE"""),"Detroit")</f>
        <v>Detroit</v>
      </c>
      <c r="C21" s="16">
        <f>IFERROR(__xludf.DUMMYFUNCTION("""COMPUTED_VALUE"""),5.6)</f>
        <v>5.6</v>
      </c>
      <c r="D21" s="16">
        <f>IFERROR(__xludf.DUMMYFUNCTION("""COMPUTED_VALUE"""),5.6)</f>
        <v>5.6</v>
      </c>
      <c r="E21" s="16">
        <f>IFERROR(__xludf.DUMMYFUNCTION("""COMPUTED_VALUE"""),5.9)</f>
        <v>5.9</v>
      </c>
      <c r="F21" s="16">
        <f>IFERROR(__xludf.DUMMYFUNCTION("""COMPUTED_VALUE"""),5.7)</f>
        <v>5.7</v>
      </c>
      <c r="G21" s="16">
        <f>IFERROR(__xludf.DUMMYFUNCTION("""COMPUTED_VALUE"""),5.4)</f>
        <v>5.4</v>
      </c>
      <c r="H21" s="16">
        <f>IFERROR(__xludf.DUMMYFUNCTION("""COMPUTED_VALUE"""),5.7)</f>
        <v>5.7</v>
      </c>
    </row>
    <row r="22">
      <c r="A22" s="14">
        <f>VLOOKUP(B22,map!B:C,2,false)</f>
        <v>13</v>
      </c>
      <c r="B22" s="15" t="str">
        <f>IFERROR(__xludf.DUMMYFUNCTION("""COMPUTED_VALUE"""),"Seattle")</f>
        <v>Seattle</v>
      </c>
      <c r="C22" s="16">
        <f>IFERROR(__xludf.DUMMYFUNCTION("""COMPUTED_VALUE"""),5.6)</f>
        <v>5.6</v>
      </c>
      <c r="D22" s="16">
        <f>IFERROR(__xludf.DUMMYFUNCTION("""COMPUTED_VALUE"""),6.5)</f>
        <v>6.5</v>
      </c>
      <c r="E22" s="16">
        <f>IFERROR(__xludf.DUMMYFUNCTION("""COMPUTED_VALUE"""),6.4)</f>
        <v>6.4</v>
      </c>
      <c r="F22" s="16">
        <f>IFERROR(__xludf.DUMMYFUNCTION("""COMPUTED_VALUE"""),5.5)</f>
        <v>5.5</v>
      </c>
      <c r="G22" s="16">
        <f>IFERROR(__xludf.DUMMYFUNCTION("""COMPUTED_VALUE"""),5.7)</f>
        <v>5.7</v>
      </c>
      <c r="H22" s="16">
        <f>IFERROR(__xludf.DUMMYFUNCTION("""COMPUTED_VALUE"""),5.5)</f>
        <v>5.5</v>
      </c>
    </row>
    <row r="23">
      <c r="A23" s="14">
        <f>VLOOKUP(B23,map!B:C,2,false)</f>
        <v>20</v>
      </c>
      <c r="B23" s="15" t="str">
        <f>IFERROR(__xludf.DUMMYFUNCTION("""COMPUTED_VALUE"""),"Indianapolis")</f>
        <v>Indianapolis</v>
      </c>
      <c r="C23" s="16">
        <f>IFERROR(__xludf.DUMMYFUNCTION("""COMPUTED_VALUE"""),5.6)</f>
        <v>5.6</v>
      </c>
      <c r="D23" s="16">
        <f>IFERROR(__xludf.DUMMYFUNCTION("""COMPUTED_VALUE"""),4.9)</f>
        <v>4.9</v>
      </c>
      <c r="E23" s="16">
        <f>IFERROR(__xludf.DUMMYFUNCTION("""COMPUTED_VALUE"""),5.3)</f>
        <v>5.3</v>
      </c>
      <c r="F23" s="16">
        <f>IFERROR(__xludf.DUMMYFUNCTION("""COMPUTED_VALUE"""),5.2)</f>
        <v>5.2</v>
      </c>
      <c r="G23" s="16">
        <f>IFERROR(__xludf.DUMMYFUNCTION("""COMPUTED_VALUE"""),6.0)</f>
        <v>6</v>
      </c>
      <c r="H23" s="16">
        <f>IFERROR(__xludf.DUMMYFUNCTION("""COMPUTED_VALUE"""),5.2)</f>
        <v>5.2</v>
      </c>
    </row>
    <row r="24">
      <c r="A24" s="14">
        <f>VLOOKUP(B24,map!B:C,2,false)</f>
        <v>8</v>
      </c>
      <c r="B24" s="15" t="str">
        <f>IFERROR(__xludf.DUMMYFUNCTION("""COMPUTED_VALUE"""),"Washington")</f>
        <v>Washington</v>
      </c>
      <c r="C24" s="16">
        <f>IFERROR(__xludf.DUMMYFUNCTION("""COMPUTED_VALUE"""),5.7)</f>
        <v>5.7</v>
      </c>
      <c r="D24" s="16">
        <f>IFERROR(__xludf.DUMMYFUNCTION("""COMPUTED_VALUE"""),5.8)</f>
        <v>5.8</v>
      </c>
      <c r="E24" s="16">
        <f>IFERROR(__xludf.DUMMYFUNCTION("""COMPUTED_VALUE"""),5.1)</f>
        <v>5.1</v>
      </c>
      <c r="F24" s="16">
        <f>IFERROR(__xludf.DUMMYFUNCTION("""COMPUTED_VALUE"""),4.7)</f>
        <v>4.7</v>
      </c>
      <c r="G24" s="16">
        <f>IFERROR(__xludf.DUMMYFUNCTION("""COMPUTED_VALUE"""),6.6)</f>
        <v>6.6</v>
      </c>
      <c r="H24" s="16">
        <f>IFERROR(__xludf.DUMMYFUNCTION("""COMPUTED_VALUE"""),5.9)</f>
        <v>5.9</v>
      </c>
    </row>
    <row r="25">
      <c r="A25" s="14">
        <f>VLOOKUP(B25,map!B:C,2,false)</f>
        <v>22</v>
      </c>
      <c r="B25" s="15" t="str">
        <f>IFERROR(__xludf.DUMMYFUNCTION("""COMPUTED_VALUE"""),"New England")</f>
        <v>New England</v>
      </c>
      <c r="C25" s="16">
        <f>IFERROR(__xludf.DUMMYFUNCTION("""COMPUTED_VALUE"""),5.7)</f>
        <v>5.7</v>
      </c>
      <c r="D25" s="16">
        <f>IFERROR(__xludf.DUMMYFUNCTION("""COMPUTED_VALUE"""),6.0)</f>
        <v>6</v>
      </c>
      <c r="E25" s="16">
        <f>IFERROR(__xludf.DUMMYFUNCTION("""COMPUTED_VALUE"""),5.9)</f>
        <v>5.9</v>
      </c>
      <c r="F25" s="16">
        <f>IFERROR(__xludf.DUMMYFUNCTION("""COMPUTED_VALUE"""),5.5)</f>
        <v>5.5</v>
      </c>
      <c r="G25" s="16">
        <f>IFERROR(__xludf.DUMMYFUNCTION("""COMPUTED_VALUE"""),6.0)</f>
        <v>6</v>
      </c>
      <c r="H25" s="16">
        <f>IFERROR(__xludf.DUMMYFUNCTION("""COMPUTED_VALUE"""),4.7)</f>
        <v>4.7</v>
      </c>
    </row>
    <row r="26">
      <c r="A26" s="14">
        <f>VLOOKUP(B26,map!B:C,2,false)</f>
        <v>30</v>
      </c>
      <c r="B26" s="15" t="str">
        <f>IFERROR(__xludf.DUMMYFUNCTION("""COMPUTED_VALUE"""),"Baltimore")</f>
        <v>Baltimore</v>
      </c>
      <c r="C26" s="16">
        <f>IFERROR(__xludf.DUMMYFUNCTION("""COMPUTED_VALUE"""),5.8)</f>
        <v>5.8</v>
      </c>
      <c r="D26" s="16">
        <f>IFERROR(__xludf.DUMMYFUNCTION("""COMPUTED_VALUE"""),5.9)</f>
        <v>5.9</v>
      </c>
      <c r="E26" s="16">
        <f>IFERROR(__xludf.DUMMYFUNCTION("""COMPUTED_VALUE"""),6.1)</f>
        <v>6.1</v>
      </c>
      <c r="F26" s="16">
        <f>IFERROR(__xludf.DUMMYFUNCTION("""COMPUTED_VALUE"""),4.6)</f>
        <v>4.6</v>
      </c>
      <c r="G26" s="16">
        <f>IFERROR(__xludf.DUMMYFUNCTION("""COMPUTED_VALUE"""),6.3)</f>
        <v>6.3</v>
      </c>
      <c r="H26" s="16">
        <f>IFERROR(__xludf.DUMMYFUNCTION("""COMPUTED_VALUE"""),4.6)</f>
        <v>4.6</v>
      </c>
    </row>
    <row r="27">
      <c r="A27" s="14">
        <f>VLOOKUP(B27,map!B:C,2,false)</f>
        <v>18</v>
      </c>
      <c r="B27" s="15" t="str">
        <f>IFERROR(__xludf.DUMMYFUNCTION("""COMPUTED_VALUE"""),"LA Rams")</f>
        <v>LA Rams</v>
      </c>
      <c r="C27" s="16">
        <f>IFERROR(__xludf.DUMMYFUNCTION("""COMPUTED_VALUE"""),5.8)</f>
        <v>5.8</v>
      </c>
      <c r="D27" s="16">
        <f>IFERROR(__xludf.DUMMYFUNCTION("""COMPUTED_VALUE"""),5.0)</f>
        <v>5</v>
      </c>
      <c r="E27" s="16">
        <f>IFERROR(__xludf.DUMMYFUNCTION("""COMPUTED_VALUE"""),5.5)</f>
        <v>5.5</v>
      </c>
      <c r="F27" s="16">
        <f>IFERROR(__xludf.DUMMYFUNCTION("""COMPUTED_VALUE"""),5.4)</f>
        <v>5.4</v>
      </c>
      <c r="G27" s="16">
        <f>IFERROR(__xludf.DUMMYFUNCTION("""COMPUTED_VALUE"""),6.3)</f>
        <v>6.3</v>
      </c>
      <c r="H27" s="16">
        <f>IFERROR(__xludf.DUMMYFUNCTION("""COMPUTED_VALUE"""),5.4)</f>
        <v>5.4</v>
      </c>
    </row>
    <row r="28">
      <c r="A28" s="14">
        <f>VLOOKUP(B28,map!B:C,2,false)</f>
        <v>23</v>
      </c>
      <c r="B28" s="15" t="str">
        <f>IFERROR(__xludf.DUMMYFUNCTION("""COMPUTED_VALUE"""),"Carolina")</f>
        <v>Carolina</v>
      </c>
      <c r="C28" s="16">
        <f>IFERROR(__xludf.DUMMYFUNCTION("""COMPUTED_VALUE"""),6.0)</f>
        <v>6</v>
      </c>
      <c r="D28" s="16">
        <f>IFERROR(__xludf.DUMMYFUNCTION("""COMPUTED_VALUE"""),6.1)</f>
        <v>6.1</v>
      </c>
      <c r="E28" s="16">
        <f>IFERROR(__xludf.DUMMYFUNCTION("""COMPUTED_VALUE"""),5.5)</f>
        <v>5.5</v>
      </c>
      <c r="F28" s="16">
        <f>IFERROR(__xludf.DUMMYFUNCTION("""COMPUTED_VALUE"""),5.9)</f>
        <v>5.9</v>
      </c>
      <c r="G28" s="16">
        <f>IFERROR(__xludf.DUMMYFUNCTION("""COMPUTED_VALUE"""),6.0)</f>
        <v>6</v>
      </c>
      <c r="H28" s="16">
        <f>IFERROR(__xludf.DUMMYFUNCTION("""COMPUTED_VALUE"""),4.9)</f>
        <v>4.9</v>
      </c>
    </row>
    <row r="29">
      <c r="A29" s="14">
        <f>VLOOKUP(B29,map!B:C,2,false)</f>
        <v>21</v>
      </c>
      <c r="B29" s="15" t="str">
        <f>IFERROR(__xludf.DUMMYFUNCTION("""COMPUTED_VALUE"""),"Arizona")</f>
        <v>Arizona</v>
      </c>
      <c r="C29" s="16">
        <f>IFERROR(__xludf.DUMMYFUNCTION("""COMPUTED_VALUE"""),6.0)</f>
        <v>6</v>
      </c>
      <c r="D29" s="16">
        <f>IFERROR(__xludf.DUMMYFUNCTION("""COMPUTED_VALUE"""),6.1)</f>
        <v>6.1</v>
      </c>
      <c r="E29" s="16">
        <f>IFERROR(__xludf.DUMMYFUNCTION("""COMPUTED_VALUE"""),5.9)</f>
        <v>5.9</v>
      </c>
      <c r="F29" s="16">
        <f>IFERROR(__xludf.DUMMYFUNCTION("""COMPUTED_VALUE"""),5.8)</f>
        <v>5.8</v>
      </c>
      <c r="G29" s="16">
        <f>IFERROR(__xludf.DUMMYFUNCTION("""COMPUTED_VALUE"""),6.1)</f>
        <v>6.1</v>
      </c>
      <c r="H29" s="16">
        <f>IFERROR(__xludf.DUMMYFUNCTION("""COMPUTED_VALUE"""),5.7)</f>
        <v>5.7</v>
      </c>
    </row>
    <row r="30">
      <c r="A30" s="14">
        <f>VLOOKUP(B30,map!B:C,2,false)</f>
        <v>14</v>
      </c>
      <c r="B30" s="15" t="str">
        <f>IFERROR(__xludf.DUMMYFUNCTION("""COMPUTED_VALUE"""),"Tampa Bay")</f>
        <v>Tampa Bay</v>
      </c>
      <c r="C30" s="16">
        <f>IFERROR(__xludf.DUMMYFUNCTION("""COMPUTED_VALUE"""),6.0)</f>
        <v>6</v>
      </c>
      <c r="D30" s="16">
        <f>IFERROR(__xludf.DUMMYFUNCTION("""COMPUTED_VALUE"""),6.7)</f>
        <v>6.7</v>
      </c>
      <c r="E30" s="16">
        <f>IFERROR(__xludf.DUMMYFUNCTION("""COMPUTED_VALUE"""),6.6)</f>
        <v>6.6</v>
      </c>
      <c r="F30" s="16">
        <f>IFERROR(__xludf.DUMMYFUNCTION("""COMPUTED_VALUE"""),6.1)</f>
        <v>6.1</v>
      </c>
      <c r="G30" s="16">
        <f>IFERROR(__xludf.DUMMYFUNCTION("""COMPUTED_VALUE"""),5.7)</f>
        <v>5.7</v>
      </c>
      <c r="H30" s="16">
        <f>IFERROR(__xludf.DUMMYFUNCTION("""COMPUTED_VALUE"""),5.4)</f>
        <v>5.4</v>
      </c>
    </row>
    <row r="31">
      <c r="A31" s="14">
        <f>VLOOKUP(B31,map!B:C,2,false)</f>
        <v>1</v>
      </c>
      <c r="B31" s="15" t="str">
        <f>IFERROR(__xludf.DUMMYFUNCTION("""COMPUTED_VALUE"""),"Dallas")</f>
        <v>Dallas</v>
      </c>
      <c r="C31" s="16">
        <f>IFERROR(__xludf.DUMMYFUNCTION("""COMPUTED_VALUE"""),6.0)</f>
        <v>6</v>
      </c>
      <c r="D31" s="16">
        <f>IFERROR(__xludf.DUMMYFUNCTION("""COMPUTED_VALUE"""),6.3)</f>
        <v>6.3</v>
      </c>
      <c r="E31" s="16">
        <f>IFERROR(__xludf.DUMMYFUNCTION("""COMPUTED_VALUE"""),7.3)</f>
        <v>7.3</v>
      </c>
      <c r="F31" s="16">
        <f>IFERROR(__xludf.DUMMYFUNCTION("""COMPUTED_VALUE"""),7.6)</f>
        <v>7.6</v>
      </c>
      <c r="G31" s="16">
        <f>IFERROR(__xludf.DUMMYFUNCTION("""COMPUTED_VALUE"""),4.8)</f>
        <v>4.8</v>
      </c>
      <c r="H31" s="16">
        <f>IFERROR(__xludf.DUMMYFUNCTION("""COMPUTED_VALUE"""),5.2)</f>
        <v>5.2</v>
      </c>
    </row>
    <row r="32">
      <c r="A32" s="14">
        <f>VLOOKUP(B32,map!B:C,2,false)</f>
        <v>6</v>
      </c>
      <c r="B32" s="15" t="str">
        <f>IFERROR(__xludf.DUMMYFUNCTION("""COMPUTED_VALUE"""),"Jacksonville")</f>
        <v>Jacksonville</v>
      </c>
      <c r="C32" s="16">
        <f>IFERROR(__xludf.DUMMYFUNCTION("""COMPUTED_VALUE"""),6.0)</f>
        <v>6</v>
      </c>
      <c r="D32" s="16">
        <f>IFERROR(__xludf.DUMMYFUNCTION("""COMPUTED_VALUE"""),6.0)</f>
        <v>6</v>
      </c>
      <c r="E32" s="16">
        <f>IFERROR(__xludf.DUMMYFUNCTION("""COMPUTED_VALUE"""),6.3)</f>
        <v>6.3</v>
      </c>
      <c r="F32" s="16">
        <f>IFERROR(__xludf.DUMMYFUNCTION("""COMPUTED_VALUE"""),5.8)</f>
        <v>5.8</v>
      </c>
      <c r="G32" s="16">
        <f>IFERROR(__xludf.DUMMYFUNCTION("""COMPUTED_VALUE"""),6.1)</f>
        <v>6.1</v>
      </c>
      <c r="H32" s="16">
        <f>IFERROR(__xludf.DUMMYFUNCTION("""COMPUTED_VALUE"""),5.4)</f>
        <v>5.4</v>
      </c>
    </row>
    <row r="33">
      <c r="A33" s="14">
        <f>VLOOKUP(B33,map!B:C,2,false)</f>
        <v>9</v>
      </c>
      <c r="B33" s="15" t="str">
        <f>IFERROR(__xludf.DUMMYFUNCTION("""COMPUTED_VALUE"""),"New Orleans")</f>
        <v>New Orleans</v>
      </c>
      <c r="C33" s="16">
        <f>IFERROR(__xludf.DUMMYFUNCTION("""COMPUTED_VALUE"""),6.1)</f>
        <v>6.1</v>
      </c>
      <c r="D33" s="16">
        <f>IFERROR(__xludf.DUMMYFUNCTION("""COMPUTED_VALUE"""),6.9)</f>
        <v>6.9</v>
      </c>
      <c r="E33" s="16">
        <f>IFERROR(__xludf.DUMMYFUNCTION("""COMPUTED_VALUE"""),5.9)</f>
        <v>5.9</v>
      </c>
      <c r="F33" s="16">
        <f>IFERROR(__xludf.DUMMYFUNCTION("""COMPUTED_VALUE"""),6.4)</f>
        <v>6.4</v>
      </c>
      <c r="G33" s="16">
        <f>IFERROR(__xludf.DUMMYFUNCTION("""COMPUTED_VALUE"""),5.8)</f>
        <v>5.8</v>
      </c>
      <c r="H33" s="16">
        <f>IFERROR(__xludf.DUMMYFUNCTION("""COMPUTED_VALUE"""),5.3)</f>
        <v>5.3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" t="s">
        <v>23</v>
      </c>
      <c r="B1" s="11" t="str">
        <f>IFERROR(__xludf.DUMMYFUNCTION("QUERY(IMPORTHTML(""https://www.teamrankings.com/nfl/stat/plays-per-game?date="" &amp; TEXT(TODAY(),""yyyy-mm-dd""), ""table"", 1, ""en_US""), ""SELECT Col2, Col3, Col4, Col5, Col6, Col7, Col8"")
"),"Team")</f>
        <v>Team</v>
      </c>
      <c r="C1" s="12" t="str">
        <f>IFERROR(__xludf.DUMMYFUNCTION("""COMPUTED_VALUE"""),"2024")</f>
        <v>2024</v>
      </c>
      <c r="D1" s="13" t="str">
        <f>IFERROR(__xludf.DUMMYFUNCTION("""COMPUTED_VALUE"""),"Last 3")</f>
        <v>Last 3</v>
      </c>
      <c r="E1" s="13" t="str">
        <f>IFERROR(__xludf.DUMMYFUNCTION("""COMPUTED_VALUE"""),"Last 1")</f>
        <v>Last 1</v>
      </c>
      <c r="F1" s="12" t="str">
        <f>IFERROR(__xludf.DUMMYFUNCTION("""COMPUTED_VALUE"""),"Home")</f>
        <v>Home</v>
      </c>
      <c r="G1" s="12" t="str">
        <f>IFERROR(__xludf.DUMMYFUNCTION("""COMPUTED_VALUE"""),"Away")</f>
        <v>Away</v>
      </c>
      <c r="H1" s="12" t="str">
        <f>IFERROR(__xludf.DUMMYFUNCTION("""COMPUTED_VALUE"""),"2023")</f>
        <v>2023</v>
      </c>
    </row>
    <row r="2">
      <c r="A2" s="14">
        <f>VLOOKUP(B2,map!B:C,2,false)</f>
        <v>17</v>
      </c>
      <c r="B2" s="15" t="str">
        <f>IFERROR(__xludf.DUMMYFUNCTION("""COMPUTED_VALUE"""),"Houston")</f>
        <v>Houston</v>
      </c>
      <c r="C2" s="16">
        <f>IFERROR(__xludf.DUMMYFUNCTION("""COMPUTED_VALUE"""),65.4)</f>
        <v>65.4</v>
      </c>
      <c r="D2" s="16">
        <f>IFERROR(__xludf.DUMMYFUNCTION("""COMPUTED_VALUE"""),62.7)</f>
        <v>62.7</v>
      </c>
      <c r="E2" s="16">
        <f>IFERROR(__xludf.DUMMYFUNCTION("""COMPUTED_VALUE"""),68.0)</f>
        <v>68</v>
      </c>
      <c r="F2" s="16">
        <f>IFERROR(__xludf.DUMMYFUNCTION("""COMPUTED_VALUE"""),66.0)</f>
        <v>66</v>
      </c>
      <c r="G2" s="16">
        <f>IFERROR(__xludf.DUMMYFUNCTION("""COMPUTED_VALUE"""),64.8)</f>
        <v>64.8</v>
      </c>
      <c r="H2" s="16">
        <f>IFERROR(__xludf.DUMMYFUNCTION("""COMPUTED_VALUE"""),61.8)</f>
        <v>61.8</v>
      </c>
    </row>
    <row r="3">
      <c r="A3" s="14">
        <f>VLOOKUP(B3,map!B:C,2,false)</f>
        <v>10</v>
      </c>
      <c r="B3" s="15" t="str">
        <f>IFERROR(__xludf.DUMMYFUNCTION("""COMPUTED_VALUE"""),"Miami")</f>
        <v>Miami</v>
      </c>
      <c r="C3" s="16">
        <f>IFERROR(__xludf.DUMMYFUNCTION("""COMPUTED_VALUE"""),65.3)</f>
        <v>65.3</v>
      </c>
      <c r="D3" s="16">
        <f>IFERROR(__xludf.DUMMYFUNCTION("""COMPUTED_VALUE"""),69.0)</f>
        <v>69</v>
      </c>
      <c r="E3" s="16">
        <f>IFERROR(__xludf.DUMMYFUNCTION("""COMPUTED_VALUE"""),64.0)</f>
        <v>64</v>
      </c>
      <c r="F3" s="16">
        <f>IFERROR(__xludf.DUMMYFUNCTION("""COMPUTED_VALUE"""),64.5)</f>
        <v>64.5</v>
      </c>
      <c r="G3" s="16">
        <f>IFERROR(__xludf.DUMMYFUNCTION("""COMPUTED_VALUE"""),66.3)</f>
        <v>66.3</v>
      </c>
      <c r="H3" s="16">
        <f>IFERROR(__xludf.DUMMYFUNCTION("""COMPUTED_VALUE"""),61.8)</f>
        <v>61.8</v>
      </c>
    </row>
    <row r="4">
      <c r="A4" s="14">
        <f>VLOOKUP(B4,map!B:C,2,false)</f>
        <v>2</v>
      </c>
      <c r="B4" s="15" t="str">
        <f>IFERROR(__xludf.DUMMYFUNCTION("""COMPUTED_VALUE"""),"Kansas City")</f>
        <v>Kansas City</v>
      </c>
      <c r="C4" s="16">
        <f>IFERROR(__xludf.DUMMYFUNCTION("""COMPUTED_VALUE"""),65.0)</f>
        <v>65</v>
      </c>
      <c r="D4" s="16">
        <f>IFERROR(__xludf.DUMMYFUNCTION("""COMPUTED_VALUE"""),72.0)</f>
        <v>72</v>
      </c>
      <c r="E4" s="16">
        <f>IFERROR(__xludf.DUMMYFUNCTION("""COMPUTED_VALUE"""),68.0)</f>
        <v>68</v>
      </c>
      <c r="F4" s="16">
        <f>IFERROR(__xludf.DUMMYFUNCTION("""COMPUTED_VALUE"""),63.0)</f>
        <v>63</v>
      </c>
      <c r="G4" s="16">
        <f>IFERROR(__xludf.DUMMYFUNCTION("""COMPUTED_VALUE"""),66.5)</f>
        <v>66.5</v>
      </c>
      <c r="H4" s="16">
        <f>IFERROR(__xludf.DUMMYFUNCTION("""COMPUTED_VALUE"""),64.5)</f>
        <v>64.5</v>
      </c>
    </row>
    <row r="5">
      <c r="A5" s="14">
        <f>VLOOKUP(B5,map!B:C,2,false)</f>
        <v>26</v>
      </c>
      <c r="B5" s="15" t="str">
        <f>IFERROR(__xludf.DUMMYFUNCTION("""COMPUTED_VALUE"""),"NY Giants")</f>
        <v>NY Giants</v>
      </c>
      <c r="C5" s="16">
        <f>IFERROR(__xludf.DUMMYFUNCTION("""COMPUTED_VALUE"""),64.7)</f>
        <v>64.7</v>
      </c>
      <c r="D5" s="16">
        <f>IFERROR(__xludf.DUMMYFUNCTION("""COMPUTED_VALUE"""),66.7)</f>
        <v>66.7</v>
      </c>
      <c r="E5" s="16">
        <f>IFERROR(__xludf.DUMMYFUNCTION("""COMPUTED_VALUE"""),55.0)</f>
        <v>55</v>
      </c>
      <c r="F5" s="16">
        <f>IFERROR(__xludf.DUMMYFUNCTION("""COMPUTED_VALUE"""),65.5)</f>
        <v>65.5</v>
      </c>
      <c r="G5" s="16">
        <f>IFERROR(__xludf.DUMMYFUNCTION("""COMPUTED_VALUE"""),63.7)</f>
        <v>63.7</v>
      </c>
      <c r="H5" s="16">
        <f>IFERROR(__xludf.DUMMYFUNCTION("""COMPUTED_VALUE"""),62.2)</f>
        <v>62.2</v>
      </c>
    </row>
    <row r="6">
      <c r="A6" s="14">
        <f>VLOOKUP(B6,map!B:C,2,false)</f>
        <v>12</v>
      </c>
      <c r="B6" s="15" t="str">
        <f>IFERROR(__xludf.DUMMYFUNCTION("""COMPUTED_VALUE"""),"Philadelphia")</f>
        <v>Philadelphia</v>
      </c>
      <c r="C6" s="16">
        <f>IFERROR(__xludf.DUMMYFUNCTION("""COMPUTED_VALUE"""),64.4)</f>
        <v>64.4</v>
      </c>
      <c r="D6" s="16">
        <f>IFERROR(__xludf.DUMMYFUNCTION("""COMPUTED_VALUE"""),62.0)</f>
        <v>62</v>
      </c>
      <c r="E6" s="16">
        <f>IFERROR(__xludf.DUMMYFUNCTION("""COMPUTED_VALUE"""),59.0)</f>
        <v>59</v>
      </c>
      <c r="F6" s="16">
        <f>IFERROR(__xludf.DUMMYFUNCTION("""COMPUTED_VALUE"""),65.0)</f>
        <v>65</v>
      </c>
      <c r="G6" s="16">
        <f>IFERROR(__xludf.DUMMYFUNCTION("""COMPUTED_VALUE"""),64.2)</f>
        <v>64.2</v>
      </c>
      <c r="H6" s="16">
        <f>IFERROR(__xludf.DUMMYFUNCTION("""COMPUTED_VALUE"""),64.7)</f>
        <v>64.7</v>
      </c>
    </row>
    <row r="7">
      <c r="A7" s="14">
        <f>VLOOKUP(B7,map!B:C,2,false)</f>
        <v>14</v>
      </c>
      <c r="B7" s="15" t="str">
        <f>IFERROR(__xludf.DUMMYFUNCTION("""COMPUTED_VALUE"""),"Tampa Bay")</f>
        <v>Tampa Bay</v>
      </c>
      <c r="C7" s="16">
        <f>IFERROR(__xludf.DUMMYFUNCTION("""COMPUTED_VALUE"""),63.9)</f>
        <v>63.9</v>
      </c>
      <c r="D7" s="16">
        <f>IFERROR(__xludf.DUMMYFUNCTION("""COMPUTED_VALUE"""),74.0)</f>
        <v>74</v>
      </c>
      <c r="E7" s="16">
        <f>IFERROR(__xludf.DUMMYFUNCTION("""COMPUTED_VALUE"""),72.0)</f>
        <v>72</v>
      </c>
      <c r="F7" s="16">
        <f>IFERROR(__xludf.DUMMYFUNCTION("""COMPUTED_VALUE"""),68.2)</f>
        <v>68.2</v>
      </c>
      <c r="G7" s="16">
        <f>IFERROR(__xludf.DUMMYFUNCTION("""COMPUTED_VALUE"""),56.7)</f>
        <v>56.7</v>
      </c>
      <c r="H7" s="16">
        <f>IFERROR(__xludf.DUMMYFUNCTION("""COMPUTED_VALUE"""),61.9)</f>
        <v>61.9</v>
      </c>
    </row>
    <row r="8">
      <c r="A8" s="14">
        <f>VLOOKUP(B8,map!B:C,2,false)</f>
        <v>31</v>
      </c>
      <c r="B8" s="15" t="str">
        <f>IFERROR(__xludf.DUMMYFUNCTION("""COMPUTED_VALUE"""),"Chicago")</f>
        <v>Chicago</v>
      </c>
      <c r="C8" s="16">
        <f>IFERROR(__xludf.DUMMYFUNCTION("""COMPUTED_VALUE"""),63.9)</f>
        <v>63.9</v>
      </c>
      <c r="D8" s="16">
        <f>IFERROR(__xludf.DUMMYFUNCTION("""COMPUTED_VALUE"""),63.3)</f>
        <v>63.3</v>
      </c>
      <c r="E8" s="16">
        <f>IFERROR(__xludf.DUMMYFUNCTION("""COMPUTED_VALUE"""),60.0)</f>
        <v>60</v>
      </c>
      <c r="F8" s="16">
        <f>IFERROR(__xludf.DUMMYFUNCTION("""COMPUTED_VALUE"""),58.7)</f>
        <v>58.7</v>
      </c>
      <c r="G8" s="16">
        <f>IFERROR(__xludf.DUMMYFUNCTION("""COMPUTED_VALUE"""),67.8)</f>
        <v>67.8</v>
      </c>
      <c r="H8" s="16">
        <f>IFERROR(__xludf.DUMMYFUNCTION("""COMPUTED_VALUE"""),64.5)</f>
        <v>64.5</v>
      </c>
    </row>
    <row r="9">
      <c r="A9" s="14">
        <f>VLOOKUP(B9,map!B:C,2,false)</f>
        <v>16</v>
      </c>
      <c r="B9" s="15" t="str">
        <f>IFERROR(__xludf.DUMMYFUNCTION("""COMPUTED_VALUE"""),"Cleveland")</f>
        <v>Cleveland</v>
      </c>
      <c r="C9" s="16">
        <f>IFERROR(__xludf.DUMMYFUNCTION("""COMPUTED_VALUE"""),63.8)</f>
        <v>63.8</v>
      </c>
      <c r="D9" s="16">
        <f>IFERROR(__xludf.DUMMYFUNCTION("""COMPUTED_VALUE"""),65.3)</f>
        <v>65.3</v>
      </c>
      <c r="E9" s="16">
        <f>IFERROR(__xludf.DUMMYFUNCTION("""COMPUTED_VALUE"""),66.0)</f>
        <v>66</v>
      </c>
      <c r="F9" s="16">
        <f>IFERROR(__xludf.DUMMYFUNCTION("""COMPUTED_VALUE"""),69.0)</f>
        <v>69</v>
      </c>
      <c r="G9" s="16">
        <f>IFERROR(__xludf.DUMMYFUNCTION("""COMPUTED_VALUE"""),58.5)</f>
        <v>58.5</v>
      </c>
      <c r="H9" s="16">
        <f>IFERROR(__xludf.DUMMYFUNCTION("""COMPUTED_VALUE"""),69.8)</f>
        <v>69.8</v>
      </c>
    </row>
    <row r="10">
      <c r="A10" s="14">
        <f>VLOOKUP(B10,map!B:C,2,false)</f>
        <v>1</v>
      </c>
      <c r="B10" s="15" t="str">
        <f>IFERROR(__xludf.DUMMYFUNCTION("""COMPUTED_VALUE"""),"Dallas")</f>
        <v>Dallas</v>
      </c>
      <c r="C10" s="16">
        <f>IFERROR(__xludf.DUMMYFUNCTION("""COMPUTED_VALUE"""),63.7)</f>
        <v>63.7</v>
      </c>
      <c r="D10" s="16">
        <f>IFERROR(__xludf.DUMMYFUNCTION("""COMPUTED_VALUE"""),66.3)</f>
        <v>66.3</v>
      </c>
      <c r="E10" s="16">
        <f>IFERROR(__xludf.DUMMYFUNCTION("""COMPUTED_VALUE"""),59.0)</f>
        <v>59</v>
      </c>
      <c r="F10" s="16">
        <f>IFERROR(__xludf.DUMMYFUNCTION("""COMPUTED_VALUE"""),67.0)</f>
        <v>67</v>
      </c>
      <c r="G10" s="16">
        <f>IFERROR(__xludf.DUMMYFUNCTION("""COMPUTED_VALUE"""),61.3)</f>
        <v>61.3</v>
      </c>
      <c r="H10" s="16">
        <f>IFERROR(__xludf.DUMMYFUNCTION("""COMPUTED_VALUE"""),67.3)</f>
        <v>67.3</v>
      </c>
    </row>
    <row r="11">
      <c r="A11" s="14">
        <f>VLOOKUP(B11,map!B:C,2,false)</f>
        <v>15</v>
      </c>
      <c r="B11" s="15" t="str">
        <f>IFERROR(__xludf.DUMMYFUNCTION("""COMPUTED_VALUE"""),"Green Bay")</f>
        <v>Green Bay</v>
      </c>
      <c r="C11" s="16">
        <f>IFERROR(__xludf.DUMMYFUNCTION("""COMPUTED_VALUE"""),63.6)</f>
        <v>63.6</v>
      </c>
      <c r="D11" s="16">
        <f>IFERROR(__xludf.DUMMYFUNCTION("""COMPUTED_VALUE"""),64.3)</f>
        <v>64.3</v>
      </c>
      <c r="E11" s="16">
        <f>IFERROR(__xludf.DUMMYFUNCTION("""COMPUTED_VALUE"""),67.0)</f>
        <v>67</v>
      </c>
      <c r="F11" s="16">
        <f>IFERROR(__xludf.DUMMYFUNCTION("""COMPUTED_VALUE"""),66.8)</f>
        <v>66.8</v>
      </c>
      <c r="G11" s="16">
        <f>IFERROR(__xludf.DUMMYFUNCTION("""COMPUTED_VALUE"""),60.5)</f>
        <v>60.5</v>
      </c>
      <c r="H11" s="16">
        <f>IFERROR(__xludf.DUMMYFUNCTION("""COMPUTED_VALUE"""),61.5)</f>
        <v>61.5</v>
      </c>
    </row>
    <row r="12">
      <c r="A12" s="14">
        <f>VLOOKUP(B12,map!B:C,2,false)</f>
        <v>30</v>
      </c>
      <c r="B12" s="15" t="str">
        <f>IFERROR(__xludf.DUMMYFUNCTION("""COMPUTED_VALUE"""),"Baltimore")</f>
        <v>Baltimore</v>
      </c>
      <c r="C12" s="16">
        <f>IFERROR(__xludf.DUMMYFUNCTION("""COMPUTED_VALUE"""),63.6)</f>
        <v>63.6</v>
      </c>
      <c r="D12" s="16">
        <f>IFERROR(__xludf.DUMMYFUNCTION("""COMPUTED_VALUE"""),60.3)</f>
        <v>60.3</v>
      </c>
      <c r="E12" s="16">
        <f>IFERROR(__xludf.DUMMYFUNCTION("""COMPUTED_VALUE"""),62.0)</f>
        <v>62</v>
      </c>
      <c r="F12" s="16">
        <f>IFERROR(__xludf.DUMMYFUNCTION("""COMPUTED_VALUE"""),60.7)</f>
        <v>60.7</v>
      </c>
      <c r="G12" s="16">
        <f>IFERROR(__xludf.DUMMYFUNCTION("""COMPUTED_VALUE"""),65.4)</f>
        <v>65.4</v>
      </c>
      <c r="H12" s="16">
        <f>IFERROR(__xludf.DUMMYFUNCTION("""COMPUTED_VALUE"""),63.2)</f>
        <v>63.2</v>
      </c>
    </row>
    <row r="13">
      <c r="A13" s="14">
        <f>VLOOKUP(B13,map!B:C,2,false)</f>
        <v>25</v>
      </c>
      <c r="B13" s="15" t="str">
        <f>IFERROR(__xludf.DUMMYFUNCTION("""COMPUTED_VALUE"""),"San Francisco")</f>
        <v>San Francisco</v>
      </c>
      <c r="C13" s="16">
        <f>IFERROR(__xludf.DUMMYFUNCTION("""COMPUTED_VALUE"""),63.3)</f>
        <v>63.3</v>
      </c>
      <c r="D13" s="16">
        <f>IFERROR(__xludf.DUMMYFUNCTION("""COMPUTED_VALUE"""),60.3)</f>
        <v>60.3</v>
      </c>
      <c r="E13" s="16">
        <f>IFERROR(__xludf.DUMMYFUNCTION("""COMPUTED_VALUE"""),64.0)</f>
        <v>64</v>
      </c>
      <c r="F13" s="16">
        <f>IFERROR(__xludf.DUMMYFUNCTION("""COMPUTED_VALUE"""),62.6)</f>
        <v>62.6</v>
      </c>
      <c r="G13" s="16">
        <f>IFERROR(__xludf.DUMMYFUNCTION("""COMPUTED_VALUE"""),64.3)</f>
        <v>64.3</v>
      </c>
      <c r="H13" s="16">
        <f>IFERROR(__xludf.DUMMYFUNCTION("""COMPUTED_VALUE"""),61.3)</f>
        <v>61.3</v>
      </c>
    </row>
    <row r="14">
      <c r="A14" s="14">
        <f>VLOOKUP(B14,map!B:C,2,false)</f>
        <v>29</v>
      </c>
      <c r="B14" s="15" t="str">
        <f>IFERROR(__xludf.DUMMYFUNCTION("""COMPUTED_VALUE"""),"Pittsburgh")</f>
        <v>Pittsburgh</v>
      </c>
      <c r="C14" s="16">
        <f>IFERROR(__xludf.DUMMYFUNCTION("""COMPUTED_VALUE"""),63.1)</f>
        <v>63.1</v>
      </c>
      <c r="D14" s="16">
        <f>IFERROR(__xludf.DUMMYFUNCTION("""COMPUTED_VALUE"""),61.7)</f>
        <v>61.7</v>
      </c>
      <c r="E14" s="16">
        <f>IFERROR(__xludf.DUMMYFUNCTION("""COMPUTED_VALUE"""),66.0)</f>
        <v>66</v>
      </c>
      <c r="F14" s="16">
        <f>IFERROR(__xludf.DUMMYFUNCTION("""COMPUTED_VALUE"""),62.7)</f>
        <v>62.7</v>
      </c>
      <c r="G14" s="16">
        <f>IFERROR(__xludf.DUMMYFUNCTION("""COMPUTED_VALUE"""),63.5)</f>
        <v>63.5</v>
      </c>
      <c r="H14" s="16">
        <f>IFERROR(__xludf.DUMMYFUNCTION("""COMPUTED_VALUE"""),60.7)</f>
        <v>60.7</v>
      </c>
    </row>
    <row r="15">
      <c r="A15" s="14">
        <f>VLOOKUP(B15,map!B:C,2,false)</f>
        <v>8</v>
      </c>
      <c r="B15" s="15" t="str">
        <f>IFERROR(__xludf.DUMMYFUNCTION("""COMPUTED_VALUE"""),"Washington")</f>
        <v>Washington</v>
      </c>
      <c r="C15" s="16">
        <f>IFERROR(__xludf.DUMMYFUNCTION("""COMPUTED_VALUE"""),63.1)</f>
        <v>63.1</v>
      </c>
      <c r="D15" s="16">
        <f>IFERROR(__xludf.DUMMYFUNCTION("""COMPUTED_VALUE"""),63.7)</f>
        <v>63.7</v>
      </c>
      <c r="E15" s="16">
        <f>IFERROR(__xludf.DUMMYFUNCTION("""COMPUTED_VALUE"""),72.0)</f>
        <v>72</v>
      </c>
      <c r="F15" s="16">
        <f>IFERROR(__xludf.DUMMYFUNCTION("""COMPUTED_VALUE"""),67.3)</f>
        <v>67.3</v>
      </c>
      <c r="G15" s="16">
        <f>IFERROR(__xludf.DUMMYFUNCTION("""COMPUTED_VALUE"""),59.0)</f>
        <v>59</v>
      </c>
      <c r="H15" s="16">
        <f>IFERROR(__xludf.DUMMYFUNCTION("""COMPUTED_VALUE"""),62.4)</f>
        <v>62.4</v>
      </c>
    </row>
    <row r="16">
      <c r="A16" s="14">
        <f>VLOOKUP(B16,map!B:C,2,false)</f>
        <v>13</v>
      </c>
      <c r="B16" s="15" t="str">
        <f>IFERROR(__xludf.DUMMYFUNCTION("""COMPUTED_VALUE"""),"Seattle")</f>
        <v>Seattle</v>
      </c>
      <c r="C16" s="16">
        <f>IFERROR(__xludf.DUMMYFUNCTION("""COMPUTED_VALUE"""),62.3)</f>
        <v>62.3</v>
      </c>
      <c r="D16" s="16">
        <f>IFERROR(__xludf.DUMMYFUNCTION("""COMPUTED_VALUE"""),58.7)</f>
        <v>58.7</v>
      </c>
      <c r="E16" s="16">
        <f>IFERROR(__xludf.DUMMYFUNCTION("""COMPUTED_VALUE"""),47.0)</f>
        <v>47</v>
      </c>
      <c r="F16" s="16">
        <f>IFERROR(__xludf.DUMMYFUNCTION("""COMPUTED_VALUE"""),59.6)</f>
        <v>59.6</v>
      </c>
      <c r="G16" s="16">
        <f>IFERROR(__xludf.DUMMYFUNCTION("""COMPUTED_VALUE"""),66.7)</f>
        <v>66.7</v>
      </c>
      <c r="H16" s="16">
        <f>IFERROR(__xludf.DUMMYFUNCTION("""COMPUTED_VALUE"""),58.5)</f>
        <v>58.5</v>
      </c>
    </row>
    <row r="17">
      <c r="A17" s="14">
        <f>VLOOKUP(B17,map!B:C,2,false)</f>
        <v>28</v>
      </c>
      <c r="B17" s="15" t="str">
        <f>IFERROR(__xludf.DUMMYFUNCTION("""COMPUTED_VALUE"""),"Atlanta")</f>
        <v>Atlanta</v>
      </c>
      <c r="C17" s="16">
        <f>IFERROR(__xludf.DUMMYFUNCTION("""COMPUTED_VALUE"""),61.9)</f>
        <v>61.9</v>
      </c>
      <c r="D17" s="16">
        <f>IFERROR(__xludf.DUMMYFUNCTION("""COMPUTED_VALUE"""),66.3)</f>
        <v>66.3</v>
      </c>
      <c r="E17" s="16">
        <f>IFERROR(__xludf.DUMMYFUNCTION("""COMPUTED_VALUE"""),60.0)</f>
        <v>60</v>
      </c>
      <c r="F17" s="16">
        <f>IFERROR(__xludf.DUMMYFUNCTION("""COMPUTED_VALUE"""),61.8)</f>
        <v>61.8</v>
      </c>
      <c r="G17" s="16">
        <f>IFERROR(__xludf.DUMMYFUNCTION("""COMPUTED_VALUE"""),62.0)</f>
        <v>62</v>
      </c>
      <c r="H17" s="16">
        <f>IFERROR(__xludf.DUMMYFUNCTION("""COMPUTED_VALUE"""),64.2)</f>
        <v>64.2</v>
      </c>
    </row>
    <row r="18">
      <c r="A18" s="14">
        <f>VLOOKUP(B18,map!B:C,2,false)</f>
        <v>18</v>
      </c>
      <c r="B18" s="15" t="str">
        <f>IFERROR(__xludf.DUMMYFUNCTION("""COMPUTED_VALUE"""),"LA Rams")</f>
        <v>LA Rams</v>
      </c>
      <c r="C18" s="16">
        <f>IFERROR(__xludf.DUMMYFUNCTION("""COMPUTED_VALUE"""),61.9)</f>
        <v>61.9</v>
      </c>
      <c r="D18" s="16">
        <f>IFERROR(__xludf.DUMMYFUNCTION("""COMPUTED_VALUE"""),64.7)</f>
        <v>64.7</v>
      </c>
      <c r="E18" s="16">
        <f>IFERROR(__xludf.DUMMYFUNCTION("""COMPUTED_VALUE"""),66.0)</f>
        <v>66</v>
      </c>
      <c r="F18" s="16">
        <f>IFERROR(__xludf.DUMMYFUNCTION("""COMPUTED_VALUE"""),62.3)</f>
        <v>62.3</v>
      </c>
      <c r="G18" s="16">
        <f>IFERROR(__xludf.DUMMYFUNCTION("""COMPUTED_VALUE"""),61.3)</f>
        <v>61.3</v>
      </c>
      <c r="H18" s="16">
        <f>IFERROR(__xludf.DUMMYFUNCTION("""COMPUTED_VALUE"""),63.8)</f>
        <v>63.8</v>
      </c>
    </row>
    <row r="19">
      <c r="A19" s="14">
        <f>VLOOKUP(B19,map!B:C,2,false)</f>
        <v>9</v>
      </c>
      <c r="B19" s="15" t="str">
        <f>IFERROR(__xludf.DUMMYFUNCTION("""COMPUTED_VALUE"""),"New Orleans")</f>
        <v>New Orleans</v>
      </c>
      <c r="C19" s="16">
        <f>IFERROR(__xludf.DUMMYFUNCTION("""COMPUTED_VALUE"""),61.8)</f>
        <v>61.8</v>
      </c>
      <c r="D19" s="16">
        <f>IFERROR(__xludf.DUMMYFUNCTION("""COMPUTED_VALUE"""),66.7)</f>
        <v>66.7</v>
      </c>
      <c r="E19" s="16">
        <f>IFERROR(__xludf.DUMMYFUNCTION("""COMPUTED_VALUE"""),68.0)</f>
        <v>68</v>
      </c>
      <c r="F19" s="16">
        <f>IFERROR(__xludf.DUMMYFUNCTION("""COMPUTED_VALUE"""),62.3)</f>
        <v>62.3</v>
      </c>
      <c r="G19" s="16">
        <f>IFERROR(__xludf.DUMMYFUNCTION("""COMPUTED_VALUE"""),61.3)</f>
        <v>61.3</v>
      </c>
      <c r="H19" s="16">
        <f>IFERROR(__xludf.DUMMYFUNCTION("""COMPUTED_VALUE"""),65.9)</f>
        <v>65.9</v>
      </c>
    </row>
    <row r="20">
      <c r="A20" s="14">
        <f>VLOOKUP(B20,map!B:C,2,false)</f>
        <v>5</v>
      </c>
      <c r="B20" s="15" t="str">
        <f>IFERROR(__xludf.DUMMYFUNCTION("""COMPUTED_VALUE"""),"Detroit")</f>
        <v>Detroit</v>
      </c>
      <c r="C20" s="16">
        <f>IFERROR(__xludf.DUMMYFUNCTION("""COMPUTED_VALUE"""),61.6)</f>
        <v>61.6</v>
      </c>
      <c r="D20" s="16">
        <f>IFERROR(__xludf.DUMMYFUNCTION("""COMPUTED_VALUE"""),56.3)</f>
        <v>56.3</v>
      </c>
      <c r="E20" s="16">
        <f>IFERROR(__xludf.DUMMYFUNCTION("""COMPUTED_VALUE"""),47.0)</f>
        <v>47</v>
      </c>
      <c r="F20" s="16">
        <f>IFERROR(__xludf.DUMMYFUNCTION("""COMPUTED_VALUE"""),60.3)</f>
        <v>60.3</v>
      </c>
      <c r="G20" s="16">
        <f>IFERROR(__xludf.DUMMYFUNCTION("""COMPUTED_VALUE"""),63.3)</f>
        <v>63.3</v>
      </c>
      <c r="H20" s="16">
        <f>IFERROR(__xludf.DUMMYFUNCTION("""COMPUTED_VALUE"""),66.8)</f>
        <v>66.8</v>
      </c>
    </row>
    <row r="21">
      <c r="A21" s="14">
        <f>VLOOKUP(B21,map!B:C,2,false)</f>
        <v>32</v>
      </c>
      <c r="B21" s="15" t="str">
        <f>IFERROR(__xludf.DUMMYFUNCTION("""COMPUTED_VALUE"""),"Tennessee")</f>
        <v>Tennessee</v>
      </c>
      <c r="C21" s="16">
        <f>IFERROR(__xludf.DUMMYFUNCTION("""COMPUTED_VALUE"""),61.3)</f>
        <v>61.3</v>
      </c>
      <c r="D21" s="16">
        <f>IFERROR(__xludf.DUMMYFUNCTION("""COMPUTED_VALUE"""),64.3)</f>
        <v>64.3</v>
      </c>
      <c r="E21" s="16">
        <f>IFERROR(__xludf.DUMMYFUNCTION("""COMPUTED_VALUE"""),71.0)</f>
        <v>71</v>
      </c>
      <c r="F21" s="16">
        <f>IFERROR(__xludf.DUMMYFUNCTION("""COMPUTED_VALUE"""),56.0)</f>
        <v>56</v>
      </c>
      <c r="G21" s="16">
        <f>IFERROR(__xludf.DUMMYFUNCTION("""COMPUTED_VALUE"""),65.3)</f>
        <v>65.3</v>
      </c>
      <c r="H21" s="16">
        <f>IFERROR(__xludf.DUMMYFUNCTION("""COMPUTED_VALUE"""),58.9)</f>
        <v>58.9</v>
      </c>
    </row>
    <row r="22">
      <c r="A22" s="14">
        <f>VLOOKUP(B22,map!B:C,2,false)</f>
        <v>27</v>
      </c>
      <c r="B22" s="15" t="str">
        <f>IFERROR(__xludf.DUMMYFUNCTION("""COMPUTED_VALUE"""),"Denver")</f>
        <v>Denver</v>
      </c>
      <c r="C22" s="16">
        <f>IFERROR(__xludf.DUMMYFUNCTION("""COMPUTED_VALUE"""),61.3)</f>
        <v>61.3</v>
      </c>
      <c r="D22" s="16">
        <f>IFERROR(__xludf.DUMMYFUNCTION("""COMPUTED_VALUE"""),62.3)</f>
        <v>62.3</v>
      </c>
      <c r="E22" s="16">
        <f>IFERROR(__xludf.DUMMYFUNCTION("""COMPUTED_VALUE"""),73.0)</f>
        <v>73</v>
      </c>
      <c r="F22" s="16">
        <f>IFERROR(__xludf.DUMMYFUNCTION("""COMPUTED_VALUE"""),60.0)</f>
        <v>60</v>
      </c>
      <c r="G22" s="16">
        <f>IFERROR(__xludf.DUMMYFUNCTION("""COMPUTED_VALUE"""),62.5)</f>
        <v>62.5</v>
      </c>
      <c r="H22" s="16">
        <f>IFERROR(__xludf.DUMMYFUNCTION("""COMPUTED_VALUE"""),59.8)</f>
        <v>59.8</v>
      </c>
    </row>
    <row r="23">
      <c r="A23" s="14">
        <f>VLOOKUP(B23,map!B:C,2,false)</f>
        <v>24</v>
      </c>
      <c r="B23" s="15" t="str">
        <f>IFERROR(__xludf.DUMMYFUNCTION("""COMPUTED_VALUE"""),"Las Vegas")</f>
        <v>Las Vegas</v>
      </c>
      <c r="C23" s="16">
        <f>IFERROR(__xludf.DUMMYFUNCTION("""COMPUTED_VALUE"""),61.1)</f>
        <v>61.1</v>
      </c>
      <c r="D23" s="16">
        <f>IFERROR(__xludf.DUMMYFUNCTION("""COMPUTED_VALUE"""),63.7)</f>
        <v>63.7</v>
      </c>
      <c r="E23" s="16">
        <f>IFERROR(__xludf.DUMMYFUNCTION("""COMPUTED_VALUE"""),56.0)</f>
        <v>56</v>
      </c>
      <c r="F23" s="16">
        <f>IFERROR(__xludf.DUMMYFUNCTION("""COMPUTED_VALUE"""),57.5)</f>
        <v>57.5</v>
      </c>
      <c r="G23" s="16">
        <f>IFERROR(__xludf.DUMMYFUNCTION("""COMPUTED_VALUE"""),64.8)</f>
        <v>64.8</v>
      </c>
      <c r="H23" s="16">
        <f>IFERROR(__xludf.DUMMYFUNCTION("""COMPUTED_VALUE"""),59.4)</f>
        <v>59.4</v>
      </c>
    </row>
    <row r="24">
      <c r="A24" s="14">
        <f>VLOOKUP(B24,map!B:C,2,false)</f>
        <v>19</v>
      </c>
      <c r="B24" s="15" t="str">
        <f>IFERROR(__xludf.DUMMYFUNCTION("""COMPUTED_VALUE"""),"NY Jets")</f>
        <v>NY Jets</v>
      </c>
      <c r="C24" s="16">
        <f>IFERROR(__xludf.DUMMYFUNCTION("""COMPUTED_VALUE"""),60.9)</f>
        <v>60.9</v>
      </c>
      <c r="D24" s="16">
        <f>IFERROR(__xludf.DUMMYFUNCTION("""COMPUTED_VALUE"""),57.0)</f>
        <v>57</v>
      </c>
      <c r="E24" s="16">
        <f>IFERROR(__xludf.DUMMYFUNCTION("""COMPUTED_VALUE"""),57.0)</f>
        <v>57</v>
      </c>
      <c r="F24" s="16">
        <f>IFERROR(__xludf.DUMMYFUNCTION("""COMPUTED_VALUE"""),66.3)</f>
        <v>66.3</v>
      </c>
      <c r="G24" s="16">
        <f>IFERROR(__xludf.DUMMYFUNCTION("""COMPUTED_VALUE"""),57.6)</f>
        <v>57.6</v>
      </c>
      <c r="H24" s="16">
        <f>IFERROR(__xludf.DUMMYFUNCTION("""COMPUTED_VALUE"""),61.9)</f>
        <v>61.9</v>
      </c>
    </row>
    <row r="25">
      <c r="A25" s="14">
        <f>VLOOKUP(B25,map!B:C,2,false)</f>
        <v>7</v>
      </c>
      <c r="B25" s="15" t="str">
        <f>IFERROR(__xludf.DUMMYFUNCTION("""COMPUTED_VALUE"""),"LA Chargers")</f>
        <v>LA Chargers</v>
      </c>
      <c r="C25" s="16">
        <f>IFERROR(__xludf.DUMMYFUNCTION("""COMPUTED_VALUE"""),60.0)</f>
        <v>60</v>
      </c>
      <c r="D25" s="16">
        <f>IFERROR(__xludf.DUMMYFUNCTION("""COMPUTED_VALUE"""),67.7)</f>
        <v>67.7</v>
      </c>
      <c r="E25" s="16">
        <f>IFERROR(__xludf.DUMMYFUNCTION("""COMPUTED_VALUE"""),64.0)</f>
        <v>64</v>
      </c>
      <c r="F25" s="16">
        <f>IFERROR(__xludf.DUMMYFUNCTION("""COMPUTED_VALUE"""),57.0)</f>
        <v>57</v>
      </c>
      <c r="G25" s="16">
        <f>IFERROR(__xludf.DUMMYFUNCTION("""COMPUTED_VALUE"""),62.3)</f>
        <v>62.3</v>
      </c>
      <c r="H25" s="16">
        <f>IFERROR(__xludf.DUMMYFUNCTION("""COMPUTED_VALUE"""),65.1)</f>
        <v>65.1</v>
      </c>
    </row>
    <row r="26">
      <c r="A26" s="14">
        <f>VLOOKUP(B26,map!B:C,2,false)</f>
        <v>22</v>
      </c>
      <c r="B26" s="15" t="str">
        <f>IFERROR(__xludf.DUMMYFUNCTION("""COMPUTED_VALUE"""),"New England")</f>
        <v>New England</v>
      </c>
      <c r="C26" s="16">
        <f>IFERROR(__xludf.DUMMYFUNCTION("""COMPUTED_VALUE"""),59.4)</f>
        <v>59.4</v>
      </c>
      <c r="D26" s="16">
        <f>IFERROR(__xludf.DUMMYFUNCTION("""COMPUTED_VALUE"""),60.0)</f>
        <v>60</v>
      </c>
      <c r="E26" s="16">
        <f>IFERROR(__xludf.DUMMYFUNCTION("""COMPUTED_VALUE"""),63.0)</f>
        <v>63</v>
      </c>
      <c r="F26" s="16">
        <f>IFERROR(__xludf.DUMMYFUNCTION("""COMPUTED_VALUE"""),61.8)</f>
        <v>61.8</v>
      </c>
      <c r="G26" s="16">
        <f>IFERROR(__xludf.DUMMYFUNCTION("""COMPUTED_VALUE"""),57.0)</f>
        <v>57</v>
      </c>
      <c r="H26" s="16">
        <f>IFERROR(__xludf.DUMMYFUNCTION("""COMPUTED_VALUE"""),60.0)</f>
        <v>60</v>
      </c>
    </row>
    <row r="27">
      <c r="A27" s="14">
        <f>VLOOKUP(B27,map!B:C,2,false)</f>
        <v>20</v>
      </c>
      <c r="B27" s="15" t="str">
        <f>IFERROR(__xludf.DUMMYFUNCTION("""COMPUTED_VALUE"""),"Indianapolis")</f>
        <v>Indianapolis</v>
      </c>
      <c r="C27" s="16">
        <f>IFERROR(__xludf.DUMMYFUNCTION("""COMPUTED_VALUE"""),59.1)</f>
        <v>59.1</v>
      </c>
      <c r="D27" s="16">
        <f>IFERROR(__xludf.DUMMYFUNCTION("""COMPUTED_VALUE"""),63.3)</f>
        <v>63.3</v>
      </c>
      <c r="E27" s="16">
        <f>IFERROR(__xludf.DUMMYFUNCTION("""COMPUTED_VALUE"""),63.0)</f>
        <v>63</v>
      </c>
      <c r="F27" s="16">
        <f>IFERROR(__xludf.DUMMYFUNCTION("""COMPUTED_VALUE"""),55.5)</f>
        <v>55.5</v>
      </c>
      <c r="G27" s="16">
        <f>IFERROR(__xludf.DUMMYFUNCTION("""COMPUTED_VALUE"""),62.8)</f>
        <v>62.8</v>
      </c>
      <c r="H27" s="16">
        <f>IFERROR(__xludf.DUMMYFUNCTION("""COMPUTED_VALUE"""),64.4)</f>
        <v>64.4</v>
      </c>
    </row>
    <row r="28">
      <c r="A28" s="14">
        <f>VLOOKUP(B28,map!B:C,2,false)</f>
        <v>23</v>
      </c>
      <c r="B28" s="15" t="str">
        <f>IFERROR(__xludf.DUMMYFUNCTION("""COMPUTED_VALUE"""),"Carolina")</f>
        <v>Carolina</v>
      </c>
      <c r="C28" s="16">
        <f>IFERROR(__xludf.DUMMYFUNCTION("""COMPUTED_VALUE"""),58.0)</f>
        <v>58</v>
      </c>
      <c r="D28" s="16">
        <f>IFERROR(__xludf.DUMMYFUNCTION("""COMPUTED_VALUE"""),55.0)</f>
        <v>55</v>
      </c>
      <c r="E28" s="16">
        <f>IFERROR(__xludf.DUMMYFUNCTION("""COMPUTED_VALUE"""),60.0)</f>
        <v>60</v>
      </c>
      <c r="F28" s="16">
        <f>IFERROR(__xludf.DUMMYFUNCTION("""COMPUTED_VALUE"""),59.3)</f>
        <v>59.3</v>
      </c>
      <c r="G28" s="16">
        <f>IFERROR(__xludf.DUMMYFUNCTION("""COMPUTED_VALUE"""),57.2)</f>
        <v>57.2</v>
      </c>
      <c r="H28" s="16">
        <f>IFERROR(__xludf.DUMMYFUNCTION("""COMPUTED_VALUE"""),64.5)</f>
        <v>64.5</v>
      </c>
    </row>
    <row r="29">
      <c r="A29" s="14">
        <f>VLOOKUP(B29,map!B:C,2,false)</f>
        <v>6</v>
      </c>
      <c r="B29" s="15" t="str">
        <f>IFERROR(__xludf.DUMMYFUNCTION("""COMPUTED_VALUE"""),"Jacksonville")</f>
        <v>Jacksonville</v>
      </c>
      <c r="C29" s="16">
        <f>IFERROR(__xludf.DUMMYFUNCTION("""COMPUTED_VALUE"""),57.9)</f>
        <v>57.9</v>
      </c>
      <c r="D29" s="16">
        <f>IFERROR(__xludf.DUMMYFUNCTION("""COMPUTED_VALUE"""),58.3)</f>
        <v>58.3</v>
      </c>
      <c r="E29" s="16">
        <f>IFERROR(__xludf.DUMMYFUNCTION("""COMPUTED_VALUE"""),56.0)</f>
        <v>56</v>
      </c>
      <c r="F29" s="16">
        <f>IFERROR(__xludf.DUMMYFUNCTION("""COMPUTED_VALUE"""),56.0)</f>
        <v>56</v>
      </c>
      <c r="G29" s="16">
        <f>IFERROR(__xludf.DUMMYFUNCTION("""COMPUTED_VALUE"""),59.0)</f>
        <v>59</v>
      </c>
      <c r="H29" s="16">
        <f>IFERROR(__xludf.DUMMYFUNCTION("""COMPUTED_VALUE"""),65.5)</f>
        <v>65.5</v>
      </c>
    </row>
    <row r="30">
      <c r="A30" s="14">
        <f>VLOOKUP(B30,map!B:C,2,false)</f>
        <v>21</v>
      </c>
      <c r="B30" s="15" t="str">
        <f>IFERROR(__xludf.DUMMYFUNCTION("""COMPUTED_VALUE"""),"Arizona")</f>
        <v>Arizona</v>
      </c>
      <c r="C30" s="16">
        <f>IFERROR(__xludf.DUMMYFUNCTION("""COMPUTED_VALUE"""),57.8)</f>
        <v>57.8</v>
      </c>
      <c r="D30" s="16">
        <f>IFERROR(__xludf.DUMMYFUNCTION("""COMPUTED_VALUE"""),57.3)</f>
        <v>57.3</v>
      </c>
      <c r="E30" s="16">
        <f>IFERROR(__xludf.DUMMYFUNCTION("""COMPUTED_VALUE"""),62.0)</f>
        <v>62</v>
      </c>
      <c r="F30" s="16">
        <f>IFERROR(__xludf.DUMMYFUNCTION("""COMPUTED_VALUE"""),57.0)</f>
        <v>57</v>
      </c>
      <c r="G30" s="16">
        <f>IFERROR(__xludf.DUMMYFUNCTION("""COMPUTED_VALUE"""),58.5)</f>
        <v>58.5</v>
      </c>
      <c r="H30" s="16">
        <f>IFERROR(__xludf.DUMMYFUNCTION("""COMPUTED_VALUE"""),62.8)</f>
        <v>62.8</v>
      </c>
    </row>
    <row r="31">
      <c r="A31" s="14">
        <f>VLOOKUP(B31,map!B:C,2,false)</f>
        <v>11</v>
      </c>
      <c r="B31" s="15" t="str">
        <f>IFERROR(__xludf.DUMMYFUNCTION("""COMPUTED_VALUE"""),"Buffalo")</f>
        <v>Buffalo</v>
      </c>
      <c r="C31" s="16">
        <f>IFERROR(__xludf.DUMMYFUNCTION("""COMPUTED_VALUE"""),57.8)</f>
        <v>57.8</v>
      </c>
      <c r="D31" s="16">
        <f>IFERROR(__xludf.DUMMYFUNCTION("""COMPUTED_VALUE"""),61.0)</f>
        <v>61</v>
      </c>
      <c r="E31" s="16">
        <f>IFERROR(__xludf.DUMMYFUNCTION("""COMPUTED_VALUE"""),69.0)</f>
        <v>69</v>
      </c>
      <c r="F31" s="16">
        <f>IFERROR(__xludf.DUMMYFUNCTION("""COMPUTED_VALUE"""),57.3)</f>
        <v>57.3</v>
      </c>
      <c r="G31" s="16">
        <f>IFERROR(__xludf.DUMMYFUNCTION("""COMPUTED_VALUE"""),58.0)</f>
        <v>58</v>
      </c>
      <c r="H31" s="16">
        <f>IFERROR(__xludf.DUMMYFUNCTION("""COMPUTED_VALUE"""),66.3)</f>
        <v>66.3</v>
      </c>
    </row>
    <row r="32">
      <c r="A32" s="14">
        <f>VLOOKUP(B32,map!B:C,2,false)</f>
        <v>4</v>
      </c>
      <c r="B32" s="15" t="str">
        <f>IFERROR(__xludf.DUMMYFUNCTION("""COMPUTED_VALUE"""),"Cincinnati")</f>
        <v>Cincinnati</v>
      </c>
      <c r="C32" s="16">
        <f>IFERROR(__xludf.DUMMYFUNCTION("""COMPUTED_VALUE"""),57.4)</f>
        <v>57.4</v>
      </c>
      <c r="D32" s="16">
        <f>IFERROR(__xludf.DUMMYFUNCTION("""COMPUTED_VALUE"""),54.3)</f>
        <v>54.3</v>
      </c>
      <c r="E32" s="16">
        <f>IFERROR(__xludf.DUMMYFUNCTION("""COMPUTED_VALUE"""),58.0)</f>
        <v>58</v>
      </c>
      <c r="F32" s="16">
        <f>IFERROR(__xludf.DUMMYFUNCTION("""COMPUTED_VALUE"""),57.8)</f>
        <v>57.8</v>
      </c>
      <c r="G32" s="16">
        <f>IFERROR(__xludf.DUMMYFUNCTION("""COMPUTED_VALUE"""),57.0)</f>
        <v>57</v>
      </c>
      <c r="H32" s="16">
        <f>IFERROR(__xludf.DUMMYFUNCTION("""COMPUTED_VALUE"""),61.6)</f>
        <v>61.6</v>
      </c>
    </row>
    <row r="33">
      <c r="A33" s="14">
        <f>VLOOKUP(B33,map!B:C,2,false)</f>
        <v>3</v>
      </c>
      <c r="B33" s="15" t="str">
        <f>IFERROR(__xludf.DUMMYFUNCTION("""COMPUTED_VALUE"""),"Minnesota")</f>
        <v>Minnesota</v>
      </c>
      <c r="C33" s="16">
        <f>IFERROR(__xludf.DUMMYFUNCTION("""COMPUTED_VALUE"""),56.7)</f>
        <v>56.7</v>
      </c>
      <c r="D33" s="16">
        <f>IFERROR(__xludf.DUMMYFUNCTION("""COMPUTED_VALUE"""),56.0)</f>
        <v>56</v>
      </c>
      <c r="E33" s="16">
        <f>IFERROR(__xludf.DUMMYFUNCTION("""COMPUTED_VALUE"""),50.0)</f>
        <v>50</v>
      </c>
      <c r="F33" s="16">
        <f>IFERROR(__xludf.DUMMYFUNCTION("""COMPUTED_VALUE"""),55.3)</f>
        <v>55.3</v>
      </c>
      <c r="G33" s="16">
        <f>IFERROR(__xludf.DUMMYFUNCTION("""COMPUTED_VALUE"""),57.8)</f>
        <v>57.8</v>
      </c>
      <c r="H33" s="16">
        <f>IFERROR(__xludf.DUMMYFUNCTION("""COMPUTED_VALUE"""),63.0)</f>
        <v>63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8.29"/>
    <col customWidth="1" min="3" max="26" width="8.71"/>
  </cols>
  <sheetData>
    <row r="1">
      <c r="A1" s="9" t="s">
        <v>24</v>
      </c>
      <c r="B1" s="9" t="s">
        <v>25</v>
      </c>
    </row>
    <row r="2">
      <c r="A2" s="4" t="s">
        <v>26</v>
      </c>
      <c r="B2" s="4">
        <f>((27 + 20) / 2) * 1</f>
        <v>23.5</v>
      </c>
    </row>
    <row r="3">
      <c r="A3" s="4" t="s">
        <v>27</v>
      </c>
      <c r="B3" s="4">
        <f>((24 + 21) / 2) * 1</f>
        <v>22.5</v>
      </c>
    </row>
    <row r="4">
      <c r="A4" s="4" t="s">
        <v>28</v>
      </c>
      <c r="B4" s="4">
        <f>B2 + B3</f>
        <v>46</v>
      </c>
    </row>
    <row r="5">
      <c r="A5" s="4" t="s">
        <v>29</v>
      </c>
      <c r="B5" s="4">
        <f>(65 + 63) / 2</f>
        <v>64</v>
      </c>
    </row>
    <row r="6">
      <c r="A6" s="4" t="s">
        <v>30</v>
      </c>
      <c r="B6" s="4" t="s">
        <v>31</v>
      </c>
    </row>
    <row r="7">
      <c r="A7" s="4" t="s">
        <v>32</v>
      </c>
      <c r="B7" s="4" t="str">
        <f>B6 / B7</f>
        <v>#DIV/0!</v>
      </c>
    </row>
    <row r="8">
      <c r="A8" s="4" t="s">
        <v>33</v>
      </c>
      <c r="B8" s="4">
        <f>B5 * B8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6" width="8.71"/>
  </cols>
  <sheetData>
    <row r="1">
      <c r="A1" s="9" t="s">
        <v>24</v>
      </c>
      <c r="B1" s="9" t="s">
        <v>25</v>
      </c>
    </row>
    <row r="2">
      <c r="A2" s="4" t="s">
        <v>34</v>
      </c>
      <c r="B2" s="4" t="str">
        <f>Calculations!B9</f>
        <v/>
      </c>
    </row>
    <row r="3">
      <c r="A3" s="4" t="s">
        <v>35</v>
      </c>
      <c r="B3" s="4" t="str">
        <f>MROUND(B1, 0.5)</f>
        <v>#VALUE!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