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Data_Input" sheetId="2" r:id="rId5"/>
    <sheet state="visible" name="ypp" sheetId="3" r:id="rId6"/>
    <sheet state="visible" name="rz scoring%" sheetId="4" r:id="rId7"/>
    <sheet state="visible" name="3rd down conversion%" sheetId="5" r:id="rId8"/>
    <sheet state="visible" name="TDgm" sheetId="6" r:id="rId9"/>
    <sheet state="visible" name="TO margin" sheetId="7" r:id="rId10"/>
    <sheet state="visible" name="comp %" sheetId="8" r:id="rId11"/>
    <sheet state="visible" name="1st downgm" sheetId="9" r:id="rId12"/>
    <sheet state="visible" name="pengm" sheetId="10" r:id="rId13"/>
    <sheet state="visible" name="odds" sheetId="11" r:id="rId14"/>
    <sheet state="visible" name="Spread" sheetId="12" r:id="rId15"/>
    <sheet state="visible" name="map" sheetId="13" r:id="rId16"/>
  </sheets>
  <definedNames>
    <definedName hidden="1" localSheetId="0" name="_xlnm._FilterDatabase">Model!$A$1:$O$17</definedName>
  </definedNames>
  <calcPr/>
</workbook>
</file>

<file path=xl/sharedStrings.xml><?xml version="1.0" encoding="utf-8"?>
<sst xmlns="http://schemas.openxmlformats.org/spreadsheetml/2006/main" count="135" uniqueCount="125">
  <si>
    <t>Home Map</t>
  </si>
  <si>
    <t>Away Map</t>
  </si>
  <si>
    <t>Game ID</t>
  </si>
  <si>
    <t>Home</t>
  </si>
  <si>
    <t>Away</t>
  </si>
  <si>
    <t>EPA Home</t>
  </si>
  <si>
    <t>EPA Away</t>
  </si>
  <si>
    <t>Total EPA</t>
  </si>
  <si>
    <t>Line</t>
  </si>
  <si>
    <t>Delta</t>
  </si>
  <si>
    <t>Recommended Total Bet</t>
  </si>
  <si>
    <t>Home Margin</t>
  </si>
  <si>
    <t>Home Spread</t>
  </si>
  <si>
    <t>Spread Delta</t>
  </si>
  <si>
    <t>Recommended Spread Bet</t>
  </si>
  <si>
    <t>Map</t>
  </si>
  <si>
    <t>Team</t>
  </si>
  <si>
    <t>YPP</t>
  </si>
  <si>
    <t>RZ Scoring %</t>
  </si>
  <si>
    <t>3rd Down Conversion %</t>
  </si>
  <si>
    <t>TD/Game</t>
  </si>
  <si>
    <t>TO Margin</t>
  </si>
  <si>
    <t>Completion %</t>
  </si>
  <si>
    <t>1st Downs/Game</t>
  </si>
  <si>
    <t>Pentalities/Game</t>
  </si>
  <si>
    <t>EPA</t>
  </si>
  <si>
    <t>Rank</t>
  </si>
  <si>
    <t>Last 3</t>
  </si>
  <si>
    <t>Last 1</t>
  </si>
  <si>
    <r>
      <rPr>
        <rFont val="&quot;Helvetica Neue&quot;, Helvetica, Arial, sans-serif"/>
        <color rgb="FF2171CD"/>
        <sz val="11.0"/>
      </rPr>
      <t>Green Bay</t>
    </r>
  </si>
  <si>
    <r>
      <rPr>
        <rFont val="&quot;Helvetica Neue&quot;, Helvetica, Arial, sans-serif"/>
        <color rgb="FF2171CD"/>
        <sz val="11.0"/>
      </rPr>
      <t>Buffalo</t>
    </r>
  </si>
  <si>
    <r>
      <rPr>
        <rFont val="&quot;Helvetica Neue&quot;, Helvetica, Arial, sans-serif"/>
        <color rgb="FF2171CD"/>
        <sz val="11.0"/>
      </rPr>
      <t>LA Chargers</t>
    </r>
  </si>
  <si>
    <r>
      <rPr>
        <rFont val="&quot;Helvetica Neue&quot;, Helvetica, Arial, sans-serif"/>
        <color rgb="FF2171CD"/>
        <sz val="11.0"/>
      </rPr>
      <t>Minnesota</t>
    </r>
  </si>
  <si>
    <r>
      <rPr>
        <rFont val="&quot;Helvetica Neue&quot;, Helvetica, Arial, sans-serif"/>
        <color rgb="FF2171CD"/>
        <sz val="11.0"/>
      </rPr>
      <t>New Orleans</t>
    </r>
  </si>
  <si>
    <r>
      <rPr>
        <rFont val="&quot;Helvetica Neue&quot;, Helvetica, Arial, sans-serif"/>
        <color rgb="FF2171CD"/>
        <sz val="11.0"/>
      </rPr>
      <t>Chicago</t>
    </r>
  </si>
  <si>
    <r>
      <rPr>
        <rFont val="&quot;Helvetica Neue&quot;, Helvetica, Arial, sans-serif"/>
        <color rgb="FF2171CD"/>
        <sz val="11.0"/>
      </rPr>
      <t>San Francisco</t>
    </r>
  </si>
  <si>
    <r>
      <rPr>
        <rFont val="&quot;Helvetica Neue&quot;, Helvetica, Arial, sans-serif"/>
        <color rgb="FF2171CD"/>
        <sz val="11.0"/>
      </rPr>
      <t>Tampa Bay</t>
    </r>
  </si>
  <si>
    <r>
      <rPr>
        <rFont val="&quot;Helvetica Neue&quot;, Helvetica, Arial, sans-serif"/>
        <color rgb="FF2171CD"/>
        <sz val="11.0"/>
      </rPr>
      <t>Pittsburgh</t>
    </r>
  </si>
  <si>
    <r>
      <rPr>
        <rFont val="&quot;Helvetica Neue&quot;, Helvetica, Arial, sans-serif"/>
        <color rgb="FF2171CD"/>
        <sz val="11.0"/>
      </rPr>
      <t>Detroit</t>
    </r>
  </si>
  <si>
    <r>
      <rPr>
        <rFont val="&quot;Helvetica Neue&quot;, Helvetica, Arial, sans-serif"/>
        <color rgb="FF2171CD"/>
        <sz val="11.0"/>
      </rPr>
      <t>NY Jets</t>
    </r>
  </si>
  <si>
    <r>
      <rPr>
        <rFont val="&quot;Helvetica Neue&quot;, Helvetica, Arial, sans-serif"/>
        <color rgb="FF2171CD"/>
        <sz val="11.0"/>
      </rPr>
      <t>Baltimore</t>
    </r>
  </si>
  <si>
    <r>
      <rPr>
        <rFont val="&quot;Helvetica Neue&quot;, Helvetica, Arial, sans-serif"/>
        <color rgb="FF2171CD"/>
        <sz val="11.0"/>
      </rPr>
      <t>Dallas</t>
    </r>
  </si>
  <si>
    <r>
      <rPr>
        <rFont val="&quot;Helvetica Neue&quot;, Helvetica, Arial, sans-serif"/>
        <color rgb="FF2171CD"/>
        <sz val="11.0"/>
      </rPr>
      <t>Washington</t>
    </r>
  </si>
  <si>
    <r>
      <rPr>
        <rFont val="&quot;Helvetica Neue&quot;, Helvetica, Arial, sans-serif"/>
        <color rgb="FF2171CD"/>
        <sz val="11.0"/>
      </rPr>
      <t>Miami</t>
    </r>
  </si>
  <si>
    <r>
      <rPr>
        <rFont val="&quot;Helvetica Neue&quot;, Helvetica, Arial, sans-serif"/>
        <color rgb="FF2171CD"/>
        <sz val="11.0"/>
      </rPr>
      <t>Arizona</t>
    </r>
  </si>
  <si>
    <r>
      <rPr>
        <rFont val="&quot;Helvetica Neue&quot;, Helvetica, Arial, sans-serif"/>
        <color rgb="FF2171CD"/>
        <sz val="11.0"/>
      </rPr>
      <t>New England</t>
    </r>
  </si>
  <si>
    <r>
      <rPr>
        <rFont val="&quot;Helvetica Neue&quot;, Helvetica, Arial, sans-serif"/>
        <color rgb="FF2171CD"/>
        <sz val="11.0"/>
      </rPr>
      <t>Carolina</t>
    </r>
  </si>
  <si>
    <r>
      <rPr>
        <rFont val="&quot;Helvetica Neue&quot;, Helvetica, Arial, sans-serif"/>
        <color rgb="FF2171CD"/>
        <sz val="11.0"/>
      </rPr>
      <t>Cincinnati</t>
    </r>
  </si>
  <si>
    <r>
      <rPr>
        <rFont val="&quot;Helvetica Neue&quot;, Helvetica, Arial, sans-serif"/>
        <color rgb="FF2171CD"/>
        <sz val="11.0"/>
      </rPr>
      <t>Indianapolis</t>
    </r>
  </si>
  <si>
    <r>
      <rPr>
        <rFont val="&quot;Helvetica Neue&quot;, Helvetica, Arial, sans-serif"/>
        <color rgb="FF2171CD"/>
        <sz val="11.0"/>
      </rPr>
      <t>Houston</t>
    </r>
  </si>
  <si>
    <r>
      <rPr>
        <rFont val="&quot;Helvetica Neue&quot;, Helvetica, Arial, sans-serif"/>
        <color rgb="FF2171CD"/>
        <sz val="11.0"/>
      </rPr>
      <t>LA Rams</t>
    </r>
  </si>
  <si>
    <r>
      <rPr>
        <rFont val="&quot;Helvetica Neue&quot;, Helvetica, Arial, sans-serif"/>
        <color rgb="FF2171CD"/>
        <sz val="11.0"/>
      </rPr>
      <t>Atlanta</t>
    </r>
  </si>
  <si>
    <r>
      <rPr>
        <rFont val="&quot;Helvetica Neue&quot;, Helvetica, Arial, sans-serif"/>
        <color rgb="FF2171CD"/>
        <sz val="11.0"/>
      </rPr>
      <t>Jacksonville</t>
    </r>
  </si>
  <si>
    <r>
      <rPr>
        <rFont val="&quot;Helvetica Neue&quot;, Helvetica, Arial, sans-serif"/>
        <color rgb="FF2171CD"/>
        <sz val="11.0"/>
      </rPr>
      <t>Cleveland</t>
    </r>
  </si>
  <si>
    <r>
      <rPr>
        <rFont val="&quot;Helvetica Neue&quot;, Helvetica, Arial, sans-serif"/>
        <color rgb="FF2171CD"/>
        <sz val="11.0"/>
      </rPr>
      <t>Denver</t>
    </r>
  </si>
  <si>
    <r>
      <rPr>
        <rFont val="&quot;Helvetica Neue&quot;, Helvetica, Arial, sans-serif"/>
        <color rgb="FF2171CD"/>
        <sz val="11.0"/>
      </rPr>
      <t>NY Giants</t>
    </r>
  </si>
  <si>
    <r>
      <rPr>
        <rFont val="&quot;Helvetica Neue&quot;, Helvetica, Arial, sans-serif"/>
        <color rgb="FF2171CD"/>
        <sz val="11.0"/>
      </rPr>
      <t>Seattle</t>
    </r>
  </si>
  <si>
    <r>
      <rPr>
        <rFont val="&quot;Helvetica Neue&quot;, Helvetica, Arial, sans-serif"/>
        <color rgb="FF2171CD"/>
        <sz val="11.0"/>
      </rPr>
      <t>Kansas City</t>
    </r>
  </si>
  <si>
    <r>
      <rPr>
        <rFont val="&quot;Helvetica Neue&quot;, Helvetica, Arial, sans-serif"/>
        <color rgb="FF2171CD"/>
        <sz val="11.0"/>
      </rPr>
      <t>Las Vegas</t>
    </r>
  </si>
  <si>
    <r>
      <rPr>
        <rFont val="&quot;Helvetica Neue&quot;, Helvetica, Arial, sans-serif"/>
        <color rgb="FF2171CD"/>
        <sz val="11.0"/>
      </rPr>
      <t>Philadelphia</t>
    </r>
  </si>
  <si>
    <r>
      <rPr>
        <rFont val="&quot;Helvetica Neue&quot;, Helvetica, Arial, sans-serif"/>
        <color rgb="FF2171CD"/>
        <sz val="11.0"/>
      </rPr>
      <t>Tennessee</t>
    </r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</si>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</sst>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u/>
      <sz val="11.0"/>
      <color rgb="FF2171CD"/>
      <name val="&quot;Helvetica Neue&quot;"/>
    </font>
    <font>
      <u/>
      <sz val="11.0"/>
      <color rgb="FF0000FF"/>
      <name val="&quot;Helvetica Neue&quot;"/>
    </font>
    <font>
      <u/>
      <color rgb="FF0000FF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readingOrder="0" vertical="top"/>
    </xf>
    <xf borderId="0" fillId="0" fontId="1" numFmtId="10" xfId="0" applyFont="1" applyNumberFormat="1"/>
    <xf borderId="0" fillId="2" fontId="5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2" fontId="5" numFmtId="0" xfId="0" applyAlignment="1" applyFont="1">
      <alignment horizontal="right" readingOrder="0" shrinkToFit="0" wrapText="0"/>
    </xf>
    <xf borderId="2" fillId="3" fontId="6" numFmtId="0" xfId="0" applyAlignment="1" applyBorder="1" applyFill="1" applyFont="1">
      <alignment horizontal="center" readingOrder="0"/>
    </xf>
    <xf borderId="2" fillId="0" fontId="7" numFmtId="0" xfId="0" applyAlignment="1" applyBorder="1" applyFont="1">
      <alignment horizontal="left" readingOrder="0" shrinkToFit="0" wrapText="0"/>
    </xf>
    <xf borderId="2" fillId="3" fontId="6" numFmtId="0" xfId="0" applyAlignment="1" applyBorder="1" applyFont="1">
      <alignment horizontal="right" readingOrder="0"/>
    </xf>
    <xf borderId="2" fillId="3" fontId="6" numFmtId="10" xfId="0" applyAlignment="1" applyBorder="1" applyFont="1" applyNumberFormat="1">
      <alignment horizontal="right" readingOrder="0"/>
    </xf>
    <xf borderId="2" fillId="0" fontId="8" numFmtId="0" xfId="0" applyAlignment="1" applyBorder="1" applyFont="1">
      <alignment horizontal="left" readingOrder="0" shrinkToFit="0" wrapText="0"/>
    </xf>
    <xf borderId="2" fillId="3" fontId="6" numFmtId="0" xfId="0" applyAlignment="1" applyBorder="1" applyFont="1">
      <alignment horizontal="right"/>
    </xf>
    <xf borderId="0" fillId="0" fontId="2" numFmtId="0" xfId="0" applyAlignment="1" applyFont="1">
      <alignment vertical="bottom"/>
    </xf>
    <xf borderId="0" fillId="0" fontId="1" numFmtId="14" xfId="0" applyFont="1" applyNumberFormat="1"/>
    <xf borderId="0" fillId="0" fontId="9" numFmtId="0" xfId="0" applyFont="1"/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indianapolis-colts" TargetMode="External"/><Relationship Id="rId22" Type="http://schemas.openxmlformats.org/officeDocument/2006/relationships/hyperlink" Target="https://www.teamrankings.com/nfl/team/los-angeles-rams" TargetMode="External"/><Relationship Id="rId21" Type="http://schemas.openxmlformats.org/officeDocument/2006/relationships/hyperlink" Target="https://www.teamrankings.com/nfl/team/houston-texans" TargetMode="External"/><Relationship Id="rId24" Type="http://schemas.openxmlformats.org/officeDocument/2006/relationships/hyperlink" Target="https://www.teamrankings.com/nfl/team/jacksonville-jaguars" TargetMode="External"/><Relationship Id="rId23" Type="http://schemas.openxmlformats.org/officeDocument/2006/relationships/hyperlink" Target="https://www.teamrankings.com/nfl/team/atlanta-falcons" TargetMode="External"/><Relationship Id="rId1" Type="http://schemas.openxmlformats.org/officeDocument/2006/relationships/hyperlink" Target="https://www.teamrankings.com/nfl/team/green-bay-packers" TargetMode="External"/><Relationship Id="rId2" Type="http://schemas.openxmlformats.org/officeDocument/2006/relationships/hyperlink" Target="https://www.teamrankings.com/nfl/team/buffalo-bills" TargetMode="External"/><Relationship Id="rId3" Type="http://schemas.openxmlformats.org/officeDocument/2006/relationships/hyperlink" Target="https://www.teamrankings.com/nfl/team/los-angeles-chargers" TargetMode="External"/><Relationship Id="rId4" Type="http://schemas.openxmlformats.org/officeDocument/2006/relationships/hyperlink" Target="https://www.teamrankings.com/nfl/team/minnesota-vikings" TargetMode="External"/><Relationship Id="rId9" Type="http://schemas.openxmlformats.org/officeDocument/2006/relationships/hyperlink" Target="https://www.teamrankings.com/nfl/team/pittsburgh-steelers" TargetMode="External"/><Relationship Id="rId26" Type="http://schemas.openxmlformats.org/officeDocument/2006/relationships/hyperlink" Target="https://www.teamrankings.com/nfl/team/denver-broncos" TargetMode="External"/><Relationship Id="rId25" Type="http://schemas.openxmlformats.org/officeDocument/2006/relationships/hyperlink" Target="https://www.teamrankings.com/nfl/team/cleveland-browns" TargetMode="External"/><Relationship Id="rId28" Type="http://schemas.openxmlformats.org/officeDocument/2006/relationships/hyperlink" Target="https://www.teamrankings.com/nfl/team/seattle-seahawks" TargetMode="External"/><Relationship Id="rId27" Type="http://schemas.openxmlformats.org/officeDocument/2006/relationships/hyperlink" Target="https://www.teamrankings.com/nfl/team/new-york-giants" TargetMode="External"/><Relationship Id="rId5" Type="http://schemas.openxmlformats.org/officeDocument/2006/relationships/hyperlink" Target="https://www.teamrankings.com/nfl/team/new-orleans-saints" TargetMode="External"/><Relationship Id="rId6" Type="http://schemas.openxmlformats.org/officeDocument/2006/relationships/hyperlink" Target="https://www.teamrankings.com/nfl/team/chicago-bears" TargetMode="External"/><Relationship Id="rId29" Type="http://schemas.openxmlformats.org/officeDocument/2006/relationships/hyperlink" Target="https://www.teamrankings.com/nfl/team/kansas-city-chiefs" TargetMode="External"/><Relationship Id="rId7" Type="http://schemas.openxmlformats.org/officeDocument/2006/relationships/hyperlink" Target="https://www.teamrankings.com/nfl/team/san-francisco-49ers" TargetMode="External"/><Relationship Id="rId8" Type="http://schemas.openxmlformats.org/officeDocument/2006/relationships/hyperlink" Target="https://www.teamrankings.com/nfl/team/tampa-bay-buccaneers" TargetMode="External"/><Relationship Id="rId31" Type="http://schemas.openxmlformats.org/officeDocument/2006/relationships/hyperlink" Target="https://www.teamrankings.com/nfl/team/philadelphia-eagles" TargetMode="External"/><Relationship Id="rId30" Type="http://schemas.openxmlformats.org/officeDocument/2006/relationships/hyperlink" Target="https://www.teamrankings.com/nfl/team/las-vegas-raiders" TargetMode="External"/><Relationship Id="rId11" Type="http://schemas.openxmlformats.org/officeDocument/2006/relationships/hyperlink" Target="https://www.teamrankings.com/nfl/team/new-york-jets" TargetMode="External"/><Relationship Id="rId33" Type="http://schemas.openxmlformats.org/officeDocument/2006/relationships/drawing" Target="../drawings/drawing7.xml"/><Relationship Id="rId10" Type="http://schemas.openxmlformats.org/officeDocument/2006/relationships/hyperlink" Target="https://www.teamrankings.com/nfl/team/detroit-lions" TargetMode="External"/><Relationship Id="rId32" Type="http://schemas.openxmlformats.org/officeDocument/2006/relationships/hyperlink" Target="https://www.teamrankings.com/nfl/team/tennessee-titans" TargetMode="External"/><Relationship Id="rId13" Type="http://schemas.openxmlformats.org/officeDocument/2006/relationships/hyperlink" Target="https://www.teamrankings.com/nfl/team/dallas-cowboys" TargetMode="External"/><Relationship Id="rId12" Type="http://schemas.openxmlformats.org/officeDocument/2006/relationships/hyperlink" Target="https://www.teamrankings.com/nfl/team/baltimore-ravens" TargetMode="External"/><Relationship Id="rId15" Type="http://schemas.openxmlformats.org/officeDocument/2006/relationships/hyperlink" Target="https://www.teamrankings.com/nfl/team/miami-dolphins" TargetMode="External"/><Relationship Id="rId14" Type="http://schemas.openxmlformats.org/officeDocument/2006/relationships/hyperlink" Target="https://www.teamrankings.com/nfl/team/washington-commanders" TargetMode="External"/><Relationship Id="rId17" Type="http://schemas.openxmlformats.org/officeDocument/2006/relationships/hyperlink" Target="https://www.teamrankings.com/nfl/team/new-england-patriots" TargetMode="External"/><Relationship Id="rId16" Type="http://schemas.openxmlformats.org/officeDocument/2006/relationships/hyperlink" Target="https://www.teamrankings.com/nfl/team/arizona-cardinals" TargetMode="External"/><Relationship Id="rId19" Type="http://schemas.openxmlformats.org/officeDocument/2006/relationships/hyperlink" Target="https://www.teamrankings.com/nfl/team/cincinnati-bengals" TargetMode="External"/><Relationship Id="rId18" Type="http://schemas.openxmlformats.org/officeDocument/2006/relationships/hyperlink" Target="https://www.teamrankings.com/nfl/team/carolina-panther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21.86"/>
    <col customWidth="1" min="15" max="15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>
      <c r="A2" s="4">
        <f>VLOOKUP($D2,map!$D:$E,2,false)</f>
        <v>29</v>
      </c>
      <c r="B2" s="4">
        <f>VLOOKUP($E2,map!$D:$E,2,false)</f>
        <v>26</v>
      </c>
      <c r="C2" s="4" t="str">
        <f>IFERROR(__xludf.DUMMYFUNCTION("UNIQUE(odds!A2:A1000)"),"86278ec4bbdcadd945d79df6c695c2ec")</f>
        <v>86278ec4bbdcadd945d79df6c695c2ec</v>
      </c>
      <c r="D2" s="4" t="str">
        <f>VLOOKUP($C2,odds!$A:$G,6,false)</f>
        <v>Pittsburgh Steelers</v>
      </c>
      <c r="E2" s="4" t="str">
        <f>VLOOKUP($C2,odds!$A:$G,7,false)</f>
        <v>New York Giants</v>
      </c>
      <c r="F2" s="5">
        <f>VLOOKUP($A2,Data_Input!$A:$L,11,false)</f>
        <v>23.641397</v>
      </c>
      <c r="G2" s="5">
        <f>VLOOKUP($B2,Data_Input!$A:$L,11,false)</f>
        <v>20.859527</v>
      </c>
      <c r="H2" s="5">
        <f t="shared" ref="H2:H17" si="1">sum(F2:G2)</f>
        <v>44.500924</v>
      </c>
      <c r="I2" s="4">
        <f>VLOOKUP(C2,odds!A:L,12,false)</f>
        <v>37.5</v>
      </c>
      <c r="J2" s="5">
        <f t="shared" ref="J2:J17" si="2">H2-I2</f>
        <v>7.000924</v>
      </c>
      <c r="K2" s="4" t="str">
        <f t="shared" ref="K2:K17" si="3">IF(J2&gt;=4.2,"Over",if(J2&lt;=-4.2,"Under",""))</f>
        <v>Over</v>
      </c>
      <c r="L2" s="6">
        <f t="shared" ref="L2:L17" si="4">SUM(F2-G2)*-1</f>
        <v>-2.78187</v>
      </c>
      <c r="M2" s="7">
        <f>VLOOKUP(D2,Spread!I:L,4,false)</f>
        <v>-6</v>
      </c>
      <c r="N2" s="8">
        <f t="shared" ref="N2:N17" si="5">sum(M2-L2)</f>
        <v>-3.21813</v>
      </c>
      <c r="O2" s="3" t="str">
        <f t="shared" ref="O2:O17" si="6">if(N2&gt;=4.2,D2,if(N2&lt;=-4.2,E2,""))</f>
        <v/>
      </c>
    </row>
    <row r="3">
      <c r="A3" s="4" t="str">
        <f>VLOOKUP($D3,map!$D:$E,2,false)</f>
        <v>#N/A</v>
      </c>
      <c r="B3" s="4" t="str">
        <f>VLOOKUP($E3,map!$D:$E,2,false)</f>
        <v>#N/A</v>
      </c>
      <c r="C3" s="4"/>
      <c r="D3" s="4" t="str">
        <f>VLOOKUP($C3,odds!$A:$G,6,false)</f>
        <v>#N/A</v>
      </c>
      <c r="E3" s="4" t="str">
        <f>VLOOKUP($C3,odds!$A:$G,7,false)</f>
        <v>#N/A</v>
      </c>
      <c r="F3" s="4" t="str">
        <f>VLOOKUP($A3,Data_Input!$A:$L,11,false)</f>
        <v>#N/A</v>
      </c>
      <c r="G3" s="4" t="str">
        <f>VLOOKUP($B3,Data_Input!$A:$L,11,false)</f>
        <v>#N/A</v>
      </c>
      <c r="H3" s="4" t="str">
        <f t="shared" si="1"/>
        <v>#N/A</v>
      </c>
      <c r="I3" s="4" t="str">
        <f>VLOOKUP(C3,odds!A:L,12,false)</f>
        <v>#N/A</v>
      </c>
      <c r="J3" s="4" t="str">
        <f t="shared" si="2"/>
        <v>#N/A</v>
      </c>
      <c r="K3" s="4" t="str">
        <f t="shared" si="3"/>
        <v>#N/A</v>
      </c>
      <c r="L3" s="6" t="str">
        <f t="shared" si="4"/>
        <v>#N/A</v>
      </c>
      <c r="M3" s="7" t="str">
        <f>VLOOKUP(D3,Spread!I:L,4,false)</f>
        <v>#N/A</v>
      </c>
      <c r="N3" s="8" t="str">
        <f t="shared" si="5"/>
        <v>#N/A</v>
      </c>
      <c r="O3" s="3" t="str">
        <f t="shared" si="6"/>
        <v>#N/A</v>
      </c>
    </row>
    <row r="4">
      <c r="A4" s="4" t="str">
        <f>VLOOKUP($D4,map!$D:$E,2,false)</f>
        <v>#N/A</v>
      </c>
      <c r="B4" s="4" t="str">
        <f>VLOOKUP($E4,map!$D:$E,2,false)</f>
        <v>#N/A</v>
      </c>
      <c r="D4" s="4" t="str">
        <f>VLOOKUP($C4,odds!$A:$G,6,false)</f>
        <v>#N/A</v>
      </c>
      <c r="E4" s="4" t="str">
        <f>VLOOKUP($C4,odds!$A:$G,7,false)</f>
        <v>#N/A</v>
      </c>
      <c r="F4" s="4" t="str">
        <f>VLOOKUP($A4,Data_Input!$A:$L,11,false)</f>
        <v>#N/A</v>
      </c>
      <c r="G4" s="4" t="str">
        <f>VLOOKUP($B4,Data_Input!$A:$L,11,false)</f>
        <v>#N/A</v>
      </c>
      <c r="H4" s="4" t="str">
        <f t="shared" si="1"/>
        <v>#N/A</v>
      </c>
      <c r="I4" s="4" t="str">
        <f>VLOOKUP(C4,odds!A:L,12,false)</f>
        <v>#N/A</v>
      </c>
      <c r="J4" s="4" t="str">
        <f t="shared" si="2"/>
        <v>#N/A</v>
      </c>
      <c r="K4" s="4" t="str">
        <f t="shared" si="3"/>
        <v>#N/A</v>
      </c>
      <c r="L4" s="6" t="str">
        <f t="shared" si="4"/>
        <v>#N/A</v>
      </c>
      <c r="M4" s="7" t="str">
        <f>VLOOKUP(D4,Spread!I:L,4,false)</f>
        <v>#N/A</v>
      </c>
      <c r="N4" s="8" t="str">
        <f t="shared" si="5"/>
        <v>#N/A</v>
      </c>
      <c r="O4" s="3" t="str">
        <f t="shared" si="6"/>
        <v>#N/A</v>
      </c>
    </row>
    <row r="5">
      <c r="A5" s="4" t="str">
        <f>VLOOKUP($D5,map!$D:$E,2,false)</f>
        <v>#N/A</v>
      </c>
      <c r="B5" s="4" t="str">
        <f>VLOOKUP($E5,map!$D:$E,2,false)</f>
        <v>#N/A</v>
      </c>
      <c r="D5" s="4" t="str">
        <f>VLOOKUP($C5,odds!$A:$G,6,false)</f>
        <v>#N/A</v>
      </c>
      <c r="E5" s="4" t="str">
        <f>VLOOKUP($C5,odds!$A:$G,7,false)</f>
        <v>#N/A</v>
      </c>
      <c r="F5" s="4" t="str">
        <f>VLOOKUP($A5,Data_Input!$A:$L,11,false)</f>
        <v>#N/A</v>
      </c>
      <c r="G5" s="4" t="str">
        <f>VLOOKUP($B5,Data_Input!$A:$L,11,false)</f>
        <v>#N/A</v>
      </c>
      <c r="H5" s="4" t="str">
        <f t="shared" si="1"/>
        <v>#N/A</v>
      </c>
      <c r="I5" s="4" t="str">
        <f>VLOOKUP(C5,odds!A:L,12,false)</f>
        <v>#N/A</v>
      </c>
      <c r="J5" s="4" t="str">
        <f t="shared" si="2"/>
        <v>#N/A</v>
      </c>
      <c r="K5" s="4" t="str">
        <f t="shared" si="3"/>
        <v>#N/A</v>
      </c>
      <c r="L5" s="6" t="str">
        <f t="shared" si="4"/>
        <v>#N/A</v>
      </c>
      <c r="M5" s="7" t="str">
        <f>VLOOKUP(D5,Spread!I:L,4,false)</f>
        <v>#N/A</v>
      </c>
      <c r="N5" s="8" t="str">
        <f t="shared" si="5"/>
        <v>#N/A</v>
      </c>
      <c r="O5" s="3" t="str">
        <f t="shared" si="6"/>
        <v>#N/A</v>
      </c>
    </row>
    <row r="6">
      <c r="A6" s="4" t="str">
        <f>VLOOKUP($D6,map!$D:$E,2,false)</f>
        <v>#N/A</v>
      </c>
      <c r="B6" s="4" t="str">
        <f>VLOOKUP($E6,map!$D:$E,2,false)</f>
        <v>#N/A</v>
      </c>
      <c r="D6" s="4" t="str">
        <f>VLOOKUP($C6,odds!$A:$G,6,false)</f>
        <v>#N/A</v>
      </c>
      <c r="E6" s="4" t="str">
        <f>VLOOKUP($C6,odds!$A:$G,7,false)</f>
        <v>#N/A</v>
      </c>
      <c r="F6" s="4" t="str">
        <f>VLOOKUP($A6,Data_Input!$A:$L,11,false)</f>
        <v>#N/A</v>
      </c>
      <c r="G6" s="4" t="str">
        <f>VLOOKUP($B6,Data_Input!$A:$L,11,false)</f>
        <v>#N/A</v>
      </c>
      <c r="H6" s="4" t="str">
        <f t="shared" si="1"/>
        <v>#N/A</v>
      </c>
      <c r="I6" s="4" t="str">
        <f>VLOOKUP(C6,odds!A:L,12,false)</f>
        <v>#N/A</v>
      </c>
      <c r="J6" s="4" t="str">
        <f t="shared" si="2"/>
        <v>#N/A</v>
      </c>
      <c r="K6" s="4" t="str">
        <f t="shared" si="3"/>
        <v>#N/A</v>
      </c>
      <c r="L6" s="6" t="str">
        <f t="shared" si="4"/>
        <v>#N/A</v>
      </c>
      <c r="M6" s="7" t="str">
        <f>VLOOKUP(D6,Spread!I:L,4,false)</f>
        <v>#N/A</v>
      </c>
      <c r="N6" s="8" t="str">
        <f t="shared" si="5"/>
        <v>#N/A</v>
      </c>
      <c r="O6" s="3" t="str">
        <f t="shared" si="6"/>
        <v>#N/A</v>
      </c>
    </row>
    <row r="7">
      <c r="A7" s="4" t="str">
        <f>VLOOKUP($D7,map!$D:$E,2,false)</f>
        <v>#N/A</v>
      </c>
      <c r="B7" s="4" t="str">
        <f>VLOOKUP($E7,map!$D:$E,2,false)</f>
        <v>#N/A</v>
      </c>
      <c r="D7" s="4" t="str">
        <f>VLOOKUP($C7,odds!$A:$G,6,false)</f>
        <v>#N/A</v>
      </c>
      <c r="E7" s="4" t="str">
        <f>VLOOKUP($C7,odds!$A:$G,7,false)</f>
        <v>#N/A</v>
      </c>
      <c r="F7" s="4" t="str">
        <f>VLOOKUP($A7,Data_Input!$A:$L,11,false)</f>
        <v>#N/A</v>
      </c>
      <c r="G7" s="4" t="str">
        <f>VLOOKUP($B7,Data_Input!$A:$L,11,false)</f>
        <v>#N/A</v>
      </c>
      <c r="H7" s="4" t="str">
        <f t="shared" si="1"/>
        <v>#N/A</v>
      </c>
      <c r="I7" s="4" t="str">
        <f>VLOOKUP(C7,odds!A:L,12,false)</f>
        <v>#N/A</v>
      </c>
      <c r="J7" s="4" t="str">
        <f t="shared" si="2"/>
        <v>#N/A</v>
      </c>
      <c r="K7" s="4" t="str">
        <f t="shared" si="3"/>
        <v>#N/A</v>
      </c>
      <c r="L7" s="6" t="str">
        <f t="shared" si="4"/>
        <v>#N/A</v>
      </c>
      <c r="M7" s="7" t="str">
        <f>VLOOKUP(D7,Spread!I:L,4,false)</f>
        <v>#N/A</v>
      </c>
      <c r="N7" s="8" t="str">
        <f t="shared" si="5"/>
        <v>#N/A</v>
      </c>
      <c r="O7" s="3" t="str">
        <f t="shared" si="6"/>
        <v>#N/A</v>
      </c>
    </row>
    <row r="8">
      <c r="A8" s="4" t="str">
        <f>VLOOKUP($D8,map!$D:$E,2,false)</f>
        <v>#N/A</v>
      </c>
      <c r="B8" s="4" t="str">
        <f>VLOOKUP($E8,map!$D:$E,2,false)</f>
        <v>#N/A</v>
      </c>
      <c r="D8" s="4" t="str">
        <f>VLOOKUP($C8,odds!$A:$G,6,false)</f>
        <v>#N/A</v>
      </c>
      <c r="E8" s="4" t="str">
        <f>VLOOKUP($C8,odds!$A:$G,7,false)</f>
        <v>#N/A</v>
      </c>
      <c r="F8" s="4" t="str">
        <f>VLOOKUP($A8,Data_Input!$A:$L,11,false)</f>
        <v>#N/A</v>
      </c>
      <c r="G8" s="4" t="str">
        <f>VLOOKUP($B8,Data_Input!$A:$L,11,false)</f>
        <v>#N/A</v>
      </c>
      <c r="H8" s="4" t="str">
        <f t="shared" si="1"/>
        <v>#N/A</v>
      </c>
      <c r="I8" s="4" t="str">
        <f>VLOOKUP(C8,odds!A:L,12,false)</f>
        <v>#N/A</v>
      </c>
      <c r="J8" s="4" t="str">
        <f t="shared" si="2"/>
        <v>#N/A</v>
      </c>
      <c r="K8" s="4" t="str">
        <f t="shared" si="3"/>
        <v>#N/A</v>
      </c>
      <c r="L8" s="6" t="str">
        <f t="shared" si="4"/>
        <v>#N/A</v>
      </c>
      <c r="M8" s="7" t="str">
        <f>VLOOKUP(D8,Spread!I:L,4,false)</f>
        <v>#N/A</v>
      </c>
      <c r="N8" s="8" t="str">
        <f t="shared" si="5"/>
        <v>#N/A</v>
      </c>
      <c r="O8" s="3" t="str">
        <f t="shared" si="6"/>
        <v>#N/A</v>
      </c>
    </row>
    <row r="9">
      <c r="A9" s="4" t="str">
        <f>VLOOKUP($D9,map!$D:$E,2,false)</f>
        <v>#N/A</v>
      </c>
      <c r="B9" s="4" t="str">
        <f>VLOOKUP($E9,map!$D:$E,2,false)</f>
        <v>#N/A</v>
      </c>
      <c r="D9" s="4" t="str">
        <f>VLOOKUP($C9,odds!$A:$G,6,false)</f>
        <v>#N/A</v>
      </c>
      <c r="E9" s="4" t="str">
        <f>VLOOKUP($C9,odds!$A:$G,7,false)</f>
        <v>#N/A</v>
      </c>
      <c r="F9" s="4" t="str">
        <f>VLOOKUP($A9,Data_Input!$A:$L,11,false)</f>
        <v>#N/A</v>
      </c>
      <c r="G9" s="4" t="str">
        <f>VLOOKUP($B9,Data_Input!$A:$L,11,false)</f>
        <v>#N/A</v>
      </c>
      <c r="H9" s="4" t="str">
        <f t="shared" si="1"/>
        <v>#N/A</v>
      </c>
      <c r="I9" s="4" t="str">
        <f>VLOOKUP(C9,odds!A:L,12,false)</f>
        <v>#N/A</v>
      </c>
      <c r="J9" s="4" t="str">
        <f t="shared" si="2"/>
        <v>#N/A</v>
      </c>
      <c r="K9" s="4" t="str">
        <f t="shared" si="3"/>
        <v>#N/A</v>
      </c>
      <c r="L9" s="6" t="str">
        <f t="shared" si="4"/>
        <v>#N/A</v>
      </c>
      <c r="M9" s="7" t="str">
        <f>VLOOKUP(D9,Spread!I:L,4,false)</f>
        <v>#N/A</v>
      </c>
      <c r="N9" s="8" t="str">
        <f t="shared" si="5"/>
        <v>#N/A</v>
      </c>
      <c r="O9" s="3" t="str">
        <f t="shared" si="6"/>
        <v>#N/A</v>
      </c>
    </row>
    <row r="10">
      <c r="A10" s="4" t="str">
        <f>VLOOKUP($D10,map!$D:$E,2,false)</f>
        <v>#N/A</v>
      </c>
      <c r="B10" s="4" t="str">
        <f>VLOOKUP($E10,map!$D:$E,2,false)</f>
        <v>#N/A</v>
      </c>
      <c r="D10" s="4" t="str">
        <f>VLOOKUP($C10,odds!$A:$G,6,false)</f>
        <v>#N/A</v>
      </c>
      <c r="E10" s="4" t="str">
        <f>VLOOKUP($C10,odds!$A:$G,7,false)</f>
        <v>#N/A</v>
      </c>
      <c r="F10" s="4" t="str">
        <f>VLOOKUP($A10,Data_Input!$A:$L,11,false)</f>
        <v>#N/A</v>
      </c>
      <c r="G10" s="4" t="str">
        <f>VLOOKUP($B10,Data_Input!$A:$L,11,false)</f>
        <v>#N/A</v>
      </c>
      <c r="H10" s="4" t="str">
        <f t="shared" si="1"/>
        <v>#N/A</v>
      </c>
      <c r="I10" s="4" t="str">
        <f>VLOOKUP(C10,odds!A:L,12,false)</f>
        <v>#N/A</v>
      </c>
      <c r="J10" s="4" t="str">
        <f t="shared" si="2"/>
        <v>#N/A</v>
      </c>
      <c r="K10" s="4" t="str">
        <f t="shared" si="3"/>
        <v>#N/A</v>
      </c>
      <c r="L10" s="6" t="str">
        <f t="shared" si="4"/>
        <v>#N/A</v>
      </c>
      <c r="M10" s="7" t="str">
        <f>VLOOKUP(D10,Spread!I:L,4,false)</f>
        <v>#N/A</v>
      </c>
      <c r="N10" s="8" t="str">
        <f t="shared" si="5"/>
        <v>#N/A</v>
      </c>
      <c r="O10" s="3" t="str">
        <f t="shared" si="6"/>
        <v>#N/A</v>
      </c>
    </row>
    <row r="11">
      <c r="A11" s="4" t="str">
        <f>VLOOKUP($D11,map!$D:$E,2,false)</f>
        <v>#N/A</v>
      </c>
      <c r="B11" s="4" t="str">
        <f>VLOOKUP($E11,map!$D:$E,2,false)</f>
        <v>#N/A</v>
      </c>
      <c r="D11" s="4" t="str">
        <f>VLOOKUP($C11,odds!$A:$G,6,false)</f>
        <v>#N/A</v>
      </c>
      <c r="E11" s="4" t="str">
        <f>VLOOKUP($C11,odds!$A:$G,7,false)</f>
        <v>#N/A</v>
      </c>
      <c r="F11" s="4" t="str">
        <f>VLOOKUP($A11,Data_Input!$A:$L,11,false)</f>
        <v>#N/A</v>
      </c>
      <c r="G11" s="4" t="str">
        <f>VLOOKUP($B11,Data_Input!$A:$L,11,false)</f>
        <v>#N/A</v>
      </c>
      <c r="H11" s="4" t="str">
        <f t="shared" si="1"/>
        <v>#N/A</v>
      </c>
      <c r="I11" s="4" t="str">
        <f>VLOOKUP(C11,odds!A:L,12,false)</f>
        <v>#N/A</v>
      </c>
      <c r="J11" s="4" t="str">
        <f t="shared" si="2"/>
        <v>#N/A</v>
      </c>
      <c r="K11" s="4" t="str">
        <f t="shared" si="3"/>
        <v>#N/A</v>
      </c>
      <c r="L11" s="6" t="str">
        <f t="shared" si="4"/>
        <v>#N/A</v>
      </c>
      <c r="M11" s="7" t="str">
        <f>VLOOKUP(D11,Spread!I:L,4,false)</f>
        <v>#N/A</v>
      </c>
      <c r="N11" s="8" t="str">
        <f t="shared" si="5"/>
        <v>#N/A</v>
      </c>
      <c r="O11" s="3" t="str">
        <f t="shared" si="6"/>
        <v>#N/A</v>
      </c>
    </row>
    <row r="12">
      <c r="A12" s="4" t="str">
        <f>VLOOKUP($D12,map!$D:$E,2,false)</f>
        <v>#N/A</v>
      </c>
      <c r="B12" s="4" t="str">
        <f>VLOOKUP($E12,map!$D:$E,2,false)</f>
        <v>#N/A</v>
      </c>
      <c r="D12" s="4" t="str">
        <f>VLOOKUP($C12,odds!$A:$G,6,false)</f>
        <v>#N/A</v>
      </c>
      <c r="E12" s="4" t="str">
        <f>VLOOKUP($C12,odds!$A:$G,7,false)</f>
        <v>#N/A</v>
      </c>
      <c r="F12" s="4" t="str">
        <f>VLOOKUP($A12,Data_Input!$A:$L,11,false)</f>
        <v>#N/A</v>
      </c>
      <c r="G12" s="4" t="str">
        <f>VLOOKUP($B12,Data_Input!$A:$L,11,false)</f>
        <v>#N/A</v>
      </c>
      <c r="H12" s="4" t="str">
        <f t="shared" si="1"/>
        <v>#N/A</v>
      </c>
      <c r="I12" s="4" t="str">
        <f>VLOOKUP(C12,odds!A:L,12,false)</f>
        <v>#N/A</v>
      </c>
      <c r="J12" s="4" t="str">
        <f t="shared" si="2"/>
        <v>#N/A</v>
      </c>
      <c r="K12" s="4" t="str">
        <f t="shared" si="3"/>
        <v>#N/A</v>
      </c>
      <c r="L12" s="6" t="str">
        <f t="shared" si="4"/>
        <v>#N/A</v>
      </c>
      <c r="M12" s="7" t="str">
        <f>VLOOKUP(D12,Spread!I:L,4,false)</f>
        <v>#N/A</v>
      </c>
      <c r="N12" s="8" t="str">
        <f t="shared" si="5"/>
        <v>#N/A</v>
      </c>
      <c r="O12" s="3" t="str">
        <f t="shared" si="6"/>
        <v>#N/A</v>
      </c>
    </row>
    <row r="13">
      <c r="A13" s="4" t="str">
        <f>VLOOKUP($D13,map!$D:$E,2,false)</f>
        <v>#N/A</v>
      </c>
      <c r="B13" s="4" t="str">
        <f>VLOOKUP($E13,map!$D:$E,2,false)</f>
        <v>#N/A</v>
      </c>
      <c r="D13" s="4" t="str">
        <f>VLOOKUP($C13,odds!$A:$G,6,false)</f>
        <v>#N/A</v>
      </c>
      <c r="E13" s="4" t="str">
        <f>VLOOKUP($C13,odds!$A:$G,7,false)</f>
        <v>#N/A</v>
      </c>
      <c r="F13" s="4" t="str">
        <f>VLOOKUP($A13,Data_Input!$A:$L,11,false)</f>
        <v>#N/A</v>
      </c>
      <c r="G13" s="4" t="str">
        <f>VLOOKUP($B13,Data_Input!$A:$L,11,false)</f>
        <v>#N/A</v>
      </c>
      <c r="H13" s="4" t="str">
        <f t="shared" si="1"/>
        <v>#N/A</v>
      </c>
      <c r="I13" s="4" t="str">
        <f>VLOOKUP(C13,odds!A:L,12,false)</f>
        <v>#N/A</v>
      </c>
      <c r="J13" s="4" t="str">
        <f t="shared" si="2"/>
        <v>#N/A</v>
      </c>
      <c r="K13" s="4" t="str">
        <f t="shared" si="3"/>
        <v>#N/A</v>
      </c>
      <c r="L13" s="6" t="str">
        <f t="shared" si="4"/>
        <v>#N/A</v>
      </c>
      <c r="M13" s="7" t="str">
        <f>VLOOKUP(D13,Spread!I:L,4,false)</f>
        <v>#N/A</v>
      </c>
      <c r="N13" s="8" t="str">
        <f t="shared" si="5"/>
        <v>#N/A</v>
      </c>
      <c r="O13" s="3" t="str">
        <f t="shared" si="6"/>
        <v>#N/A</v>
      </c>
    </row>
    <row r="14">
      <c r="A14" s="4" t="str">
        <f>VLOOKUP($D14,map!$D:$E,2,false)</f>
        <v>#N/A</v>
      </c>
      <c r="B14" s="4" t="str">
        <f>VLOOKUP($E14,map!$D:$E,2,false)</f>
        <v>#N/A</v>
      </c>
      <c r="D14" s="4" t="str">
        <f>VLOOKUP($C14,odds!$A:$G,6,false)</f>
        <v>#N/A</v>
      </c>
      <c r="E14" s="4" t="str">
        <f>VLOOKUP($C14,odds!$A:$G,7,false)</f>
        <v>#N/A</v>
      </c>
      <c r="F14" s="4" t="str">
        <f>VLOOKUP($A14,Data_Input!$A:$L,11,false)</f>
        <v>#N/A</v>
      </c>
      <c r="G14" s="4" t="str">
        <f>VLOOKUP($B14,Data_Input!$A:$L,11,false)</f>
        <v>#N/A</v>
      </c>
      <c r="H14" s="4" t="str">
        <f t="shared" si="1"/>
        <v>#N/A</v>
      </c>
      <c r="I14" s="4" t="str">
        <f>VLOOKUP(C14,odds!A:L,12,false)</f>
        <v>#N/A</v>
      </c>
      <c r="J14" s="4" t="str">
        <f t="shared" si="2"/>
        <v>#N/A</v>
      </c>
      <c r="K14" s="4" t="str">
        <f t="shared" si="3"/>
        <v>#N/A</v>
      </c>
      <c r="L14" s="6" t="str">
        <f t="shared" si="4"/>
        <v>#N/A</v>
      </c>
      <c r="M14" s="7" t="str">
        <f>VLOOKUP(D14,Spread!I:L,4,false)</f>
        <v>#N/A</v>
      </c>
      <c r="N14" s="8" t="str">
        <f t="shared" si="5"/>
        <v>#N/A</v>
      </c>
      <c r="O14" s="3" t="str">
        <f t="shared" si="6"/>
        <v>#N/A</v>
      </c>
    </row>
    <row r="15">
      <c r="A15" s="4" t="str">
        <f>VLOOKUP($D15,map!$D:$E,2,false)</f>
        <v>#N/A</v>
      </c>
      <c r="B15" s="4" t="str">
        <f>VLOOKUP($E15,map!$D:$E,2,false)</f>
        <v>#N/A</v>
      </c>
      <c r="D15" s="4" t="str">
        <f>VLOOKUP($C15,odds!$A:$G,6,false)</f>
        <v>#N/A</v>
      </c>
      <c r="E15" s="4" t="str">
        <f>VLOOKUP($C15,odds!$A:$G,7,false)</f>
        <v>#N/A</v>
      </c>
      <c r="F15" s="4" t="str">
        <f>VLOOKUP($A15,Data_Input!$A:$L,11,false)</f>
        <v>#N/A</v>
      </c>
      <c r="G15" s="4" t="str">
        <f>VLOOKUP($B15,Data_Input!$A:$L,11,false)</f>
        <v>#N/A</v>
      </c>
      <c r="H15" s="4" t="str">
        <f t="shared" si="1"/>
        <v>#N/A</v>
      </c>
      <c r="I15" s="4" t="str">
        <f>VLOOKUP(C15,odds!A:L,12,false)</f>
        <v>#N/A</v>
      </c>
      <c r="J15" s="4" t="str">
        <f t="shared" si="2"/>
        <v>#N/A</v>
      </c>
      <c r="K15" s="4" t="str">
        <f t="shared" si="3"/>
        <v>#N/A</v>
      </c>
      <c r="L15" s="6" t="str">
        <f t="shared" si="4"/>
        <v>#N/A</v>
      </c>
      <c r="M15" s="7" t="str">
        <f>VLOOKUP(D15,Spread!I:L,4,false)</f>
        <v>#N/A</v>
      </c>
      <c r="N15" s="8" t="str">
        <f t="shared" si="5"/>
        <v>#N/A</v>
      </c>
      <c r="O15" s="3" t="str">
        <f t="shared" si="6"/>
        <v>#N/A</v>
      </c>
    </row>
    <row r="16">
      <c r="A16" s="4" t="str">
        <f>VLOOKUP($D16,map!$D:$E,2,false)</f>
        <v>#N/A</v>
      </c>
      <c r="B16" s="4" t="str">
        <f>VLOOKUP($E16,map!$D:$E,2,false)</f>
        <v>#N/A</v>
      </c>
      <c r="D16" s="4" t="str">
        <f>VLOOKUP($C16,odds!$A:$G,6,false)</f>
        <v>#N/A</v>
      </c>
      <c r="E16" s="4" t="str">
        <f>VLOOKUP($C16,odds!$A:$G,7,false)</f>
        <v>#N/A</v>
      </c>
      <c r="F16" s="4" t="str">
        <f>VLOOKUP($A16,Data_Input!$A:$L,11,false)</f>
        <v>#N/A</v>
      </c>
      <c r="G16" s="4" t="str">
        <f>VLOOKUP($B16,Data_Input!$A:$L,11,false)</f>
        <v>#N/A</v>
      </c>
      <c r="H16" s="4" t="str">
        <f t="shared" si="1"/>
        <v>#N/A</v>
      </c>
      <c r="I16" s="4" t="str">
        <f>VLOOKUP(C16,odds!A:L,12,false)</f>
        <v>#N/A</v>
      </c>
      <c r="J16" s="4" t="str">
        <f t="shared" si="2"/>
        <v>#N/A</v>
      </c>
      <c r="K16" s="4" t="str">
        <f t="shared" si="3"/>
        <v>#N/A</v>
      </c>
      <c r="L16" s="6" t="str">
        <f t="shared" si="4"/>
        <v>#N/A</v>
      </c>
      <c r="M16" s="7" t="str">
        <f>VLOOKUP(D16,Spread!I:L,4,false)</f>
        <v>#N/A</v>
      </c>
      <c r="N16" s="8" t="str">
        <f t="shared" si="5"/>
        <v>#N/A</v>
      </c>
      <c r="O16" s="3" t="str">
        <f t="shared" si="6"/>
        <v>#N/A</v>
      </c>
    </row>
    <row r="17">
      <c r="A17" s="4" t="str">
        <f>VLOOKUP($D17,map!$D:$E,2,false)</f>
        <v>#N/A</v>
      </c>
      <c r="B17" s="4" t="str">
        <f>VLOOKUP($E17,map!$D:$E,2,false)</f>
        <v>#N/A</v>
      </c>
      <c r="D17" s="4" t="str">
        <f>VLOOKUP($C17,odds!$A:$G,6,false)</f>
        <v>#N/A</v>
      </c>
      <c r="E17" s="4" t="str">
        <f>VLOOKUP($C17,odds!$A:$G,7,false)</f>
        <v>#N/A</v>
      </c>
      <c r="F17" s="4" t="str">
        <f>VLOOKUP($A17,Data_Input!$A:$L,11,false)</f>
        <v>#N/A</v>
      </c>
      <c r="G17" s="4" t="str">
        <f>VLOOKUP($B17,Data_Input!$A:$L,11,false)</f>
        <v>#N/A</v>
      </c>
      <c r="H17" s="4" t="str">
        <f t="shared" si="1"/>
        <v>#N/A</v>
      </c>
      <c r="I17" s="4" t="str">
        <f>VLOOKUP(C17,odds!A:L,12,false)</f>
        <v>#N/A</v>
      </c>
      <c r="J17" s="4" t="str">
        <f t="shared" si="2"/>
        <v>#N/A</v>
      </c>
      <c r="K17" s="4" t="str">
        <f t="shared" si="3"/>
        <v>#N/A</v>
      </c>
      <c r="L17" s="6" t="str">
        <f t="shared" si="4"/>
        <v>#N/A</v>
      </c>
      <c r="M17" s="7" t="str">
        <f>VLOOKUP(D17,Spread!I:L,4,false)</f>
        <v>#N/A</v>
      </c>
      <c r="N17" s="8" t="str">
        <f t="shared" si="5"/>
        <v>#N/A</v>
      </c>
      <c r="O17" s="3" t="str">
        <f t="shared" si="6"/>
        <v>#N/A</v>
      </c>
    </row>
  </sheetData>
  <autoFilter ref="$A$1:$O$1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IFERROR(__xludf.DUMMYFUNCTION("QUERY(IMPORTHTML(""https://www.teamrankings.com/nfl/stat/penalties-per-game?date=""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4</v>
      </c>
      <c r="B2" s="18" t="str">
        <f>IFERROR(__xludf.DUMMYFUNCTION("""COMPUTED_VALUE"""),"Cincinnati")</f>
        <v>Cincinnati</v>
      </c>
      <c r="C2" s="19">
        <f>IFERROR(__xludf.DUMMYFUNCTION("""COMPUTED_VALUE"""),4.3)</f>
        <v>4.3</v>
      </c>
      <c r="D2" s="19">
        <f>IFERROR(__xludf.DUMMYFUNCTION("""COMPUTED_VALUE"""),3.3)</f>
        <v>3.3</v>
      </c>
      <c r="E2" s="19">
        <f>IFERROR(__xludf.DUMMYFUNCTION("""COMPUTED_VALUE"""),1.0)</f>
        <v>1</v>
      </c>
      <c r="F2" s="19">
        <f>IFERROR(__xludf.DUMMYFUNCTION("""COMPUTED_VALUE"""),3.0)</f>
        <v>3</v>
      </c>
      <c r="G2" s="19">
        <f>IFERROR(__xludf.DUMMYFUNCTION("""COMPUTED_VALUE"""),5.5)</f>
        <v>5.5</v>
      </c>
      <c r="H2" s="19">
        <f>IFERROR(__xludf.DUMMYFUNCTION("""COMPUTED_VALUE"""),4.5)</f>
        <v>4.5</v>
      </c>
    </row>
    <row r="3">
      <c r="A3" s="17">
        <f>VLOOKUP(B3,map!B:C,2,false)</f>
        <v>21</v>
      </c>
      <c r="B3" s="18" t="str">
        <f>IFERROR(__xludf.DUMMYFUNCTION("""COMPUTED_VALUE"""),"Arizona")</f>
        <v>Arizona</v>
      </c>
      <c r="C3" s="19">
        <f>IFERROR(__xludf.DUMMYFUNCTION("""COMPUTED_VALUE"""),4.9)</f>
        <v>4.9</v>
      </c>
      <c r="D3" s="19">
        <f>IFERROR(__xludf.DUMMYFUNCTION("""COMPUTED_VALUE"""),6.7)</f>
        <v>6.7</v>
      </c>
      <c r="E3" s="19">
        <f>IFERROR(__xludf.DUMMYFUNCTION("""COMPUTED_VALUE"""),4.0)</f>
        <v>4</v>
      </c>
      <c r="F3" s="19">
        <f>IFERROR(__xludf.DUMMYFUNCTION("""COMPUTED_VALUE"""),4.0)</f>
        <v>4</v>
      </c>
      <c r="G3" s="19">
        <f>IFERROR(__xludf.DUMMYFUNCTION("""COMPUTED_VALUE"""),5.8)</f>
        <v>5.8</v>
      </c>
      <c r="H3" s="19">
        <f>IFERROR(__xludf.DUMMYFUNCTION("""COMPUTED_VALUE"""),5.9)</f>
        <v>5.9</v>
      </c>
    </row>
    <row r="4">
      <c r="A4" s="17">
        <f>VLOOKUP(B4,map!B:C,2,false)</f>
        <v>26</v>
      </c>
      <c r="B4" s="18" t="str">
        <f>IFERROR(__xludf.DUMMYFUNCTION("""COMPUTED_VALUE"""),"NY Giants")</f>
        <v>NY Giants</v>
      </c>
      <c r="C4" s="19">
        <f>IFERROR(__xludf.DUMMYFUNCTION("""COMPUTED_VALUE"""),5.1)</f>
        <v>5.1</v>
      </c>
      <c r="D4" s="19">
        <f>IFERROR(__xludf.DUMMYFUNCTION("""COMPUTED_VALUE"""),3.0)</f>
        <v>3</v>
      </c>
      <c r="E4" s="19">
        <f>IFERROR(__xludf.DUMMYFUNCTION("""COMPUTED_VALUE"""),5.0)</f>
        <v>5</v>
      </c>
      <c r="F4" s="19">
        <f>IFERROR(__xludf.DUMMYFUNCTION("""COMPUTED_VALUE"""),5.0)</f>
        <v>5</v>
      </c>
      <c r="G4" s="19">
        <f>IFERROR(__xludf.DUMMYFUNCTION("""COMPUTED_VALUE"""),5.3)</f>
        <v>5.3</v>
      </c>
      <c r="H4" s="19">
        <f>IFERROR(__xludf.DUMMYFUNCTION("""COMPUTED_VALUE"""),5.2)</f>
        <v>5.2</v>
      </c>
    </row>
    <row r="5">
      <c r="A5" s="17">
        <f>VLOOKUP(B5,map!B:C,2,false)</f>
        <v>18</v>
      </c>
      <c r="B5" s="18" t="str">
        <f>IFERROR(__xludf.DUMMYFUNCTION("""COMPUTED_VALUE"""),"LA Rams")</f>
        <v>LA Rams</v>
      </c>
      <c r="C5" s="19">
        <f>IFERROR(__xludf.DUMMYFUNCTION("""COMPUTED_VALUE"""),5.1)</f>
        <v>5.1</v>
      </c>
      <c r="D5" s="19">
        <f>IFERROR(__xludf.DUMMYFUNCTION("""COMPUTED_VALUE"""),4.7)</f>
        <v>4.7</v>
      </c>
      <c r="E5" s="19">
        <f>IFERROR(__xludf.DUMMYFUNCTION("""COMPUTED_VALUE"""),6.0)</f>
        <v>6</v>
      </c>
      <c r="F5" s="19">
        <f>IFERROR(__xludf.DUMMYFUNCTION("""COMPUTED_VALUE"""),5.5)</f>
        <v>5.5</v>
      </c>
      <c r="G5" s="19">
        <f>IFERROR(__xludf.DUMMYFUNCTION("""COMPUTED_VALUE"""),4.7)</f>
        <v>4.7</v>
      </c>
      <c r="H5" s="19">
        <f>IFERROR(__xludf.DUMMYFUNCTION("""COMPUTED_VALUE"""),5.2)</f>
        <v>5.2</v>
      </c>
    </row>
    <row r="6">
      <c r="A6" s="17">
        <f>VLOOKUP(B6,map!B:C,2,false)</f>
        <v>20</v>
      </c>
      <c r="B6" s="18" t="str">
        <f>IFERROR(__xludf.DUMMYFUNCTION("""COMPUTED_VALUE"""),"Indianapolis")</f>
        <v>Indianapolis</v>
      </c>
      <c r="C6" s="19">
        <f>IFERROR(__xludf.DUMMYFUNCTION("""COMPUTED_VALUE"""),5.4)</f>
        <v>5.4</v>
      </c>
      <c r="D6" s="19">
        <f>IFERROR(__xludf.DUMMYFUNCTION("""COMPUTED_VALUE"""),6.0)</f>
        <v>6</v>
      </c>
      <c r="E6" s="19">
        <f>IFERROR(__xludf.DUMMYFUNCTION("""COMPUTED_VALUE"""),9.0)</f>
        <v>9</v>
      </c>
      <c r="F6" s="19">
        <f>IFERROR(__xludf.DUMMYFUNCTION("""COMPUTED_VALUE"""),5.3)</f>
        <v>5.3</v>
      </c>
      <c r="G6" s="19">
        <f>IFERROR(__xludf.DUMMYFUNCTION("""COMPUTED_VALUE"""),5.5)</f>
        <v>5.5</v>
      </c>
      <c r="H6" s="19">
        <f>IFERROR(__xludf.DUMMYFUNCTION("""COMPUTED_VALUE"""),5.6)</f>
        <v>5.6</v>
      </c>
    </row>
    <row r="7">
      <c r="A7" s="17">
        <f>VLOOKUP(B7,map!B:C,2,false)</f>
        <v>7</v>
      </c>
      <c r="B7" s="18" t="str">
        <f>IFERROR(__xludf.DUMMYFUNCTION("""COMPUTED_VALUE"""),"LA Chargers")</f>
        <v>LA Chargers</v>
      </c>
      <c r="C7" s="19">
        <f>IFERROR(__xludf.DUMMYFUNCTION("""COMPUTED_VALUE"""),5.4)</f>
        <v>5.4</v>
      </c>
      <c r="D7" s="19">
        <f>IFERROR(__xludf.DUMMYFUNCTION("""COMPUTED_VALUE"""),4.0)</f>
        <v>4</v>
      </c>
      <c r="E7" s="19">
        <f>IFERROR(__xludf.DUMMYFUNCTION("""COMPUTED_VALUE"""),4.0)</f>
        <v>4</v>
      </c>
      <c r="F7" s="19">
        <f>IFERROR(__xludf.DUMMYFUNCTION("""COMPUTED_VALUE"""),6.7)</f>
        <v>6.7</v>
      </c>
      <c r="G7" s="19">
        <f>IFERROR(__xludf.DUMMYFUNCTION("""COMPUTED_VALUE"""),4.5)</f>
        <v>4.5</v>
      </c>
      <c r="H7" s="19">
        <f>IFERROR(__xludf.DUMMYFUNCTION("""COMPUTED_VALUE"""),4.6)</f>
        <v>4.6</v>
      </c>
    </row>
    <row r="8">
      <c r="A8" s="17">
        <f>VLOOKUP(B8,map!B:C,2,false)</f>
        <v>2</v>
      </c>
      <c r="B8" s="18" t="str">
        <f>IFERROR(__xludf.DUMMYFUNCTION("""COMPUTED_VALUE"""),"Kansas City")</f>
        <v>Kansas City</v>
      </c>
      <c r="C8" s="19">
        <f>IFERROR(__xludf.DUMMYFUNCTION("""COMPUTED_VALUE"""),5.6)</f>
        <v>5.6</v>
      </c>
      <c r="D8" s="19">
        <f>IFERROR(__xludf.DUMMYFUNCTION("""COMPUTED_VALUE"""),6.0)</f>
        <v>6</v>
      </c>
      <c r="E8" s="19">
        <f>IFERROR(__xludf.DUMMYFUNCTION("""COMPUTED_VALUE"""),8.0)</f>
        <v>8</v>
      </c>
      <c r="F8" s="19">
        <f>IFERROR(__xludf.DUMMYFUNCTION("""COMPUTED_VALUE"""),5.3)</f>
        <v>5.3</v>
      </c>
      <c r="G8" s="19">
        <f>IFERROR(__xludf.DUMMYFUNCTION("""COMPUTED_VALUE"""),5.8)</f>
        <v>5.8</v>
      </c>
      <c r="H8" s="19">
        <f>IFERROR(__xludf.DUMMYFUNCTION("""COMPUTED_VALUE"""),5.3)</f>
        <v>5.3</v>
      </c>
    </row>
    <row r="9">
      <c r="A9" s="17">
        <f>VLOOKUP(B9,map!B:C,2,false)</f>
        <v>25</v>
      </c>
      <c r="B9" s="18" t="str">
        <f>IFERROR(__xludf.DUMMYFUNCTION("""COMPUTED_VALUE"""),"San Francisco")</f>
        <v>San Francisco</v>
      </c>
      <c r="C9" s="19">
        <f>IFERROR(__xludf.DUMMYFUNCTION("""COMPUTED_VALUE"""),5.6)</f>
        <v>5.6</v>
      </c>
      <c r="D9" s="19">
        <f>IFERROR(__xludf.DUMMYFUNCTION("""COMPUTED_VALUE"""),6.7)</f>
        <v>6.7</v>
      </c>
      <c r="E9" s="19">
        <f>IFERROR(__xludf.DUMMYFUNCTION("""COMPUTED_VALUE"""),9.0)</f>
        <v>9</v>
      </c>
      <c r="F9" s="19">
        <f>IFERROR(__xludf.DUMMYFUNCTION("""COMPUTED_VALUE"""),5.8)</f>
        <v>5.8</v>
      </c>
      <c r="G9" s="19">
        <f>IFERROR(__xludf.DUMMYFUNCTION("""COMPUTED_VALUE"""),5.3)</f>
        <v>5.3</v>
      </c>
      <c r="H9" s="19">
        <f>IFERROR(__xludf.DUMMYFUNCTION("""COMPUTED_VALUE"""),5.8)</f>
        <v>5.8</v>
      </c>
    </row>
    <row r="10">
      <c r="A10" s="17">
        <f>VLOOKUP(B10,map!B:C,2,false)</f>
        <v>24</v>
      </c>
      <c r="B10" s="18" t="str">
        <f>IFERROR(__xludf.DUMMYFUNCTION("""COMPUTED_VALUE"""),"Las Vegas")</f>
        <v>Las Vegas</v>
      </c>
      <c r="C10" s="19">
        <f>IFERROR(__xludf.DUMMYFUNCTION("""COMPUTED_VALUE"""),5.9)</f>
        <v>5.9</v>
      </c>
      <c r="D10" s="19">
        <f>IFERROR(__xludf.DUMMYFUNCTION("""COMPUTED_VALUE"""),6.3)</f>
        <v>6.3</v>
      </c>
      <c r="E10" s="19">
        <f>IFERROR(__xludf.DUMMYFUNCTION("""COMPUTED_VALUE"""),5.0)</f>
        <v>5</v>
      </c>
      <c r="F10" s="19">
        <f>IFERROR(__xludf.DUMMYFUNCTION("""COMPUTED_VALUE"""),5.3)</f>
        <v>5.3</v>
      </c>
      <c r="G10" s="19">
        <f>IFERROR(__xludf.DUMMYFUNCTION("""COMPUTED_VALUE"""),6.5)</f>
        <v>6.5</v>
      </c>
      <c r="H10" s="19">
        <f>IFERROR(__xludf.DUMMYFUNCTION("""COMPUTED_VALUE"""),4.4)</f>
        <v>4.4</v>
      </c>
    </row>
    <row r="11">
      <c r="A11" s="17">
        <f>VLOOKUP(B11,map!B:C,2,false)</f>
        <v>9</v>
      </c>
      <c r="B11" s="18" t="str">
        <f>IFERROR(__xludf.DUMMYFUNCTION("""COMPUTED_VALUE"""),"New Orleans")</f>
        <v>New Orleans</v>
      </c>
      <c r="C11" s="19">
        <f>IFERROR(__xludf.DUMMYFUNCTION("""COMPUTED_VALUE"""),6.0)</f>
        <v>6</v>
      </c>
      <c r="D11" s="19">
        <f>IFERROR(__xludf.DUMMYFUNCTION("""COMPUTED_VALUE"""),6.3)</f>
        <v>6.3</v>
      </c>
      <c r="E11" s="19">
        <f>IFERROR(__xludf.DUMMYFUNCTION("""COMPUTED_VALUE"""),7.0)</f>
        <v>7</v>
      </c>
      <c r="F11" s="19">
        <f>IFERROR(__xludf.DUMMYFUNCTION("""COMPUTED_VALUE"""),6.3)</f>
        <v>6.3</v>
      </c>
      <c r="G11" s="19">
        <f>IFERROR(__xludf.DUMMYFUNCTION("""COMPUTED_VALUE"""),5.8)</f>
        <v>5.8</v>
      </c>
      <c r="H11" s="19">
        <f>IFERROR(__xludf.DUMMYFUNCTION("""COMPUTED_VALUE"""),5.6)</f>
        <v>5.6</v>
      </c>
    </row>
    <row r="12">
      <c r="A12" s="17">
        <f>VLOOKUP(B12,map!B:C,2,false)</f>
        <v>28</v>
      </c>
      <c r="B12" s="18" t="str">
        <f>IFERROR(__xludf.DUMMYFUNCTION("""COMPUTED_VALUE"""),"Atlanta")</f>
        <v>Atlanta</v>
      </c>
      <c r="C12" s="19">
        <f>IFERROR(__xludf.DUMMYFUNCTION("""COMPUTED_VALUE"""),6.1)</f>
        <v>6.1</v>
      </c>
      <c r="D12" s="19">
        <f>IFERROR(__xludf.DUMMYFUNCTION("""COMPUTED_VALUE"""),6.0)</f>
        <v>6</v>
      </c>
      <c r="E12" s="19">
        <f>IFERROR(__xludf.DUMMYFUNCTION("""COMPUTED_VALUE"""),4.0)</f>
        <v>4</v>
      </c>
      <c r="F12" s="19">
        <f>IFERROR(__xludf.DUMMYFUNCTION("""COMPUTED_VALUE"""),7.4)</f>
        <v>7.4</v>
      </c>
      <c r="G12" s="19">
        <f>IFERROR(__xludf.DUMMYFUNCTION("""COMPUTED_VALUE"""),4.0)</f>
        <v>4</v>
      </c>
      <c r="H12" s="19">
        <f>IFERROR(__xludf.DUMMYFUNCTION("""COMPUTED_VALUE"""),4.9)</f>
        <v>4.9</v>
      </c>
    </row>
    <row r="13">
      <c r="A13" s="17">
        <f>VLOOKUP(B13,map!B:C,2,false)</f>
        <v>8</v>
      </c>
      <c r="B13" s="18" t="str">
        <f>IFERROR(__xludf.DUMMYFUNCTION("""COMPUTED_VALUE"""),"Washington")</f>
        <v>Washington</v>
      </c>
      <c r="C13" s="19">
        <f>IFERROR(__xludf.DUMMYFUNCTION("""COMPUTED_VALUE"""),6.1)</f>
        <v>6.1</v>
      </c>
      <c r="D13" s="19">
        <f>IFERROR(__xludf.DUMMYFUNCTION("""COMPUTED_VALUE"""),6.3)</f>
        <v>6.3</v>
      </c>
      <c r="E13" s="19">
        <f>IFERROR(__xludf.DUMMYFUNCTION("""COMPUTED_VALUE"""),5.0)</f>
        <v>5</v>
      </c>
      <c r="F13" s="19">
        <f>IFERROR(__xludf.DUMMYFUNCTION("""COMPUTED_VALUE"""),7.0)</f>
        <v>7</v>
      </c>
      <c r="G13" s="19">
        <f>IFERROR(__xludf.DUMMYFUNCTION("""COMPUTED_VALUE"""),5.3)</f>
        <v>5.3</v>
      </c>
      <c r="H13" s="19">
        <f>IFERROR(__xludf.DUMMYFUNCTION("""COMPUTED_VALUE"""),5.1)</f>
        <v>5.1</v>
      </c>
    </row>
    <row r="14">
      <c r="A14" s="17">
        <f>VLOOKUP(B14,map!B:C,2,false)</f>
        <v>22</v>
      </c>
      <c r="B14" s="18" t="str">
        <f>IFERROR(__xludf.DUMMYFUNCTION("""COMPUTED_VALUE"""),"New England")</f>
        <v>New England</v>
      </c>
      <c r="C14" s="19">
        <f>IFERROR(__xludf.DUMMYFUNCTION("""COMPUTED_VALUE"""),6.1)</f>
        <v>6.1</v>
      </c>
      <c r="D14" s="19">
        <f>IFERROR(__xludf.DUMMYFUNCTION("""COMPUTED_VALUE"""),7.0)</f>
        <v>7</v>
      </c>
      <c r="E14" s="19">
        <f>IFERROR(__xludf.DUMMYFUNCTION("""COMPUTED_VALUE"""),5.0)</f>
        <v>5</v>
      </c>
      <c r="F14" s="19">
        <f>IFERROR(__xludf.DUMMYFUNCTION("""COMPUTED_VALUE"""),7.3)</f>
        <v>7.3</v>
      </c>
      <c r="G14" s="19">
        <f>IFERROR(__xludf.DUMMYFUNCTION("""COMPUTED_VALUE"""),5.0)</f>
        <v>5</v>
      </c>
      <c r="H14" s="19">
        <f>IFERROR(__xludf.DUMMYFUNCTION("""COMPUTED_VALUE"""),5.2)</f>
        <v>5.2</v>
      </c>
    </row>
    <row r="15">
      <c r="A15" s="17">
        <f>VLOOKUP(B15,map!B:C,2,false)</f>
        <v>12</v>
      </c>
      <c r="B15" s="18" t="str">
        <f>IFERROR(__xludf.DUMMYFUNCTION("""COMPUTED_VALUE"""),"Philadelphia")</f>
        <v>Philadelphia</v>
      </c>
      <c r="C15" s="19">
        <f>IFERROR(__xludf.DUMMYFUNCTION("""COMPUTED_VALUE"""),6.1)</f>
        <v>6.1</v>
      </c>
      <c r="D15" s="19">
        <f>IFERROR(__xludf.DUMMYFUNCTION("""COMPUTED_VALUE"""),5.0)</f>
        <v>5</v>
      </c>
      <c r="E15" s="19">
        <f>IFERROR(__xludf.DUMMYFUNCTION("""COMPUTED_VALUE"""),4.0)</f>
        <v>4</v>
      </c>
      <c r="F15" s="19">
        <f>IFERROR(__xludf.DUMMYFUNCTION("""COMPUTED_VALUE"""),7.0)</f>
        <v>7</v>
      </c>
      <c r="G15" s="19">
        <f>IFERROR(__xludf.DUMMYFUNCTION("""COMPUTED_VALUE"""),5.8)</f>
        <v>5.8</v>
      </c>
      <c r="H15" s="19">
        <f>IFERROR(__xludf.DUMMYFUNCTION("""COMPUTED_VALUE"""),5.6)</f>
        <v>5.6</v>
      </c>
    </row>
    <row r="16">
      <c r="A16" s="17">
        <f>VLOOKUP(B16,map!B:C,2,false)</f>
        <v>6</v>
      </c>
      <c r="B16" s="18" t="str">
        <f>IFERROR(__xludf.DUMMYFUNCTION("""COMPUTED_VALUE"""),"Jacksonville")</f>
        <v>Jacksonville</v>
      </c>
      <c r="C16" s="19">
        <f>IFERROR(__xludf.DUMMYFUNCTION("""COMPUTED_VALUE"""),6.3)</f>
        <v>6.3</v>
      </c>
      <c r="D16" s="19">
        <f>IFERROR(__xludf.DUMMYFUNCTION("""COMPUTED_VALUE"""),6.7)</f>
        <v>6.7</v>
      </c>
      <c r="E16" s="19">
        <f>IFERROR(__xludf.DUMMYFUNCTION("""COMPUTED_VALUE"""),8.0)</f>
        <v>8</v>
      </c>
      <c r="F16" s="19">
        <f>IFERROR(__xludf.DUMMYFUNCTION("""COMPUTED_VALUE"""),5.7)</f>
        <v>5.7</v>
      </c>
      <c r="G16" s="19">
        <f>IFERROR(__xludf.DUMMYFUNCTION("""COMPUTED_VALUE"""),6.6)</f>
        <v>6.6</v>
      </c>
      <c r="H16" s="19">
        <f>IFERROR(__xludf.DUMMYFUNCTION("""COMPUTED_VALUE"""),4.9)</f>
        <v>4.9</v>
      </c>
    </row>
    <row r="17">
      <c r="A17" s="17">
        <f>VLOOKUP(B17,map!B:C,2,false)</f>
        <v>14</v>
      </c>
      <c r="B17" s="18" t="str">
        <f>IFERROR(__xludf.DUMMYFUNCTION("""COMPUTED_VALUE"""),"Tampa Bay")</f>
        <v>Tampa Bay</v>
      </c>
      <c r="C17" s="19">
        <f>IFERROR(__xludf.DUMMYFUNCTION("""COMPUTED_VALUE"""),6.3)</f>
        <v>6.3</v>
      </c>
      <c r="D17" s="19">
        <f>IFERROR(__xludf.DUMMYFUNCTION("""COMPUTED_VALUE"""),8.7)</f>
        <v>8.7</v>
      </c>
      <c r="E17" s="19">
        <f>IFERROR(__xludf.DUMMYFUNCTION("""COMPUTED_VALUE"""),6.0)</f>
        <v>6</v>
      </c>
      <c r="F17" s="19">
        <f>IFERROR(__xludf.DUMMYFUNCTION("""COMPUTED_VALUE"""),5.8)</f>
        <v>5.8</v>
      </c>
      <c r="G17" s="19">
        <f>IFERROR(__xludf.DUMMYFUNCTION("""COMPUTED_VALUE"""),7.0)</f>
        <v>7</v>
      </c>
      <c r="H17" s="19">
        <f>IFERROR(__xludf.DUMMYFUNCTION("""COMPUTED_VALUE"""),5.8)</f>
        <v>5.8</v>
      </c>
    </row>
    <row r="18">
      <c r="A18" s="17">
        <f>VLOOKUP(B18,map!B:C,2,false)</f>
        <v>31</v>
      </c>
      <c r="B18" s="18" t="str">
        <f>IFERROR(__xludf.DUMMYFUNCTION("""COMPUTED_VALUE"""),"Chicago")</f>
        <v>Chicago</v>
      </c>
      <c r="C18" s="19">
        <f>IFERROR(__xludf.DUMMYFUNCTION("""COMPUTED_VALUE"""),6.4)</f>
        <v>6.4</v>
      </c>
      <c r="D18" s="19">
        <f>IFERROR(__xludf.DUMMYFUNCTION("""COMPUTED_VALUE"""),5.0)</f>
        <v>5</v>
      </c>
      <c r="E18" s="19">
        <f>IFERROR(__xludf.DUMMYFUNCTION("""COMPUTED_VALUE"""),8.0)</f>
        <v>8</v>
      </c>
      <c r="F18" s="19">
        <f>IFERROR(__xludf.DUMMYFUNCTION("""COMPUTED_VALUE"""),7.3)</f>
        <v>7.3</v>
      </c>
      <c r="G18" s="19">
        <f>IFERROR(__xludf.DUMMYFUNCTION("""COMPUTED_VALUE"""),5.8)</f>
        <v>5.8</v>
      </c>
      <c r="H18" s="19">
        <f>IFERROR(__xludf.DUMMYFUNCTION("""COMPUTED_VALUE"""),5.8)</f>
        <v>5.8</v>
      </c>
    </row>
    <row r="19">
      <c r="A19" s="17">
        <f>VLOOKUP(B19,map!B:C,2,false)</f>
        <v>11</v>
      </c>
      <c r="B19" s="18" t="str">
        <f>IFERROR(__xludf.DUMMYFUNCTION("""COMPUTED_VALUE"""),"Buffalo")</f>
        <v>Buffalo</v>
      </c>
      <c r="C19" s="19">
        <f>IFERROR(__xludf.DUMMYFUNCTION("""COMPUTED_VALUE"""),6.6)</f>
        <v>6.6</v>
      </c>
      <c r="D19" s="19">
        <f>IFERROR(__xludf.DUMMYFUNCTION("""COMPUTED_VALUE"""),9.7)</f>
        <v>9.7</v>
      </c>
      <c r="E19" s="19">
        <f>IFERROR(__xludf.DUMMYFUNCTION("""COMPUTED_VALUE"""),13.0)</f>
        <v>13</v>
      </c>
      <c r="F19" s="19">
        <f>IFERROR(__xludf.DUMMYFUNCTION("""COMPUTED_VALUE"""),6.7)</f>
        <v>6.7</v>
      </c>
      <c r="G19" s="19">
        <f>IFERROR(__xludf.DUMMYFUNCTION("""COMPUTED_VALUE"""),6.6)</f>
        <v>6.6</v>
      </c>
      <c r="H19" s="19">
        <f>IFERROR(__xludf.DUMMYFUNCTION("""COMPUTED_VALUE"""),5.9)</f>
        <v>5.9</v>
      </c>
    </row>
    <row r="20">
      <c r="A20" s="17">
        <f>VLOOKUP(B20,map!B:C,2,false)</f>
        <v>29</v>
      </c>
      <c r="B20" s="18" t="str">
        <f>IFERROR(__xludf.DUMMYFUNCTION("""COMPUTED_VALUE"""),"Pittsburgh")</f>
        <v>Pittsburgh</v>
      </c>
      <c r="C20" s="19">
        <f>IFERROR(__xludf.DUMMYFUNCTION("""COMPUTED_VALUE"""),6.7)</f>
        <v>6.7</v>
      </c>
      <c r="D20" s="19">
        <f>IFERROR(__xludf.DUMMYFUNCTION("""COMPUTED_VALUE"""),6.3)</f>
        <v>6.3</v>
      </c>
      <c r="E20" s="19">
        <f>IFERROR(__xludf.DUMMYFUNCTION("""COMPUTED_VALUE"""),4.0)</f>
        <v>4</v>
      </c>
      <c r="F20" s="19">
        <f>IFERROR(__xludf.DUMMYFUNCTION("""COMPUTED_VALUE"""),5.0)</f>
        <v>5</v>
      </c>
      <c r="G20" s="19">
        <f>IFERROR(__xludf.DUMMYFUNCTION("""COMPUTED_VALUE"""),8.0)</f>
        <v>8</v>
      </c>
      <c r="H20" s="19">
        <f>IFERROR(__xludf.DUMMYFUNCTION("""COMPUTED_VALUE"""),5.1)</f>
        <v>5.1</v>
      </c>
    </row>
    <row r="21">
      <c r="A21" s="17">
        <f>VLOOKUP(B21,map!B:C,2,false)</f>
        <v>27</v>
      </c>
      <c r="B21" s="18" t="str">
        <f>IFERROR(__xludf.DUMMYFUNCTION("""COMPUTED_VALUE"""),"Denver")</f>
        <v>Denver</v>
      </c>
      <c r="C21" s="19">
        <f>IFERROR(__xludf.DUMMYFUNCTION("""COMPUTED_VALUE"""),6.8)</f>
        <v>6.8</v>
      </c>
      <c r="D21" s="19">
        <f>IFERROR(__xludf.DUMMYFUNCTION("""COMPUTED_VALUE"""),6.0)</f>
        <v>6</v>
      </c>
      <c r="E21" s="19">
        <f>IFERROR(__xludf.DUMMYFUNCTION("""COMPUTED_VALUE"""),4.0)</f>
        <v>4</v>
      </c>
      <c r="F21" s="19">
        <f>IFERROR(__xludf.DUMMYFUNCTION("""COMPUTED_VALUE"""),7.3)</f>
        <v>7.3</v>
      </c>
      <c r="G21" s="19">
        <f>IFERROR(__xludf.DUMMYFUNCTION("""COMPUTED_VALUE"""),6.3)</f>
        <v>6.3</v>
      </c>
      <c r="H21" s="19">
        <f>IFERROR(__xludf.DUMMYFUNCTION("""COMPUTED_VALUE"""),5.8)</f>
        <v>5.8</v>
      </c>
    </row>
    <row r="22">
      <c r="A22" s="17">
        <f>VLOOKUP(B22,map!B:C,2,false)</f>
        <v>15</v>
      </c>
      <c r="B22" s="18" t="str">
        <f>IFERROR(__xludf.DUMMYFUNCTION("""COMPUTED_VALUE"""),"Green Bay")</f>
        <v>Green Bay</v>
      </c>
      <c r="C22" s="19">
        <f>IFERROR(__xludf.DUMMYFUNCTION("""COMPUTED_VALUE"""),7.0)</f>
        <v>7</v>
      </c>
      <c r="D22" s="19">
        <f>IFERROR(__xludf.DUMMYFUNCTION("""COMPUTED_VALUE"""),5.3)</f>
        <v>5.3</v>
      </c>
      <c r="E22" s="19">
        <f>IFERROR(__xludf.DUMMYFUNCTION("""COMPUTED_VALUE"""),3.0)</f>
        <v>3</v>
      </c>
      <c r="F22" s="19">
        <f>IFERROR(__xludf.DUMMYFUNCTION("""COMPUTED_VALUE"""),6.8)</f>
        <v>6.8</v>
      </c>
      <c r="G22" s="19">
        <f>IFERROR(__xludf.DUMMYFUNCTION("""COMPUTED_VALUE"""),7.3)</f>
        <v>7.3</v>
      </c>
      <c r="H22" s="19">
        <f>IFERROR(__xludf.DUMMYFUNCTION("""COMPUTED_VALUE"""),5.9)</f>
        <v>5.9</v>
      </c>
    </row>
    <row r="23">
      <c r="A23" s="17">
        <f>VLOOKUP(B23,map!B:C,2,false)</f>
        <v>23</v>
      </c>
      <c r="B23" s="18" t="str">
        <f>IFERROR(__xludf.DUMMYFUNCTION("""COMPUTED_VALUE"""),"Carolina")</f>
        <v>Carolina</v>
      </c>
      <c r="C23" s="19">
        <f>IFERROR(__xludf.DUMMYFUNCTION("""COMPUTED_VALUE"""),7.0)</f>
        <v>7</v>
      </c>
      <c r="D23" s="19">
        <f>IFERROR(__xludf.DUMMYFUNCTION("""COMPUTED_VALUE"""),8.0)</f>
        <v>8</v>
      </c>
      <c r="E23" s="19">
        <f>IFERROR(__xludf.DUMMYFUNCTION("""COMPUTED_VALUE"""),8.0)</f>
        <v>8</v>
      </c>
      <c r="F23" s="19">
        <f>IFERROR(__xludf.DUMMYFUNCTION("""COMPUTED_VALUE"""),8.3)</f>
        <v>8.3</v>
      </c>
      <c r="G23" s="19">
        <f>IFERROR(__xludf.DUMMYFUNCTION("""COMPUTED_VALUE"""),6.2)</f>
        <v>6.2</v>
      </c>
      <c r="H23" s="19">
        <f>IFERROR(__xludf.DUMMYFUNCTION("""COMPUTED_VALUE"""),6.1)</f>
        <v>6.1</v>
      </c>
    </row>
    <row r="24">
      <c r="A24" s="17">
        <f>VLOOKUP(B24,map!B:C,2,false)</f>
        <v>5</v>
      </c>
      <c r="B24" s="18" t="str">
        <f>IFERROR(__xludf.DUMMYFUNCTION("""COMPUTED_VALUE"""),"Detroit")</f>
        <v>Detroit</v>
      </c>
      <c r="C24" s="19">
        <f>IFERROR(__xludf.DUMMYFUNCTION("""COMPUTED_VALUE"""),7.1)</f>
        <v>7.1</v>
      </c>
      <c r="D24" s="19">
        <f>IFERROR(__xludf.DUMMYFUNCTION("""COMPUTED_VALUE"""),6.3)</f>
        <v>6.3</v>
      </c>
      <c r="E24" s="19">
        <f>IFERROR(__xludf.DUMMYFUNCTION("""COMPUTED_VALUE"""),3.0)</f>
        <v>3</v>
      </c>
      <c r="F24" s="19">
        <f>IFERROR(__xludf.DUMMYFUNCTION("""COMPUTED_VALUE"""),6.3)</f>
        <v>6.3</v>
      </c>
      <c r="G24" s="19">
        <f>IFERROR(__xludf.DUMMYFUNCTION("""COMPUTED_VALUE"""),8.3)</f>
        <v>8.3</v>
      </c>
      <c r="H24" s="19">
        <f>IFERROR(__xludf.DUMMYFUNCTION("""COMPUTED_VALUE"""),5.4)</f>
        <v>5.4</v>
      </c>
    </row>
    <row r="25">
      <c r="A25" s="17">
        <f>VLOOKUP(B25,map!B:C,2,false)</f>
        <v>32</v>
      </c>
      <c r="B25" s="18" t="str">
        <f>IFERROR(__xludf.DUMMYFUNCTION("""COMPUTED_VALUE"""),"Tennessee")</f>
        <v>Tennessee</v>
      </c>
      <c r="C25" s="19">
        <f>IFERROR(__xludf.DUMMYFUNCTION("""COMPUTED_VALUE"""),7.1)</f>
        <v>7.1</v>
      </c>
      <c r="D25" s="19">
        <f>IFERROR(__xludf.DUMMYFUNCTION("""COMPUTED_VALUE"""),9.0)</f>
        <v>9</v>
      </c>
      <c r="E25" s="19">
        <f>IFERROR(__xludf.DUMMYFUNCTION("""COMPUTED_VALUE"""),8.0)</f>
        <v>8</v>
      </c>
      <c r="F25" s="19">
        <f>IFERROR(__xludf.DUMMYFUNCTION("""COMPUTED_VALUE"""),6.0)</f>
        <v>6</v>
      </c>
      <c r="G25" s="19">
        <f>IFERROR(__xludf.DUMMYFUNCTION("""COMPUTED_VALUE"""),8.0)</f>
        <v>8</v>
      </c>
      <c r="H25" s="19">
        <f>IFERROR(__xludf.DUMMYFUNCTION("""COMPUTED_VALUE"""),6.5)</f>
        <v>6.5</v>
      </c>
    </row>
    <row r="26">
      <c r="A26" s="17">
        <f>VLOOKUP(B26,map!B:C,2,false)</f>
        <v>10</v>
      </c>
      <c r="B26" s="18" t="str">
        <f>IFERROR(__xludf.DUMMYFUNCTION("""COMPUTED_VALUE"""),"Miami")</f>
        <v>Miami</v>
      </c>
      <c r="C26" s="19">
        <f>IFERROR(__xludf.DUMMYFUNCTION("""COMPUTED_VALUE"""),7.3)</f>
        <v>7.3</v>
      </c>
      <c r="D26" s="19">
        <f>IFERROR(__xludf.DUMMYFUNCTION("""COMPUTED_VALUE"""),4.7)</f>
        <v>4.7</v>
      </c>
      <c r="E26" s="19">
        <f>IFERROR(__xludf.DUMMYFUNCTION("""COMPUTED_VALUE"""),2.0)</f>
        <v>2</v>
      </c>
      <c r="F26" s="19">
        <f>IFERROR(__xludf.DUMMYFUNCTION("""COMPUTED_VALUE"""),7.0)</f>
        <v>7</v>
      </c>
      <c r="G26" s="19">
        <f>IFERROR(__xludf.DUMMYFUNCTION("""COMPUTED_VALUE"""),7.7)</f>
        <v>7.7</v>
      </c>
      <c r="H26" s="19">
        <f>IFERROR(__xludf.DUMMYFUNCTION("""COMPUTED_VALUE"""),5.8)</f>
        <v>5.8</v>
      </c>
    </row>
    <row r="27">
      <c r="A27" s="17">
        <f>VLOOKUP(B27,map!B:C,2,false)</f>
        <v>1</v>
      </c>
      <c r="B27" s="18" t="str">
        <f>IFERROR(__xludf.DUMMYFUNCTION("""COMPUTED_VALUE"""),"Dallas")</f>
        <v>Dallas</v>
      </c>
      <c r="C27" s="19">
        <f>IFERROR(__xludf.DUMMYFUNCTION("""COMPUTED_VALUE"""),7.6)</f>
        <v>7.6</v>
      </c>
      <c r="D27" s="19">
        <f>IFERROR(__xludf.DUMMYFUNCTION("""COMPUTED_VALUE"""),7.0)</f>
        <v>7</v>
      </c>
      <c r="E27" s="19">
        <f>IFERROR(__xludf.DUMMYFUNCTION("""COMPUTED_VALUE"""),6.0)</f>
        <v>6</v>
      </c>
      <c r="F27" s="19">
        <f>IFERROR(__xludf.DUMMYFUNCTION("""COMPUTED_VALUE"""),4.7)</f>
        <v>4.7</v>
      </c>
      <c r="G27" s="19">
        <f>IFERROR(__xludf.DUMMYFUNCTION("""COMPUTED_VALUE"""),9.8)</f>
        <v>9.8</v>
      </c>
      <c r="H27" s="19">
        <f>IFERROR(__xludf.DUMMYFUNCTION("""COMPUTED_VALUE"""),6.7)</f>
        <v>6.7</v>
      </c>
    </row>
    <row r="28">
      <c r="A28" s="17">
        <f>VLOOKUP(B28,map!B:C,2,false)</f>
        <v>17</v>
      </c>
      <c r="B28" s="18" t="str">
        <f>IFERROR(__xludf.DUMMYFUNCTION("""COMPUTED_VALUE"""),"Houston")</f>
        <v>Houston</v>
      </c>
      <c r="C28" s="19">
        <f>IFERROR(__xludf.DUMMYFUNCTION("""COMPUTED_VALUE"""),7.6)</f>
        <v>7.6</v>
      </c>
      <c r="D28" s="19">
        <f>IFERROR(__xludf.DUMMYFUNCTION("""COMPUTED_VALUE"""),4.7)</f>
        <v>4.7</v>
      </c>
      <c r="E28" s="19">
        <f>IFERROR(__xludf.DUMMYFUNCTION("""COMPUTED_VALUE"""),5.0)</f>
        <v>5</v>
      </c>
      <c r="F28" s="19">
        <f>IFERROR(__xludf.DUMMYFUNCTION("""COMPUTED_VALUE"""),9.0)</f>
        <v>9</v>
      </c>
      <c r="G28" s="19">
        <f>IFERROR(__xludf.DUMMYFUNCTION("""COMPUTED_VALUE"""),6.3)</f>
        <v>6.3</v>
      </c>
      <c r="H28" s="19">
        <f>IFERROR(__xludf.DUMMYFUNCTION("""COMPUTED_VALUE"""),6.7)</f>
        <v>6.7</v>
      </c>
    </row>
    <row r="29">
      <c r="A29" s="17">
        <f>VLOOKUP(B29,map!B:C,2,false)</f>
        <v>3</v>
      </c>
      <c r="B29" s="18" t="str">
        <f>IFERROR(__xludf.DUMMYFUNCTION("""COMPUTED_VALUE"""),"Minnesota")</f>
        <v>Minnesota</v>
      </c>
      <c r="C29" s="19">
        <f>IFERROR(__xludf.DUMMYFUNCTION("""COMPUTED_VALUE"""),7.7)</f>
        <v>7.7</v>
      </c>
      <c r="D29" s="19">
        <f>IFERROR(__xludf.DUMMYFUNCTION("""COMPUTED_VALUE"""),9.3)</f>
        <v>9.3</v>
      </c>
      <c r="E29" s="19">
        <f>IFERROR(__xludf.DUMMYFUNCTION("""COMPUTED_VALUE"""),9.0)</f>
        <v>9</v>
      </c>
      <c r="F29" s="19">
        <f>IFERROR(__xludf.DUMMYFUNCTION("""COMPUTED_VALUE"""),6.7)</f>
        <v>6.7</v>
      </c>
      <c r="G29" s="19">
        <f>IFERROR(__xludf.DUMMYFUNCTION("""COMPUTED_VALUE"""),8.5)</f>
        <v>8.5</v>
      </c>
      <c r="H29" s="19">
        <f>IFERROR(__xludf.DUMMYFUNCTION("""COMPUTED_VALUE"""),5.2)</f>
        <v>5.2</v>
      </c>
    </row>
    <row r="30">
      <c r="A30" s="17">
        <f>VLOOKUP(B30,map!B:C,2,false)</f>
        <v>30</v>
      </c>
      <c r="B30" s="18" t="str">
        <f>IFERROR(__xludf.DUMMYFUNCTION("""COMPUTED_VALUE"""),"Baltimore")</f>
        <v>Baltimore</v>
      </c>
      <c r="C30" s="19">
        <f>IFERROR(__xludf.DUMMYFUNCTION("""COMPUTED_VALUE"""),7.9)</f>
        <v>7.9</v>
      </c>
      <c r="D30" s="19">
        <f>IFERROR(__xludf.DUMMYFUNCTION("""COMPUTED_VALUE"""),6.3)</f>
        <v>6.3</v>
      </c>
      <c r="E30" s="19">
        <f>IFERROR(__xludf.DUMMYFUNCTION("""COMPUTED_VALUE"""),7.0)</f>
        <v>7</v>
      </c>
      <c r="F30" s="19">
        <f>IFERROR(__xludf.DUMMYFUNCTION("""COMPUTED_VALUE"""),7.3)</f>
        <v>7.3</v>
      </c>
      <c r="G30" s="19">
        <f>IFERROR(__xludf.DUMMYFUNCTION("""COMPUTED_VALUE"""),8.2)</f>
        <v>8.2</v>
      </c>
      <c r="H30" s="19">
        <f>IFERROR(__xludf.DUMMYFUNCTION("""COMPUTED_VALUE"""),5.9)</f>
        <v>5.9</v>
      </c>
    </row>
    <row r="31">
      <c r="A31" s="17">
        <f>VLOOKUP(B31,map!B:C,2,false)</f>
        <v>13</v>
      </c>
      <c r="B31" s="18" t="str">
        <f>IFERROR(__xludf.DUMMYFUNCTION("""COMPUTED_VALUE"""),"Seattle")</f>
        <v>Seattle</v>
      </c>
      <c r="C31" s="19">
        <f>IFERROR(__xludf.DUMMYFUNCTION("""COMPUTED_VALUE"""),7.9)</f>
        <v>7.9</v>
      </c>
      <c r="D31" s="19">
        <f>IFERROR(__xludf.DUMMYFUNCTION("""COMPUTED_VALUE"""),8.3)</f>
        <v>8.3</v>
      </c>
      <c r="E31" s="19">
        <f>IFERROR(__xludf.DUMMYFUNCTION("""COMPUTED_VALUE"""),11.0)</f>
        <v>11</v>
      </c>
      <c r="F31" s="19">
        <f>IFERROR(__xludf.DUMMYFUNCTION("""COMPUTED_VALUE"""),8.6)</f>
        <v>8.6</v>
      </c>
      <c r="G31" s="19">
        <f>IFERROR(__xludf.DUMMYFUNCTION("""COMPUTED_VALUE"""),6.7)</f>
        <v>6.7</v>
      </c>
      <c r="H31" s="19">
        <f>IFERROR(__xludf.DUMMYFUNCTION("""COMPUTED_VALUE"""),6.5)</f>
        <v>6.5</v>
      </c>
    </row>
    <row r="32">
      <c r="A32" s="17">
        <f>VLOOKUP(B32,map!B:C,2,false)</f>
        <v>19</v>
      </c>
      <c r="B32" s="18" t="str">
        <f>IFERROR(__xludf.DUMMYFUNCTION("""COMPUTED_VALUE"""),"NY Jets")</f>
        <v>NY Jets</v>
      </c>
      <c r="C32" s="19">
        <f>IFERROR(__xludf.DUMMYFUNCTION("""COMPUTED_VALUE"""),7.9)</f>
        <v>7.9</v>
      </c>
      <c r="D32" s="19">
        <f>IFERROR(__xludf.DUMMYFUNCTION("""COMPUTED_VALUE"""),8.0)</f>
        <v>8</v>
      </c>
      <c r="E32" s="19">
        <f>IFERROR(__xludf.DUMMYFUNCTION("""COMPUTED_VALUE"""),8.0)</f>
        <v>8</v>
      </c>
      <c r="F32" s="19">
        <f>IFERROR(__xludf.DUMMYFUNCTION("""COMPUTED_VALUE"""),10.7)</f>
        <v>10.7</v>
      </c>
      <c r="G32" s="19">
        <f>IFERROR(__xludf.DUMMYFUNCTION("""COMPUTED_VALUE"""),6.2)</f>
        <v>6.2</v>
      </c>
      <c r="H32" s="19">
        <f>IFERROR(__xludf.DUMMYFUNCTION("""COMPUTED_VALUE"""),7.3)</f>
        <v>7.3</v>
      </c>
    </row>
    <row r="33">
      <c r="A33" s="17">
        <f>VLOOKUP(B33,map!B:C,2,false)</f>
        <v>16</v>
      </c>
      <c r="B33" s="18" t="str">
        <f>IFERROR(__xludf.DUMMYFUNCTION("""COMPUTED_VALUE"""),"Cleveland")</f>
        <v>Cleveland</v>
      </c>
      <c r="C33" s="19">
        <f>IFERROR(__xludf.DUMMYFUNCTION("""COMPUTED_VALUE"""),8.4)</f>
        <v>8.4</v>
      </c>
      <c r="D33" s="19">
        <f>IFERROR(__xludf.DUMMYFUNCTION("""COMPUTED_VALUE"""),8.0)</f>
        <v>8</v>
      </c>
      <c r="E33" s="19">
        <f>IFERROR(__xludf.DUMMYFUNCTION("""COMPUTED_VALUE"""),7.0)</f>
        <v>7</v>
      </c>
      <c r="F33" s="19">
        <f>IFERROR(__xludf.DUMMYFUNCTION("""COMPUTED_VALUE"""),8.3)</f>
        <v>8.3</v>
      </c>
      <c r="G33" s="19">
        <f>IFERROR(__xludf.DUMMYFUNCTION("""COMPUTED_VALUE"""),8.5)</f>
        <v>8.5</v>
      </c>
      <c r="H33" s="19">
        <f>IFERROR(__xludf.DUMMYFUNCTION("""COMPUTED_VALUE"""),6.6)</f>
        <v>6.6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3" t="str">
        <f>IFERROR(__xludf.DUMMYFUNCTION("IMPORTRANGE(""https://docs.google.com/spreadsheets/d/13MAhBT9K2M70JP2OISI4aettE0FK27CjAGHAew7TsAE/edit?gid=1671364351#gid=1671364351"",""odds!A1:L"")"),"game_id")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24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24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IFERROR(__xludf.DUMMYFUNCTION("""COMPUTED_VALUE"""),"totals")</f>
        <v>totals</v>
      </c>
      <c r="I2" s="4" t="str">
        <f>IFERROR(__xludf.DUMMYFUNCTION("""COMPUTED_VALUE"""),"Over")</f>
        <v>Over</v>
      </c>
      <c r="J2" s="4"/>
      <c r="K2" s="4">
        <f>IFERROR(__xludf.DUMMYFUNCTION("""COMPUTED_VALUE"""),-108.0)</f>
        <v>-108</v>
      </c>
      <c r="L2" s="4">
        <f>IFERROR(__xludf.DUMMYFUNCTION("""COMPUTED_VALUE"""),37.5)</f>
        <v>37.5</v>
      </c>
    </row>
    <row r="3">
      <c r="A3" s="4" t="str">
        <f>IFERROR(__xludf.DUMMYFUNCTION("""COMPUTED_VALUE"""),"86278ec4bbdcadd945d79df6c695c2ec")</f>
        <v>86278ec4bbdcadd945d79df6c695c2ec</v>
      </c>
      <c r="B3" s="24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24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IFERROR(__xludf.DUMMYFUNCTION("""COMPUTED_VALUE"""),"totals")</f>
        <v>totals</v>
      </c>
      <c r="I3" s="4" t="str">
        <f>IFERROR(__xludf.DUMMYFUNCTION("""COMPUTED_VALUE"""),"Under")</f>
        <v>Under</v>
      </c>
      <c r="J3" s="4"/>
      <c r="K3" s="4">
        <f>IFERROR(__xludf.DUMMYFUNCTION("""COMPUTED_VALUE"""),-112.0)</f>
        <v>-112</v>
      </c>
      <c r="L3" s="4">
        <f>IFERROR(__xludf.DUMMYFUNCTION("""COMPUTED_VALUE"""),37.5)</f>
        <v>37.5</v>
      </c>
    </row>
    <row r="4">
      <c r="A4" s="4" t="str">
        <f>IFERROR(__xludf.DUMMYFUNCTION("""COMPUTED_VALUE"""),"86278ec4bbdcadd945d79df6c695c2ec")</f>
        <v>86278ec4bbdcadd945d79df6c695c2ec</v>
      </c>
      <c r="B4" s="24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24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IFERROR(__xludf.DUMMYFUNCTION("""COMPUTED_VALUE"""),"totals")</f>
        <v>totals</v>
      </c>
      <c r="I4" s="4" t="str">
        <f>IFERROR(__xludf.DUMMYFUNCTION("""COMPUTED_VALUE"""),"Over")</f>
        <v>Over</v>
      </c>
      <c r="J4" s="4"/>
      <c r="K4" s="4">
        <f>IFERROR(__xludf.DUMMYFUNCTION("""COMPUTED_VALUE"""),-115.0)</f>
        <v>-115</v>
      </c>
      <c r="L4" s="4">
        <f>IFERROR(__xludf.DUMMYFUNCTION("""COMPUTED_VALUE"""),37.0)</f>
        <v>37</v>
      </c>
    </row>
    <row r="5">
      <c r="A5" s="4" t="str">
        <f>IFERROR(__xludf.DUMMYFUNCTION("""COMPUTED_VALUE"""),"86278ec4bbdcadd945d79df6c695c2ec")</f>
        <v>86278ec4bbdcadd945d79df6c695c2ec</v>
      </c>
      <c r="B5" s="24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24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IFERROR(__xludf.DUMMYFUNCTION("""COMPUTED_VALUE"""),"totals")</f>
        <v>totals</v>
      </c>
      <c r="I5" s="4" t="str">
        <f>IFERROR(__xludf.DUMMYFUNCTION("""COMPUTED_VALUE"""),"Under")</f>
        <v>Under</v>
      </c>
      <c r="J5" s="4"/>
      <c r="K5" s="4">
        <f>IFERROR(__xludf.DUMMYFUNCTION("""COMPUTED_VALUE"""),-105.0)</f>
        <v>-105</v>
      </c>
      <c r="L5" s="4">
        <f>IFERROR(__xludf.DUMMYFUNCTION("""COMPUTED_VALUE"""),37.0)</f>
        <v>37</v>
      </c>
    </row>
    <row r="6">
      <c r="A6" s="4" t="str">
        <f>IFERROR(__xludf.DUMMYFUNCTION("""COMPUTED_VALUE"""),"86278ec4bbdcadd945d79df6c695c2ec")</f>
        <v>86278ec4bbdcadd945d79df6c695c2ec</v>
      </c>
      <c r="B6" s="24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24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IFERROR(__xludf.DUMMYFUNCTION("""COMPUTED_VALUE"""),"totals")</f>
        <v>totals</v>
      </c>
      <c r="I6" s="4" t="str">
        <f>IFERROR(__xludf.DUMMYFUNCTION("""COMPUTED_VALUE"""),"Over")</f>
        <v>Over</v>
      </c>
      <c r="J6" s="4"/>
      <c r="K6" s="4">
        <f>IFERROR(__xludf.DUMMYFUNCTION("""COMPUTED_VALUE"""),-112.0)</f>
        <v>-112</v>
      </c>
      <c r="L6" s="4">
        <f>IFERROR(__xludf.DUMMYFUNCTION("""COMPUTED_VALUE"""),36.5)</f>
        <v>36.5</v>
      </c>
    </row>
    <row r="7">
      <c r="A7" s="4" t="str">
        <f>IFERROR(__xludf.DUMMYFUNCTION("""COMPUTED_VALUE"""),"86278ec4bbdcadd945d79df6c695c2ec")</f>
        <v>86278ec4bbdcadd945d79df6c695c2ec</v>
      </c>
      <c r="B7" s="24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24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IFERROR(__xludf.DUMMYFUNCTION("""COMPUTED_VALUE"""),"totals")</f>
        <v>totals</v>
      </c>
      <c r="I7" s="4" t="str">
        <f>IFERROR(__xludf.DUMMYFUNCTION("""COMPUTED_VALUE"""),"Under")</f>
        <v>Under</v>
      </c>
      <c r="J7" s="4"/>
      <c r="K7" s="4">
        <f>IFERROR(__xludf.DUMMYFUNCTION("""COMPUTED_VALUE"""),-108.0)</f>
        <v>-108</v>
      </c>
      <c r="L7" s="4">
        <f>IFERROR(__xludf.DUMMYFUNCTION("""COMPUTED_VALUE"""),36.5)</f>
        <v>36.5</v>
      </c>
    </row>
    <row r="8">
      <c r="A8" s="4" t="str">
        <f>IFERROR(__xludf.DUMMYFUNCTION("""COMPUTED_VALUE"""),"86278ec4bbdcadd945d79df6c695c2ec")</f>
        <v>86278ec4bbdcadd945d79df6c695c2ec</v>
      </c>
      <c r="B8" s="24">
        <f>IFERROR(__xludf.DUMMYFUNCTION("""COMPUTED_VALUE"""),45594.01041666667)</f>
        <v>45594.01042</v>
      </c>
      <c r="C8" s="4" t="b">
        <f>IFERROR(__xludf.DUMMYFUNCTION("""COMPUTED_VALUE"""),FALSE)</f>
        <v>0</v>
      </c>
      <c r="D8" s="25" t="str">
        <f>IFERROR(__xludf.DUMMYFUNCTION("""COMPUTED_VALUE"""),"MyBookie.ag")</f>
        <v>MyBookie.ag</v>
      </c>
      <c r="E8" s="24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IFERROR(__xludf.DUMMYFUNCTION("""COMPUTED_VALUE"""),"totals")</f>
        <v>totals</v>
      </c>
      <c r="I8" s="4" t="str">
        <f>IFERROR(__xludf.DUMMYFUNCTION("""COMPUTED_VALUE"""),"Over")</f>
        <v>Over</v>
      </c>
      <c r="J8" s="4"/>
      <c r="K8" s="4">
        <f>IFERROR(__xludf.DUMMYFUNCTION("""COMPUTED_VALUE"""),-110.0)</f>
        <v>-110</v>
      </c>
      <c r="L8" s="4">
        <f>IFERROR(__xludf.DUMMYFUNCTION("""COMPUTED_VALUE"""),37.0)</f>
        <v>37</v>
      </c>
    </row>
    <row r="9">
      <c r="A9" s="4" t="str">
        <f>IFERROR(__xludf.DUMMYFUNCTION("""COMPUTED_VALUE"""),"86278ec4bbdcadd945d79df6c695c2ec")</f>
        <v>86278ec4bbdcadd945d79df6c695c2ec</v>
      </c>
      <c r="B9" s="24">
        <f>IFERROR(__xludf.DUMMYFUNCTION("""COMPUTED_VALUE"""),45594.01041666667)</f>
        <v>45594.01042</v>
      </c>
      <c r="C9" s="4" t="b">
        <f>IFERROR(__xludf.DUMMYFUNCTION("""COMPUTED_VALUE"""),FALSE)</f>
        <v>0</v>
      </c>
      <c r="D9" s="25" t="str">
        <f>IFERROR(__xludf.DUMMYFUNCTION("""COMPUTED_VALUE"""),"MyBookie.ag")</f>
        <v>MyBookie.ag</v>
      </c>
      <c r="E9" s="24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IFERROR(__xludf.DUMMYFUNCTION("""COMPUTED_VALUE"""),"totals")</f>
        <v>totals</v>
      </c>
      <c r="I9" s="4" t="str">
        <f>IFERROR(__xludf.DUMMYFUNCTION("""COMPUTED_VALUE"""),"Under")</f>
        <v>Under</v>
      </c>
      <c r="J9" s="4"/>
      <c r="K9" s="4">
        <f>IFERROR(__xludf.DUMMYFUNCTION("""COMPUTED_VALUE"""),-110.0)</f>
        <v>-110</v>
      </c>
      <c r="L9" s="4">
        <f>IFERROR(__xludf.DUMMYFUNCTION("""COMPUTED_VALUE"""),37.0)</f>
        <v>37</v>
      </c>
    </row>
    <row r="10">
      <c r="A10" s="4" t="str">
        <f>IFERROR(__xludf.DUMMYFUNCTION("""COMPUTED_VALUE"""),"86278ec4bbdcadd945d79df6c695c2ec")</f>
        <v>86278ec4bbdcadd945d79df6c695c2ec</v>
      </c>
      <c r="B10" s="24">
        <f>IFERROR(__xludf.DUMMYFUNCTION("""COMPUTED_VALUE"""),45594.01041666667)</f>
        <v>45594.01042</v>
      </c>
      <c r="C10" s="4" t="b">
        <f>IFERROR(__xludf.DUMMYFUNCTION("""COMPUTED_VALUE"""),FALSE)</f>
        <v>0</v>
      </c>
      <c r="D10" s="25" t="str">
        <f>IFERROR(__xludf.DUMMYFUNCTION("""COMPUTED_VALUE"""),"BetOnline.ag")</f>
        <v>BetOnline.ag</v>
      </c>
      <c r="E10" s="24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IFERROR(__xludf.DUMMYFUNCTION("""COMPUTED_VALUE"""),"totals")</f>
        <v>totals</v>
      </c>
      <c r="I10" s="4" t="str">
        <f>IFERROR(__xludf.DUMMYFUNCTION("""COMPUTED_VALUE"""),"Over")</f>
        <v>Over</v>
      </c>
      <c r="J10" s="4"/>
      <c r="K10" s="4">
        <f>IFERROR(__xludf.DUMMYFUNCTION("""COMPUTED_VALUE"""),-110.0)</f>
        <v>-110</v>
      </c>
      <c r="L10" s="4">
        <f>IFERROR(__xludf.DUMMYFUNCTION("""COMPUTED_VALUE"""),37.0)</f>
        <v>37</v>
      </c>
    </row>
    <row r="11">
      <c r="A11" s="4" t="str">
        <f>IFERROR(__xludf.DUMMYFUNCTION("""COMPUTED_VALUE"""),"86278ec4bbdcadd945d79df6c695c2ec")</f>
        <v>86278ec4bbdcadd945d79df6c695c2ec</v>
      </c>
      <c r="B11" s="24">
        <f>IFERROR(__xludf.DUMMYFUNCTION("""COMPUTED_VALUE"""),45594.01041666667)</f>
        <v>45594.01042</v>
      </c>
      <c r="C11" s="4" t="b">
        <f>IFERROR(__xludf.DUMMYFUNCTION("""COMPUTED_VALUE"""),FALSE)</f>
        <v>0</v>
      </c>
      <c r="D11" s="25" t="str">
        <f>IFERROR(__xludf.DUMMYFUNCTION("""COMPUTED_VALUE"""),"BetOnline.ag")</f>
        <v>BetOnline.ag</v>
      </c>
      <c r="E11" s="24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IFERROR(__xludf.DUMMYFUNCTION("""COMPUTED_VALUE"""),"totals")</f>
        <v>totals</v>
      </c>
      <c r="I11" s="4" t="str">
        <f>IFERROR(__xludf.DUMMYFUNCTION("""COMPUTED_VALUE"""),"Under")</f>
        <v>Under</v>
      </c>
      <c r="J11" s="4"/>
      <c r="K11" s="4">
        <f>IFERROR(__xludf.DUMMYFUNCTION("""COMPUTED_VALUE"""),-110.0)</f>
        <v>-110</v>
      </c>
      <c r="L11" s="4">
        <f>IFERROR(__xludf.DUMMYFUNCTION("""COMPUTED_VALUE"""),37.0)</f>
        <v>37</v>
      </c>
    </row>
    <row r="12">
      <c r="A12" s="4" t="str">
        <f>IFERROR(__xludf.DUMMYFUNCTION("""COMPUTED_VALUE"""),"86278ec4bbdcadd945d79df6c695c2ec")</f>
        <v>86278ec4bbdcadd945d79df6c695c2ec</v>
      </c>
      <c r="B12" s="24">
        <f>IFERROR(__xludf.DUMMYFUNCTION("""COMPUTED_VALUE"""),45594.01041666667)</f>
        <v>45594.01042</v>
      </c>
      <c r="C12" s="4" t="b">
        <f>IFERROR(__xludf.DUMMYFUNCTION("""COMPUTED_VALUE"""),FALSE)</f>
        <v>0</v>
      </c>
      <c r="D12" s="25" t="str">
        <f>IFERROR(__xludf.DUMMYFUNCTION("""COMPUTED_VALUE"""),"LowVig.ag")</f>
        <v>LowVig.ag</v>
      </c>
      <c r="E12" s="24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IFERROR(__xludf.DUMMYFUNCTION("""COMPUTED_VALUE"""),"totals")</f>
        <v>totals</v>
      </c>
      <c r="I12" s="4" t="str">
        <f>IFERROR(__xludf.DUMMYFUNCTION("""COMPUTED_VALUE"""),"Over")</f>
        <v>Over</v>
      </c>
      <c r="J12" s="4"/>
      <c r="K12" s="4">
        <f>IFERROR(__xludf.DUMMYFUNCTION("""COMPUTED_VALUE"""),-110.0)</f>
        <v>-110</v>
      </c>
      <c r="L12" s="4">
        <f>IFERROR(__xludf.DUMMYFUNCTION("""COMPUTED_VALUE"""),37.0)</f>
        <v>37</v>
      </c>
    </row>
    <row r="13">
      <c r="A13" s="4" t="str">
        <f>IFERROR(__xludf.DUMMYFUNCTION("""COMPUTED_VALUE"""),"86278ec4bbdcadd945d79df6c695c2ec")</f>
        <v>86278ec4bbdcadd945d79df6c695c2ec</v>
      </c>
      <c r="B13" s="24">
        <f>IFERROR(__xludf.DUMMYFUNCTION("""COMPUTED_VALUE"""),45594.01041666667)</f>
        <v>45594.01042</v>
      </c>
      <c r="C13" s="4" t="b">
        <f>IFERROR(__xludf.DUMMYFUNCTION("""COMPUTED_VALUE"""),FALSE)</f>
        <v>0</v>
      </c>
      <c r="D13" s="25" t="str">
        <f>IFERROR(__xludf.DUMMYFUNCTION("""COMPUTED_VALUE"""),"LowVig.ag")</f>
        <v>LowVig.ag</v>
      </c>
      <c r="E13" s="24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IFERROR(__xludf.DUMMYFUNCTION("""COMPUTED_VALUE"""),"totals")</f>
        <v>totals</v>
      </c>
      <c r="I13" s="4" t="str">
        <f>IFERROR(__xludf.DUMMYFUNCTION("""COMPUTED_VALUE"""),"Under")</f>
        <v>Under</v>
      </c>
      <c r="J13" s="4"/>
      <c r="K13" s="4">
        <f>IFERROR(__xludf.DUMMYFUNCTION("""COMPUTED_VALUE"""),-104.0)</f>
        <v>-104</v>
      </c>
      <c r="L13" s="4">
        <f>IFERROR(__xludf.DUMMYFUNCTION("""COMPUTED_VALUE"""),37.0)</f>
        <v>37</v>
      </c>
    </row>
    <row r="14">
      <c r="A14" s="4" t="str">
        <f>IFERROR(__xludf.DUMMYFUNCTION("""COMPUTED_VALUE"""),"86278ec4bbdcadd945d79df6c695c2ec")</f>
        <v>86278ec4bbdcadd945d79df6c695c2ec</v>
      </c>
      <c r="B14" s="24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24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IFERROR(__xludf.DUMMYFUNCTION("""COMPUTED_VALUE"""),"totals")</f>
        <v>totals</v>
      </c>
      <c r="I14" s="4" t="str">
        <f>IFERROR(__xludf.DUMMYFUNCTION("""COMPUTED_VALUE"""),"Over")</f>
        <v>Over</v>
      </c>
      <c r="J14" s="4"/>
      <c r="K14" s="4">
        <f>IFERROR(__xludf.DUMMYFUNCTION("""COMPUTED_VALUE"""),-108.0)</f>
        <v>-108</v>
      </c>
      <c r="L14" s="4">
        <f>IFERROR(__xludf.DUMMYFUNCTION("""COMPUTED_VALUE"""),37.0)</f>
        <v>37</v>
      </c>
    </row>
    <row r="15">
      <c r="A15" s="4" t="str">
        <f>IFERROR(__xludf.DUMMYFUNCTION("""COMPUTED_VALUE"""),"86278ec4bbdcadd945d79df6c695c2ec")</f>
        <v>86278ec4bbdcadd945d79df6c695c2ec</v>
      </c>
      <c r="B15" s="24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24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IFERROR(__xludf.DUMMYFUNCTION("""COMPUTED_VALUE"""),"totals")</f>
        <v>totals</v>
      </c>
      <c r="I15" s="4" t="str">
        <f>IFERROR(__xludf.DUMMYFUNCTION("""COMPUTED_VALUE"""),"Under")</f>
        <v>Under</v>
      </c>
      <c r="J15" s="4"/>
      <c r="K15" s="4">
        <f>IFERROR(__xludf.DUMMYFUNCTION("""COMPUTED_VALUE"""),-113.0)</f>
        <v>-113</v>
      </c>
      <c r="L15" s="4">
        <f>IFERROR(__xludf.DUMMYFUNCTION("""COMPUTED_VALUE"""),37.0)</f>
        <v>37</v>
      </c>
    </row>
    <row r="16">
      <c r="A16" s="4" t="str">
        <f>IFERROR(__xludf.DUMMYFUNCTION("""COMPUTED_VALUE"""),"86278ec4bbdcadd945d79df6c695c2ec")</f>
        <v>86278ec4bbdcadd945d79df6c695c2ec</v>
      </c>
      <c r="B16" s="24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24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IFERROR(__xludf.DUMMYFUNCTION("""COMPUTED_VALUE"""),"totals")</f>
        <v>totals</v>
      </c>
      <c r="I16" s="4" t="str">
        <f>IFERROR(__xludf.DUMMYFUNCTION("""COMPUTED_VALUE"""),"Over")</f>
        <v>Over</v>
      </c>
      <c r="J16" s="4"/>
      <c r="K16" s="4">
        <f>IFERROR(__xludf.DUMMYFUNCTION("""COMPUTED_VALUE"""),-115.0)</f>
        <v>-115</v>
      </c>
      <c r="L16" s="4">
        <f>IFERROR(__xludf.DUMMYFUNCTION("""COMPUTED_VALUE"""),36.5)</f>
        <v>36.5</v>
      </c>
    </row>
    <row r="17">
      <c r="A17" s="4" t="str">
        <f>IFERROR(__xludf.DUMMYFUNCTION("""COMPUTED_VALUE"""),"86278ec4bbdcadd945d79df6c695c2ec")</f>
        <v>86278ec4bbdcadd945d79df6c695c2ec</v>
      </c>
      <c r="B17" s="24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24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IFERROR(__xludf.DUMMYFUNCTION("""COMPUTED_VALUE"""),"totals")</f>
        <v>totals</v>
      </c>
      <c r="I17" s="4" t="str">
        <f>IFERROR(__xludf.DUMMYFUNCTION("""COMPUTED_VALUE"""),"Under")</f>
        <v>Under</v>
      </c>
      <c r="J17" s="4"/>
      <c r="K17" s="4">
        <f>IFERROR(__xludf.DUMMYFUNCTION("""COMPUTED_VALUE"""),-105.0)</f>
        <v>-105</v>
      </c>
      <c r="L17" s="4">
        <f>IFERROR(__xludf.DUMMYFUNCTION("""COMPUTED_VALUE"""),36.5)</f>
        <v>36.5</v>
      </c>
    </row>
    <row r="18">
      <c r="A18" s="4" t="str">
        <f>IFERROR(__xludf.DUMMYFUNCTION("""COMPUTED_VALUE"""),"86278ec4bbdcadd945d79df6c695c2ec")</f>
        <v>86278ec4bbdcadd945d79df6c695c2ec</v>
      </c>
      <c r="B18" s="24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24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IFERROR(__xludf.DUMMYFUNCTION("""COMPUTED_VALUE"""),"totals")</f>
        <v>totals</v>
      </c>
      <c r="I18" s="4" t="str">
        <f>IFERROR(__xludf.DUMMYFUNCTION("""COMPUTED_VALUE"""),"Over")</f>
        <v>Over</v>
      </c>
      <c r="J18" s="4"/>
      <c r="K18" s="4">
        <f>IFERROR(__xludf.DUMMYFUNCTION("""COMPUTED_VALUE"""),-110.0)</f>
        <v>-110</v>
      </c>
      <c r="L18" s="4">
        <f>IFERROR(__xludf.DUMMYFUNCTION("""COMPUTED_VALUE"""),37.5)</f>
        <v>37.5</v>
      </c>
    </row>
    <row r="19">
      <c r="A19" s="4" t="str">
        <f>IFERROR(__xludf.DUMMYFUNCTION("""COMPUTED_VALUE"""),"86278ec4bbdcadd945d79df6c695c2ec")</f>
        <v>86278ec4bbdcadd945d79df6c695c2ec</v>
      </c>
      <c r="B19" s="24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24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IFERROR(__xludf.DUMMYFUNCTION("""COMPUTED_VALUE"""),"totals")</f>
        <v>totals</v>
      </c>
      <c r="I19" s="4" t="str">
        <f>IFERROR(__xludf.DUMMYFUNCTION("""COMPUTED_VALUE"""),"Under")</f>
        <v>Under</v>
      </c>
      <c r="J19" s="4"/>
      <c r="K19" s="4">
        <f>IFERROR(__xludf.DUMMYFUNCTION("""COMPUTED_VALUE"""),-110.0)</f>
        <v>-110</v>
      </c>
      <c r="L19" s="4">
        <f>IFERROR(__xludf.DUMMYFUNCTION("""COMPUTED_VALUE"""),37.5)</f>
        <v>37.5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IFERROR(__xludf.DUMMYFUNCTION("IMPORTRANGE(""https://docs.google.com/spreadsheets/d/13MAhBT9K2M70JP2OISI4aettE0FK27CjAGHAew7TsAE/edit?gid=917497601#gid=917497601"",""Sheet9!A1:L"")"),"game_id")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24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24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IFERROR(__xludf.DUMMYFUNCTION("""COMPUTED_VALUE"""),"spreads")</f>
        <v>spreads</v>
      </c>
      <c r="I2" s="4" t="str">
        <f>IFERROR(__xludf.DUMMYFUNCTION("""COMPUTED_VALUE"""),"New York Giants")</f>
        <v>New York Giants</v>
      </c>
      <c r="J2" s="4"/>
      <c r="K2" s="4">
        <f>IFERROR(__xludf.DUMMYFUNCTION("""COMPUTED_VALUE"""),-105.0)</f>
        <v>-105</v>
      </c>
      <c r="L2" s="4">
        <f>IFERROR(__xludf.DUMMYFUNCTION("""COMPUTED_VALUE"""),6.0)</f>
        <v>6</v>
      </c>
    </row>
    <row r="3">
      <c r="A3" s="4" t="str">
        <f>IFERROR(__xludf.DUMMYFUNCTION("""COMPUTED_VALUE"""),"86278ec4bbdcadd945d79df6c695c2ec")</f>
        <v>86278ec4bbdcadd945d79df6c695c2ec</v>
      </c>
      <c r="B3" s="24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24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IFERROR(__xludf.DUMMYFUNCTION("""COMPUTED_VALUE"""),"spreads")</f>
        <v>spreads</v>
      </c>
      <c r="I3" s="4" t="str">
        <f>IFERROR(__xludf.DUMMYFUNCTION("""COMPUTED_VALUE"""),"Pittsburgh Steelers")</f>
        <v>Pittsburgh Steelers</v>
      </c>
      <c r="J3" s="4"/>
      <c r="K3" s="4">
        <f>IFERROR(__xludf.DUMMYFUNCTION("""COMPUTED_VALUE"""),-115.0)</f>
        <v>-115</v>
      </c>
      <c r="L3" s="4">
        <f>IFERROR(__xludf.DUMMYFUNCTION("""COMPUTED_VALUE"""),-6.0)</f>
        <v>-6</v>
      </c>
    </row>
    <row r="4">
      <c r="A4" s="4" t="str">
        <f>IFERROR(__xludf.DUMMYFUNCTION("""COMPUTED_VALUE"""),"86278ec4bbdcadd945d79df6c695c2ec")</f>
        <v>86278ec4bbdcadd945d79df6c695c2ec</v>
      </c>
      <c r="B4" s="24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24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IFERROR(__xludf.DUMMYFUNCTION("""COMPUTED_VALUE"""),"spreads")</f>
        <v>spreads</v>
      </c>
      <c r="I4" s="4" t="str">
        <f>IFERROR(__xludf.DUMMYFUNCTION("""COMPUTED_VALUE"""),"New York Giants")</f>
        <v>New York Giants</v>
      </c>
      <c r="J4" s="4"/>
      <c r="K4" s="4">
        <f>IFERROR(__xludf.DUMMYFUNCTION("""COMPUTED_VALUE"""),-110.0)</f>
        <v>-110</v>
      </c>
      <c r="L4" s="4">
        <f>IFERROR(__xludf.DUMMYFUNCTION("""COMPUTED_VALUE"""),6.0)</f>
        <v>6</v>
      </c>
    </row>
    <row r="5">
      <c r="A5" s="4" t="str">
        <f>IFERROR(__xludf.DUMMYFUNCTION("""COMPUTED_VALUE"""),"86278ec4bbdcadd945d79df6c695c2ec")</f>
        <v>86278ec4bbdcadd945d79df6c695c2ec</v>
      </c>
      <c r="B5" s="24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24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IFERROR(__xludf.DUMMYFUNCTION("""COMPUTED_VALUE"""),"spreads")</f>
        <v>spreads</v>
      </c>
      <c r="I5" s="4" t="str">
        <f>IFERROR(__xludf.DUMMYFUNCTION("""COMPUTED_VALUE"""),"Pittsburgh Steelers")</f>
        <v>Pittsburgh Steelers</v>
      </c>
      <c r="J5" s="4"/>
      <c r="K5" s="4">
        <f>IFERROR(__xludf.DUMMYFUNCTION("""COMPUTED_VALUE"""),-110.0)</f>
        <v>-110</v>
      </c>
      <c r="L5" s="4">
        <f>IFERROR(__xludf.DUMMYFUNCTION("""COMPUTED_VALUE"""),-6.0)</f>
        <v>-6</v>
      </c>
    </row>
    <row r="6">
      <c r="A6" s="4" t="str">
        <f>IFERROR(__xludf.DUMMYFUNCTION("""COMPUTED_VALUE"""),"86278ec4bbdcadd945d79df6c695c2ec")</f>
        <v>86278ec4bbdcadd945d79df6c695c2ec</v>
      </c>
      <c r="B6" s="24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24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IFERROR(__xludf.DUMMYFUNCTION("""COMPUTED_VALUE"""),"spreads")</f>
        <v>spreads</v>
      </c>
      <c r="I6" s="4" t="str">
        <f>IFERROR(__xludf.DUMMYFUNCTION("""COMPUTED_VALUE"""),"New York Giants")</f>
        <v>New York Giants</v>
      </c>
      <c r="J6" s="4"/>
      <c r="K6" s="4">
        <f>IFERROR(__xludf.DUMMYFUNCTION("""COMPUTED_VALUE"""),-110.0)</f>
        <v>-110</v>
      </c>
      <c r="L6" s="4">
        <f>IFERROR(__xludf.DUMMYFUNCTION("""COMPUTED_VALUE"""),6.0)</f>
        <v>6</v>
      </c>
    </row>
    <row r="7">
      <c r="A7" s="4" t="str">
        <f>IFERROR(__xludf.DUMMYFUNCTION("""COMPUTED_VALUE"""),"86278ec4bbdcadd945d79df6c695c2ec")</f>
        <v>86278ec4bbdcadd945d79df6c695c2ec</v>
      </c>
      <c r="B7" s="24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24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IFERROR(__xludf.DUMMYFUNCTION("""COMPUTED_VALUE"""),"spreads")</f>
        <v>spreads</v>
      </c>
      <c r="I7" s="4" t="str">
        <f>IFERROR(__xludf.DUMMYFUNCTION("""COMPUTED_VALUE"""),"Pittsburgh Steelers")</f>
        <v>Pittsburgh Steelers</v>
      </c>
      <c r="J7" s="4"/>
      <c r="K7" s="4">
        <f>IFERROR(__xludf.DUMMYFUNCTION("""COMPUTED_VALUE"""),-110.0)</f>
        <v>-110</v>
      </c>
      <c r="L7" s="4">
        <f>IFERROR(__xludf.DUMMYFUNCTION("""COMPUTED_VALUE"""),-6.0)</f>
        <v>-6</v>
      </c>
    </row>
    <row r="8">
      <c r="A8" s="4" t="str">
        <f>IFERROR(__xludf.DUMMYFUNCTION("""COMPUTED_VALUE"""),"86278ec4bbdcadd945d79df6c695c2ec")</f>
        <v>86278ec4bbdcadd945d79df6c695c2ec</v>
      </c>
      <c r="B8" s="24">
        <f>IFERROR(__xludf.DUMMYFUNCTION("""COMPUTED_VALUE"""),45594.01041666667)</f>
        <v>45594.01042</v>
      </c>
      <c r="C8" s="4" t="b">
        <f>IFERROR(__xludf.DUMMYFUNCTION("""COMPUTED_VALUE"""),FALSE)</f>
        <v>0</v>
      </c>
      <c r="D8" s="25" t="str">
        <f>IFERROR(__xludf.DUMMYFUNCTION("""COMPUTED_VALUE"""),"MyBookie.ag")</f>
        <v>MyBookie.ag</v>
      </c>
      <c r="E8" s="24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IFERROR(__xludf.DUMMYFUNCTION("""COMPUTED_VALUE"""),"spreads")</f>
        <v>spreads</v>
      </c>
      <c r="I8" s="4" t="str">
        <f>IFERROR(__xludf.DUMMYFUNCTION("""COMPUTED_VALUE"""),"New York Giants")</f>
        <v>New York Giants</v>
      </c>
      <c r="J8" s="4"/>
      <c r="K8" s="4">
        <f>IFERROR(__xludf.DUMMYFUNCTION("""COMPUTED_VALUE"""),-110.0)</f>
        <v>-110</v>
      </c>
      <c r="L8" s="4">
        <f>IFERROR(__xludf.DUMMYFUNCTION("""COMPUTED_VALUE"""),6.0)</f>
        <v>6</v>
      </c>
    </row>
    <row r="9">
      <c r="A9" s="4" t="str">
        <f>IFERROR(__xludf.DUMMYFUNCTION("""COMPUTED_VALUE"""),"86278ec4bbdcadd945d79df6c695c2ec")</f>
        <v>86278ec4bbdcadd945d79df6c695c2ec</v>
      </c>
      <c r="B9" s="24">
        <f>IFERROR(__xludf.DUMMYFUNCTION("""COMPUTED_VALUE"""),45594.01041666667)</f>
        <v>45594.01042</v>
      </c>
      <c r="C9" s="4" t="b">
        <f>IFERROR(__xludf.DUMMYFUNCTION("""COMPUTED_VALUE"""),FALSE)</f>
        <v>0</v>
      </c>
      <c r="D9" s="25" t="str">
        <f>IFERROR(__xludf.DUMMYFUNCTION("""COMPUTED_VALUE"""),"MyBookie.ag")</f>
        <v>MyBookie.ag</v>
      </c>
      <c r="E9" s="24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IFERROR(__xludf.DUMMYFUNCTION("""COMPUTED_VALUE"""),"spreads")</f>
        <v>spreads</v>
      </c>
      <c r="I9" s="4" t="str">
        <f>IFERROR(__xludf.DUMMYFUNCTION("""COMPUTED_VALUE"""),"Pittsburgh Steelers")</f>
        <v>Pittsburgh Steelers</v>
      </c>
      <c r="J9" s="4"/>
      <c r="K9" s="4">
        <f>IFERROR(__xludf.DUMMYFUNCTION("""COMPUTED_VALUE"""),-110.0)</f>
        <v>-110</v>
      </c>
      <c r="L9" s="4">
        <f>IFERROR(__xludf.DUMMYFUNCTION("""COMPUTED_VALUE"""),-6.0)</f>
        <v>-6</v>
      </c>
    </row>
    <row r="10">
      <c r="A10" s="4" t="str">
        <f>IFERROR(__xludf.DUMMYFUNCTION("""COMPUTED_VALUE"""),"86278ec4bbdcadd945d79df6c695c2ec")</f>
        <v>86278ec4bbdcadd945d79df6c695c2ec</v>
      </c>
      <c r="B10" s="24">
        <f>IFERROR(__xludf.DUMMYFUNCTION("""COMPUTED_VALUE"""),45594.01041666667)</f>
        <v>45594.01042</v>
      </c>
      <c r="C10" s="4" t="b">
        <f>IFERROR(__xludf.DUMMYFUNCTION("""COMPUTED_VALUE"""),FALSE)</f>
        <v>0</v>
      </c>
      <c r="D10" s="25" t="str">
        <f>IFERROR(__xludf.DUMMYFUNCTION("""COMPUTED_VALUE"""),"BetOnline.ag")</f>
        <v>BetOnline.ag</v>
      </c>
      <c r="E10" s="24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IFERROR(__xludf.DUMMYFUNCTION("""COMPUTED_VALUE"""),"spreads")</f>
        <v>spreads</v>
      </c>
      <c r="I10" s="4" t="str">
        <f>IFERROR(__xludf.DUMMYFUNCTION("""COMPUTED_VALUE"""),"New York Giants")</f>
        <v>New York Giants</v>
      </c>
      <c r="J10" s="4"/>
      <c r="K10" s="4">
        <f>IFERROR(__xludf.DUMMYFUNCTION("""COMPUTED_VALUE"""),-110.0)</f>
        <v>-110</v>
      </c>
      <c r="L10" s="4">
        <f>IFERROR(__xludf.DUMMYFUNCTION("""COMPUTED_VALUE"""),6.0)</f>
        <v>6</v>
      </c>
    </row>
    <row r="11">
      <c r="A11" s="4" t="str">
        <f>IFERROR(__xludf.DUMMYFUNCTION("""COMPUTED_VALUE"""),"86278ec4bbdcadd945d79df6c695c2ec")</f>
        <v>86278ec4bbdcadd945d79df6c695c2ec</v>
      </c>
      <c r="B11" s="24">
        <f>IFERROR(__xludf.DUMMYFUNCTION("""COMPUTED_VALUE"""),45594.01041666667)</f>
        <v>45594.01042</v>
      </c>
      <c r="C11" s="4" t="b">
        <f>IFERROR(__xludf.DUMMYFUNCTION("""COMPUTED_VALUE"""),FALSE)</f>
        <v>0</v>
      </c>
      <c r="D11" s="25" t="str">
        <f>IFERROR(__xludf.DUMMYFUNCTION("""COMPUTED_VALUE"""),"BetOnline.ag")</f>
        <v>BetOnline.ag</v>
      </c>
      <c r="E11" s="24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IFERROR(__xludf.DUMMYFUNCTION("""COMPUTED_VALUE"""),"spreads")</f>
        <v>spreads</v>
      </c>
      <c r="I11" s="4" t="str">
        <f>IFERROR(__xludf.DUMMYFUNCTION("""COMPUTED_VALUE"""),"Pittsburgh Steelers")</f>
        <v>Pittsburgh Steelers</v>
      </c>
      <c r="J11" s="4"/>
      <c r="K11" s="4">
        <f>IFERROR(__xludf.DUMMYFUNCTION("""COMPUTED_VALUE"""),-110.0)</f>
        <v>-110</v>
      </c>
      <c r="L11" s="4">
        <f>IFERROR(__xludf.DUMMYFUNCTION("""COMPUTED_VALUE"""),-6.0)</f>
        <v>-6</v>
      </c>
    </row>
    <row r="12">
      <c r="A12" s="4" t="str">
        <f>IFERROR(__xludf.DUMMYFUNCTION("""COMPUTED_VALUE"""),"86278ec4bbdcadd945d79df6c695c2ec")</f>
        <v>86278ec4bbdcadd945d79df6c695c2ec</v>
      </c>
      <c r="B12" s="24">
        <f>IFERROR(__xludf.DUMMYFUNCTION("""COMPUTED_VALUE"""),45594.01041666667)</f>
        <v>45594.01042</v>
      </c>
      <c r="C12" s="4" t="b">
        <f>IFERROR(__xludf.DUMMYFUNCTION("""COMPUTED_VALUE"""),FALSE)</f>
        <v>0</v>
      </c>
      <c r="D12" s="25" t="str">
        <f>IFERROR(__xludf.DUMMYFUNCTION("""COMPUTED_VALUE"""),"LowVig.ag")</f>
        <v>LowVig.ag</v>
      </c>
      <c r="E12" s="24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IFERROR(__xludf.DUMMYFUNCTION("""COMPUTED_VALUE"""),"spreads")</f>
        <v>spreads</v>
      </c>
      <c r="I12" s="4" t="str">
        <f>IFERROR(__xludf.DUMMYFUNCTION("""COMPUTED_VALUE"""),"New York Giants")</f>
        <v>New York Giants</v>
      </c>
      <c r="J12" s="4"/>
      <c r="K12" s="4">
        <f>IFERROR(__xludf.DUMMYFUNCTION("""COMPUTED_VALUE"""),-103.0)</f>
        <v>-103</v>
      </c>
      <c r="L12" s="4">
        <f>IFERROR(__xludf.DUMMYFUNCTION("""COMPUTED_VALUE"""),6.0)</f>
        <v>6</v>
      </c>
    </row>
    <row r="13">
      <c r="A13" s="4" t="str">
        <f>IFERROR(__xludf.DUMMYFUNCTION("""COMPUTED_VALUE"""),"86278ec4bbdcadd945d79df6c695c2ec")</f>
        <v>86278ec4bbdcadd945d79df6c695c2ec</v>
      </c>
      <c r="B13" s="24">
        <f>IFERROR(__xludf.DUMMYFUNCTION("""COMPUTED_VALUE"""),45594.01041666667)</f>
        <v>45594.01042</v>
      </c>
      <c r="C13" s="4" t="b">
        <f>IFERROR(__xludf.DUMMYFUNCTION("""COMPUTED_VALUE"""),FALSE)</f>
        <v>0</v>
      </c>
      <c r="D13" s="25" t="str">
        <f>IFERROR(__xludf.DUMMYFUNCTION("""COMPUTED_VALUE"""),"LowVig.ag")</f>
        <v>LowVig.ag</v>
      </c>
      <c r="E13" s="24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IFERROR(__xludf.DUMMYFUNCTION("""COMPUTED_VALUE"""),"spreads")</f>
        <v>spreads</v>
      </c>
      <c r="I13" s="4" t="str">
        <f>IFERROR(__xludf.DUMMYFUNCTION("""COMPUTED_VALUE"""),"Pittsburgh Steelers")</f>
        <v>Pittsburgh Steelers</v>
      </c>
      <c r="J13" s="4"/>
      <c r="K13" s="4">
        <f>IFERROR(__xludf.DUMMYFUNCTION("""COMPUTED_VALUE"""),-107.0)</f>
        <v>-107</v>
      </c>
      <c r="L13" s="4">
        <f>IFERROR(__xludf.DUMMYFUNCTION("""COMPUTED_VALUE"""),-6.0)</f>
        <v>-6</v>
      </c>
    </row>
    <row r="14">
      <c r="A14" s="4" t="str">
        <f>IFERROR(__xludf.DUMMYFUNCTION("""COMPUTED_VALUE"""),"86278ec4bbdcadd945d79df6c695c2ec")</f>
        <v>86278ec4bbdcadd945d79df6c695c2ec</v>
      </c>
      <c r="B14" s="24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24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IFERROR(__xludf.DUMMYFUNCTION("""COMPUTED_VALUE"""),"spreads")</f>
        <v>spreads</v>
      </c>
      <c r="I14" s="4" t="str">
        <f>IFERROR(__xludf.DUMMYFUNCTION("""COMPUTED_VALUE"""),"New York Giants")</f>
        <v>New York Giants</v>
      </c>
      <c r="J14" s="4"/>
      <c r="K14" s="4">
        <f>IFERROR(__xludf.DUMMYFUNCTION("""COMPUTED_VALUE"""),-112.0)</f>
        <v>-112</v>
      </c>
      <c r="L14" s="4">
        <f>IFERROR(__xludf.DUMMYFUNCTION("""COMPUTED_VALUE"""),6.0)</f>
        <v>6</v>
      </c>
    </row>
    <row r="15">
      <c r="A15" s="4" t="str">
        <f>IFERROR(__xludf.DUMMYFUNCTION("""COMPUTED_VALUE"""),"86278ec4bbdcadd945d79df6c695c2ec")</f>
        <v>86278ec4bbdcadd945d79df6c695c2ec</v>
      </c>
      <c r="B15" s="24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24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IFERROR(__xludf.DUMMYFUNCTION("""COMPUTED_VALUE"""),"spreads")</f>
        <v>spreads</v>
      </c>
      <c r="I15" s="4" t="str">
        <f>IFERROR(__xludf.DUMMYFUNCTION("""COMPUTED_VALUE"""),"Pittsburgh Steelers")</f>
        <v>Pittsburgh Steelers</v>
      </c>
      <c r="J15" s="4"/>
      <c r="K15" s="4">
        <f>IFERROR(__xludf.DUMMYFUNCTION("""COMPUTED_VALUE"""),-109.0)</f>
        <v>-109</v>
      </c>
      <c r="L15" s="4">
        <f>IFERROR(__xludf.DUMMYFUNCTION("""COMPUTED_VALUE"""),-6.0)</f>
        <v>-6</v>
      </c>
    </row>
    <row r="16">
      <c r="A16" s="4" t="str">
        <f>IFERROR(__xludf.DUMMYFUNCTION("""COMPUTED_VALUE"""),"86278ec4bbdcadd945d79df6c695c2ec")</f>
        <v>86278ec4bbdcadd945d79df6c695c2ec</v>
      </c>
      <c r="B16" s="24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24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IFERROR(__xludf.DUMMYFUNCTION("""COMPUTED_VALUE"""),"spreads")</f>
        <v>spreads</v>
      </c>
      <c r="I16" s="4" t="str">
        <f>IFERROR(__xludf.DUMMYFUNCTION("""COMPUTED_VALUE"""),"New York Giants")</f>
        <v>New York Giants</v>
      </c>
      <c r="J16" s="4"/>
      <c r="K16" s="4">
        <f>IFERROR(__xludf.DUMMYFUNCTION("""COMPUTED_VALUE"""),-110.0)</f>
        <v>-110</v>
      </c>
      <c r="L16" s="4">
        <f>IFERROR(__xludf.DUMMYFUNCTION("""COMPUTED_VALUE"""),6.0)</f>
        <v>6</v>
      </c>
    </row>
    <row r="17">
      <c r="A17" s="4" t="str">
        <f>IFERROR(__xludf.DUMMYFUNCTION("""COMPUTED_VALUE"""),"86278ec4bbdcadd945d79df6c695c2ec")</f>
        <v>86278ec4bbdcadd945d79df6c695c2ec</v>
      </c>
      <c r="B17" s="24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24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IFERROR(__xludf.DUMMYFUNCTION("""COMPUTED_VALUE"""),"spreads")</f>
        <v>spreads</v>
      </c>
      <c r="I17" s="4" t="str">
        <f>IFERROR(__xludf.DUMMYFUNCTION("""COMPUTED_VALUE"""),"Pittsburgh Steelers")</f>
        <v>Pittsburgh Steelers</v>
      </c>
      <c r="J17" s="4"/>
      <c r="K17" s="4">
        <f>IFERROR(__xludf.DUMMYFUNCTION("""COMPUTED_VALUE"""),-110.0)</f>
        <v>-110</v>
      </c>
      <c r="L17" s="4">
        <f>IFERROR(__xludf.DUMMYFUNCTION("""COMPUTED_VALUE"""),-6.0)</f>
        <v>-6</v>
      </c>
    </row>
    <row r="18">
      <c r="A18" s="4" t="str">
        <f>IFERROR(__xludf.DUMMYFUNCTION("""COMPUTED_VALUE"""),"86278ec4bbdcadd945d79df6c695c2ec")</f>
        <v>86278ec4bbdcadd945d79df6c695c2ec</v>
      </c>
      <c r="B18" s="24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24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IFERROR(__xludf.DUMMYFUNCTION("""COMPUTED_VALUE"""),"spreads")</f>
        <v>spreads</v>
      </c>
      <c r="I18" s="4" t="str">
        <f>IFERROR(__xludf.DUMMYFUNCTION("""COMPUTED_VALUE"""),"New York Giants")</f>
        <v>New York Giants</v>
      </c>
      <c r="J18" s="4"/>
      <c r="K18" s="4">
        <f>IFERROR(__xludf.DUMMYFUNCTION("""COMPUTED_VALUE"""),-110.0)</f>
        <v>-110</v>
      </c>
      <c r="L18" s="4">
        <f>IFERROR(__xludf.DUMMYFUNCTION("""COMPUTED_VALUE"""),6.0)</f>
        <v>6</v>
      </c>
    </row>
    <row r="19">
      <c r="A19" s="4" t="str">
        <f>IFERROR(__xludf.DUMMYFUNCTION("""COMPUTED_VALUE"""),"86278ec4bbdcadd945d79df6c695c2ec")</f>
        <v>86278ec4bbdcadd945d79df6c695c2ec</v>
      </c>
      <c r="B19" s="24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24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IFERROR(__xludf.DUMMYFUNCTION("""COMPUTED_VALUE"""),"spreads")</f>
        <v>spreads</v>
      </c>
      <c r="I19" s="4" t="str">
        <f>IFERROR(__xludf.DUMMYFUNCTION("""COMPUTED_VALUE"""),"Pittsburgh Steelers")</f>
        <v>Pittsburgh Steelers</v>
      </c>
      <c r="J19" s="4"/>
      <c r="K19" s="4">
        <f>IFERROR(__xludf.DUMMYFUNCTION("""COMPUTED_VALUE"""),-110.0)</f>
        <v>-110</v>
      </c>
      <c r="L19" s="4">
        <f>IFERROR(__xludf.DUMMYFUNCTION("""COMPUTED_VALUE"""),-6.0)</f>
        <v>-6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>
        <v>1.0</v>
      </c>
      <c r="B1" s="27" t="s">
        <v>61</v>
      </c>
      <c r="C1" s="26">
        <v>1.0</v>
      </c>
      <c r="D1" s="27" t="s">
        <v>62</v>
      </c>
      <c r="E1" s="26">
        <v>1.0</v>
      </c>
    </row>
    <row r="2">
      <c r="A2" s="26">
        <v>2.0</v>
      </c>
      <c r="B2" s="27" t="s">
        <v>63</v>
      </c>
      <c r="C2" s="26">
        <v>2.0</v>
      </c>
      <c r="D2" s="27" t="s">
        <v>64</v>
      </c>
      <c r="E2" s="26">
        <v>2.0</v>
      </c>
    </row>
    <row r="3">
      <c r="A3" s="26">
        <v>3.0</v>
      </c>
      <c r="B3" s="27" t="s">
        <v>65</v>
      </c>
      <c r="C3" s="26">
        <v>3.0</v>
      </c>
      <c r="D3" s="27" t="s">
        <v>66</v>
      </c>
      <c r="E3" s="26">
        <v>3.0</v>
      </c>
    </row>
    <row r="4">
      <c r="A4" s="26">
        <v>4.0</v>
      </c>
      <c r="B4" s="27" t="s">
        <v>67</v>
      </c>
      <c r="C4" s="26">
        <v>4.0</v>
      </c>
      <c r="D4" s="27" t="s">
        <v>68</v>
      </c>
      <c r="E4" s="26">
        <v>4.0</v>
      </c>
    </row>
    <row r="5">
      <c r="A5" s="26">
        <v>5.0</v>
      </c>
      <c r="B5" s="27" t="s">
        <v>69</v>
      </c>
      <c r="C5" s="26">
        <v>5.0</v>
      </c>
      <c r="D5" s="27" t="s">
        <v>70</v>
      </c>
      <c r="E5" s="26">
        <v>5.0</v>
      </c>
    </row>
    <row r="6">
      <c r="A6" s="26">
        <v>6.0</v>
      </c>
      <c r="B6" s="27" t="s">
        <v>71</v>
      </c>
      <c r="C6" s="26">
        <v>6.0</v>
      </c>
      <c r="D6" s="27" t="s">
        <v>72</v>
      </c>
      <c r="E6" s="26">
        <v>6.0</v>
      </c>
    </row>
    <row r="7">
      <c r="A7" s="26">
        <v>7.0</v>
      </c>
      <c r="B7" s="27" t="s">
        <v>73</v>
      </c>
      <c r="C7" s="26">
        <v>7.0</v>
      </c>
      <c r="D7" s="27" t="s">
        <v>74</v>
      </c>
      <c r="E7" s="26">
        <v>7.0</v>
      </c>
    </row>
    <row r="8">
      <c r="A8" s="26">
        <v>8.0</v>
      </c>
      <c r="B8" s="27" t="s">
        <v>75</v>
      </c>
      <c r="C8" s="26">
        <v>8.0</v>
      </c>
      <c r="D8" s="27" t="s">
        <v>76</v>
      </c>
      <c r="E8" s="26">
        <v>8.0</v>
      </c>
    </row>
    <row r="9">
      <c r="A9" s="26">
        <v>9.0</v>
      </c>
      <c r="B9" s="27" t="s">
        <v>77</v>
      </c>
      <c r="C9" s="26">
        <v>9.0</v>
      </c>
      <c r="D9" s="27" t="s">
        <v>78</v>
      </c>
      <c r="E9" s="26">
        <v>9.0</v>
      </c>
    </row>
    <row r="10">
      <c r="A10" s="26">
        <v>10.0</v>
      </c>
      <c r="B10" s="27" t="s">
        <v>79</v>
      </c>
      <c r="C10" s="26">
        <v>10.0</v>
      </c>
      <c r="D10" s="27" t="s">
        <v>80</v>
      </c>
      <c r="E10" s="26">
        <v>10.0</v>
      </c>
    </row>
    <row r="11">
      <c r="A11" s="26">
        <v>11.0</v>
      </c>
      <c r="B11" s="27" t="s">
        <v>81</v>
      </c>
      <c r="C11" s="26">
        <v>11.0</v>
      </c>
      <c r="D11" s="27" t="s">
        <v>82</v>
      </c>
      <c r="E11" s="26">
        <v>11.0</v>
      </c>
    </row>
    <row r="12">
      <c r="A12" s="26">
        <v>12.0</v>
      </c>
      <c r="B12" s="27" t="s">
        <v>83</v>
      </c>
      <c r="C12" s="26">
        <v>12.0</v>
      </c>
      <c r="D12" s="27" t="s">
        <v>84</v>
      </c>
      <c r="E12" s="26">
        <v>12.0</v>
      </c>
    </row>
    <row r="13">
      <c r="A13" s="26">
        <v>13.0</v>
      </c>
      <c r="B13" s="27" t="s">
        <v>85</v>
      </c>
      <c r="C13" s="26">
        <v>13.0</v>
      </c>
      <c r="D13" s="27" t="s">
        <v>86</v>
      </c>
      <c r="E13" s="26">
        <v>13.0</v>
      </c>
    </row>
    <row r="14">
      <c r="A14" s="26">
        <v>14.0</v>
      </c>
      <c r="B14" s="27" t="s">
        <v>87</v>
      </c>
      <c r="C14" s="26">
        <v>14.0</v>
      </c>
      <c r="D14" s="27" t="s">
        <v>88</v>
      </c>
      <c r="E14" s="26">
        <v>14.0</v>
      </c>
    </row>
    <row r="15">
      <c r="A15" s="26">
        <v>15.0</v>
      </c>
      <c r="B15" s="27" t="s">
        <v>89</v>
      </c>
      <c r="C15" s="26">
        <v>15.0</v>
      </c>
      <c r="D15" s="27" t="s">
        <v>90</v>
      </c>
      <c r="E15" s="26">
        <v>15.0</v>
      </c>
    </row>
    <row r="16">
      <c r="A16" s="26">
        <v>16.0</v>
      </c>
      <c r="B16" s="27" t="s">
        <v>91</v>
      </c>
      <c r="C16" s="26">
        <v>16.0</v>
      </c>
      <c r="D16" s="27" t="s">
        <v>92</v>
      </c>
      <c r="E16" s="26">
        <v>16.0</v>
      </c>
    </row>
    <row r="17">
      <c r="A17" s="26">
        <v>17.0</v>
      </c>
      <c r="B17" s="27" t="s">
        <v>93</v>
      </c>
      <c r="C17" s="26">
        <v>17.0</v>
      </c>
      <c r="D17" s="27" t="s">
        <v>94</v>
      </c>
      <c r="E17" s="26">
        <v>17.0</v>
      </c>
    </row>
    <row r="18">
      <c r="A18" s="26">
        <v>18.0</v>
      </c>
      <c r="B18" s="27" t="s">
        <v>95</v>
      </c>
      <c r="C18" s="26">
        <v>18.0</v>
      </c>
      <c r="D18" s="27" t="s">
        <v>96</v>
      </c>
      <c r="E18" s="26">
        <v>18.0</v>
      </c>
    </row>
    <row r="19">
      <c r="A19" s="26">
        <v>19.0</v>
      </c>
      <c r="B19" s="27" t="s">
        <v>97</v>
      </c>
      <c r="C19" s="26">
        <v>19.0</v>
      </c>
      <c r="D19" s="27" t="s">
        <v>98</v>
      </c>
      <c r="E19" s="26">
        <v>19.0</v>
      </c>
    </row>
    <row r="20">
      <c r="A20" s="26">
        <v>20.0</v>
      </c>
      <c r="B20" s="27" t="s">
        <v>99</v>
      </c>
      <c r="C20" s="26">
        <v>20.0</v>
      </c>
      <c r="D20" s="27" t="s">
        <v>100</v>
      </c>
      <c r="E20" s="26">
        <v>20.0</v>
      </c>
    </row>
    <row r="21">
      <c r="A21" s="26">
        <v>21.0</v>
      </c>
      <c r="B21" s="27" t="s">
        <v>101</v>
      </c>
      <c r="C21" s="26">
        <v>21.0</v>
      </c>
      <c r="D21" s="27" t="s">
        <v>102</v>
      </c>
      <c r="E21" s="26">
        <v>21.0</v>
      </c>
    </row>
    <row r="22">
      <c r="A22" s="26">
        <v>22.0</v>
      </c>
      <c r="B22" s="27" t="s">
        <v>103</v>
      </c>
      <c r="C22" s="26">
        <v>22.0</v>
      </c>
      <c r="D22" s="27" t="s">
        <v>104</v>
      </c>
      <c r="E22" s="26">
        <v>22.0</v>
      </c>
    </row>
    <row r="23">
      <c r="A23" s="26">
        <v>23.0</v>
      </c>
      <c r="B23" s="27" t="s">
        <v>105</v>
      </c>
      <c r="C23" s="26">
        <v>23.0</v>
      </c>
      <c r="D23" s="27" t="s">
        <v>106</v>
      </c>
      <c r="E23" s="26">
        <v>23.0</v>
      </c>
    </row>
    <row r="24">
      <c r="A24" s="26">
        <v>24.0</v>
      </c>
      <c r="B24" s="27" t="s">
        <v>107</v>
      </c>
      <c r="C24" s="26">
        <v>24.0</v>
      </c>
      <c r="D24" s="27" t="s">
        <v>108</v>
      </c>
      <c r="E24" s="26">
        <v>24.0</v>
      </c>
    </row>
    <row r="25">
      <c r="A25" s="26">
        <v>25.0</v>
      </c>
      <c r="B25" s="27" t="s">
        <v>109</v>
      </c>
      <c r="C25" s="26">
        <v>25.0</v>
      </c>
      <c r="D25" s="27" t="s">
        <v>110</v>
      </c>
      <c r="E25" s="26">
        <v>25.0</v>
      </c>
    </row>
    <row r="26">
      <c r="A26" s="26">
        <v>26.0</v>
      </c>
      <c r="B26" s="27" t="s">
        <v>111</v>
      </c>
      <c r="C26" s="26">
        <v>26.0</v>
      </c>
      <c r="D26" s="27" t="s">
        <v>112</v>
      </c>
      <c r="E26" s="26">
        <v>26.0</v>
      </c>
    </row>
    <row r="27">
      <c r="A27" s="26">
        <v>27.0</v>
      </c>
      <c r="B27" s="27" t="s">
        <v>113</v>
      </c>
      <c r="C27" s="26">
        <v>27.0</v>
      </c>
      <c r="D27" s="27" t="s">
        <v>114</v>
      </c>
      <c r="E27" s="26">
        <v>27.0</v>
      </c>
    </row>
    <row r="28">
      <c r="A28" s="26">
        <v>28.0</v>
      </c>
      <c r="B28" s="27" t="s">
        <v>115</v>
      </c>
      <c r="C28" s="26">
        <v>28.0</v>
      </c>
      <c r="D28" s="27" t="s">
        <v>116</v>
      </c>
      <c r="E28" s="26">
        <v>28.0</v>
      </c>
    </row>
    <row r="29">
      <c r="A29" s="26">
        <v>29.0</v>
      </c>
      <c r="B29" s="27" t="s">
        <v>117</v>
      </c>
      <c r="C29" s="26">
        <v>29.0</v>
      </c>
      <c r="D29" s="27" t="s">
        <v>118</v>
      </c>
      <c r="E29" s="26">
        <v>29.0</v>
      </c>
    </row>
    <row r="30">
      <c r="A30" s="26">
        <v>30.0</v>
      </c>
      <c r="B30" s="27" t="s">
        <v>119</v>
      </c>
      <c r="C30" s="26">
        <v>30.0</v>
      </c>
      <c r="D30" s="27" t="s">
        <v>120</v>
      </c>
      <c r="E30" s="26">
        <v>30.0</v>
      </c>
    </row>
    <row r="31">
      <c r="A31" s="26">
        <v>31.0</v>
      </c>
      <c r="B31" s="27" t="s">
        <v>121</v>
      </c>
      <c r="C31" s="26">
        <v>31.0</v>
      </c>
      <c r="D31" s="27" t="s">
        <v>122</v>
      </c>
      <c r="E31" s="26">
        <v>31.0</v>
      </c>
    </row>
    <row r="32">
      <c r="A32" s="26">
        <v>32.0</v>
      </c>
      <c r="B32" s="27" t="s">
        <v>123</v>
      </c>
      <c r="C32" s="26">
        <v>32.0</v>
      </c>
      <c r="D32" s="27" t="s">
        <v>124</v>
      </c>
      <c r="E32" s="26">
        <v>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2.57"/>
    <col customWidth="1" min="3" max="3" width="7.43"/>
    <col customWidth="1" min="4" max="4" width="12.14"/>
    <col customWidth="1" min="5" max="5" width="21.86"/>
    <col customWidth="1" min="6" max="6" width="9.57"/>
    <col customWidth="1" min="7" max="7" width="10.29"/>
    <col customWidth="1" min="8" max="8" width="13.29"/>
    <col customWidth="1" min="9" max="9" width="16.14"/>
    <col customWidth="1" min="10" max="10" width="16.29"/>
    <col customWidth="1" min="11" max="27" width="8.71"/>
  </cols>
  <sheetData>
    <row r="1">
      <c r="A1" s="9" t="s">
        <v>15</v>
      </c>
      <c r="B1" s="10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11" t="s">
        <v>24</v>
      </c>
      <c r="K1" s="1" t="s">
        <v>25</v>
      </c>
    </row>
    <row r="2">
      <c r="A2" s="4">
        <f>VLOOKUP(B2,map!B:C,2,false)</f>
        <v>30</v>
      </c>
      <c r="B2" s="4" t="str">
        <f>IFERROR(__xludf.DUMMYFUNCTION("UNIQUE('rz scoring%'!B2:B1000)"),"Baltimore")</f>
        <v>Baltimore</v>
      </c>
      <c r="C2" s="4">
        <f>VLOOKUP($B2,ypp!$B:$D,3,false)</f>
        <v>7.6</v>
      </c>
      <c r="D2" s="12">
        <f>VLOOKUP($B2,'rz scoring%'!$B:$D,3,false)</f>
        <v>0.7692</v>
      </c>
      <c r="E2" s="12">
        <f>VLOOKUP($B2,'3rd down conversion%'!$B:$D,3,false)</f>
        <v>0.3929</v>
      </c>
      <c r="F2" s="4">
        <f>VLOOKUP($B2,TDgm!$B:$D,3,false)</f>
        <v>3.7</v>
      </c>
      <c r="G2" s="4">
        <f>VLOOKUP($B2,'TO margin'!$B:$D,3,false)</f>
        <v>0.3</v>
      </c>
      <c r="H2" s="12">
        <f>VLOOKUP($B2,'comp %'!$B:$D,3,false)</f>
        <v>0.6977</v>
      </c>
      <c r="I2" s="4">
        <f>VLOOKUP($B2,'1st downgm'!$B:$D,3,false)</f>
        <v>24</v>
      </c>
      <c r="J2" s="4">
        <f>VLOOKUP($B2,pengm!$B:$D,3,false)</f>
        <v>6.3</v>
      </c>
      <c r="K2" s="5">
        <f t="shared" ref="K2:K33" si="1"> 15.79 + (C2*0.65) + (D2*4.95) + (E2*8.08) + (F2*0.33) + (G2*-0.02) + (H2*-2.96) + (I2*-0.02) + (J2*-0.02)</f>
        <v>26.25598</v>
      </c>
      <c r="L2" s="5">
        <f t="shared" ref="L2:L33" si="2">K2*F2</f>
        <v>97.147126</v>
      </c>
    </row>
    <row r="3">
      <c r="A3" s="4">
        <f>VLOOKUP(B3,map!B:C,2,false)</f>
        <v>31</v>
      </c>
      <c r="B3" s="4" t="str">
        <f>IFERROR(__xludf.DUMMYFUNCTION("""COMPUTED_VALUE"""),"Chicago")</f>
        <v>Chicago</v>
      </c>
      <c r="C3" s="4">
        <f>VLOOKUP($B3,ypp!$B:$D,3,false)</f>
        <v>5.8</v>
      </c>
      <c r="D3" s="12">
        <f>VLOOKUP($B3,'rz scoring%'!$B:$D,3,false)</f>
        <v>0.8</v>
      </c>
      <c r="E3" s="12">
        <f>VLOOKUP($B3,'3rd down conversion%'!$B:$D,3,false)</f>
        <v>0.3235</v>
      </c>
      <c r="F3" s="4">
        <f>VLOOKUP($B3,TDgm!$B:$D,3,false)</f>
        <v>4</v>
      </c>
      <c r="G3" s="4">
        <f>VLOOKUP($B3,'TO margin'!$B:$D,3,false)</f>
        <v>0</v>
      </c>
      <c r="H3" s="12">
        <f>VLOOKUP($B3,'comp %'!$B:$D,3,false)</f>
        <v>0.6463</v>
      </c>
      <c r="I3" s="4">
        <f>VLOOKUP($B3,'1st downgm'!$B:$D,3,false)</f>
        <v>21.3</v>
      </c>
      <c r="J3" s="4">
        <f>VLOOKUP($B3,pengm!$B:$D,3,false)</f>
        <v>5</v>
      </c>
      <c r="K3" s="5">
        <f t="shared" si="1"/>
        <v>25.014832</v>
      </c>
      <c r="L3" s="5">
        <f t="shared" si="2"/>
        <v>100.059328</v>
      </c>
    </row>
    <row r="4">
      <c r="A4" s="4">
        <f>VLOOKUP(B4,map!B:C,2,false)</f>
        <v>14</v>
      </c>
      <c r="B4" s="4" t="str">
        <f>IFERROR(__xludf.DUMMYFUNCTION("""COMPUTED_VALUE"""),"Tampa Bay")</f>
        <v>Tampa Bay</v>
      </c>
      <c r="C4" s="4">
        <f>VLOOKUP($B4,ypp!$B:$D,3,false)</f>
        <v>6.8</v>
      </c>
      <c r="D4" s="12">
        <f>VLOOKUP($B4,'rz scoring%'!$B:$D,3,false)</f>
        <v>0.7692</v>
      </c>
      <c r="E4" s="12">
        <f>VLOOKUP($B4,'3rd down conversion%'!$B:$D,3,false)</f>
        <v>0.6341</v>
      </c>
      <c r="F4" s="4">
        <f>VLOOKUP($B4,TDgm!$B:$D,3,false)</f>
        <v>4.7</v>
      </c>
      <c r="G4" s="4">
        <f>VLOOKUP($B4,'TO margin'!$B:$D,3,false)</f>
        <v>0.7</v>
      </c>
      <c r="H4" s="12">
        <f>VLOOKUP($B4,'comp %'!$B:$D,3,false)</f>
        <v>0.7023</v>
      </c>
      <c r="I4" s="4">
        <f>VLOOKUP($B4,'1st downgm'!$B:$D,3,false)</f>
        <v>27.7</v>
      </c>
      <c r="J4" s="4">
        <f>VLOOKUP($B4,pengm!$B:$D,3,false)</f>
        <v>8.7</v>
      </c>
      <c r="K4" s="5">
        <f t="shared" si="1"/>
        <v>27.87126</v>
      </c>
      <c r="L4" s="5">
        <f t="shared" si="2"/>
        <v>130.994922</v>
      </c>
    </row>
    <row r="5">
      <c r="A5" s="4">
        <f>VLOOKUP(B5,map!B:C,2,false)</f>
        <v>11</v>
      </c>
      <c r="B5" s="4" t="str">
        <f>IFERROR(__xludf.DUMMYFUNCTION("""COMPUTED_VALUE"""),"Buffalo")</f>
        <v>Buffalo</v>
      </c>
      <c r="C5" s="4">
        <f>VLOOKUP($B5,ypp!$B:$D,3,false)</f>
        <v>6.5</v>
      </c>
      <c r="D5" s="12">
        <f>VLOOKUP($B5,'rz scoring%'!$B:$D,3,false)</f>
        <v>0.6875</v>
      </c>
      <c r="E5" s="12">
        <f>VLOOKUP($B5,'3rd down conversion%'!$B:$D,3,false)</f>
        <v>0.4444</v>
      </c>
      <c r="F5" s="4">
        <f>VLOOKUP($B5,TDgm!$B:$D,3,false)</f>
        <v>3.7</v>
      </c>
      <c r="G5" s="4">
        <f>VLOOKUP($B5,'TO margin'!$B:$D,3,false)</f>
        <v>1.7</v>
      </c>
      <c r="H5" s="12">
        <f>VLOOKUP($B5,'comp %'!$B:$D,3,false)</f>
        <v>0.6957</v>
      </c>
      <c r="I5" s="4">
        <f>VLOOKUP($B5,'1st downgm'!$B:$D,3,false)</f>
        <v>23.7</v>
      </c>
      <c r="J5" s="4">
        <f>VLOOKUP($B5,pengm!$B:$D,3,false)</f>
        <v>9.7</v>
      </c>
      <c r="K5" s="5">
        <f t="shared" si="1"/>
        <v>25.468605</v>
      </c>
      <c r="L5" s="5">
        <f t="shared" si="2"/>
        <v>94.2338385</v>
      </c>
    </row>
    <row r="6">
      <c r="A6" s="4">
        <f>VLOOKUP(B6,map!B:C,2,false)</f>
        <v>9</v>
      </c>
      <c r="B6" s="4" t="str">
        <f>IFERROR(__xludf.DUMMYFUNCTION("""COMPUTED_VALUE"""),"New Orleans")</f>
        <v>New Orleans</v>
      </c>
      <c r="C6" s="4">
        <f>VLOOKUP($B6,ypp!$B:$D,3,false)</f>
        <v>4.7</v>
      </c>
      <c r="D6" s="12">
        <f>VLOOKUP($B6,'rz scoring%'!$B:$D,3,false)</f>
        <v>0.4286</v>
      </c>
      <c r="E6" s="12">
        <f>VLOOKUP($B6,'3rd down conversion%'!$B:$D,3,false)</f>
        <v>0.2391</v>
      </c>
      <c r="F6" s="4">
        <f>VLOOKUP($B6,TDgm!$B:$D,3,false)</f>
        <v>1.3</v>
      </c>
      <c r="G6" s="4">
        <f>VLOOKUP($B6,'TO margin'!$B:$D,3,false)</f>
        <v>0.3</v>
      </c>
      <c r="H6" s="12">
        <f>VLOOKUP($B6,'comp %'!$B:$D,3,false)</f>
        <v>0.595</v>
      </c>
      <c r="I6" s="4">
        <f>VLOOKUP($B6,'1st downgm'!$B:$D,3,false)</f>
        <v>16.3</v>
      </c>
      <c r="J6" s="4">
        <f>VLOOKUP($B6,pengm!$B:$D,3,false)</f>
        <v>6.3</v>
      </c>
      <c r="K6" s="5">
        <f t="shared" si="1"/>
        <v>21.108298</v>
      </c>
      <c r="L6" s="5">
        <f t="shared" si="2"/>
        <v>27.4407874</v>
      </c>
    </row>
    <row r="7">
      <c r="A7" s="4">
        <f>VLOOKUP(B7,map!B:C,2,false)</f>
        <v>4</v>
      </c>
      <c r="B7" s="4" t="str">
        <f>IFERROR(__xludf.DUMMYFUNCTION("""COMPUTED_VALUE"""),"Cincinnati")</f>
        <v>Cincinnati</v>
      </c>
      <c r="C7" s="4">
        <f>VLOOKUP($B7,ypp!$B:$D,3,false)</f>
        <v>5</v>
      </c>
      <c r="D7" s="12">
        <f>VLOOKUP($B7,'rz scoring%'!$B:$D,3,false)</f>
        <v>0.6</v>
      </c>
      <c r="E7" s="12">
        <f>VLOOKUP($B7,'3rd down conversion%'!$B:$D,3,false)</f>
        <v>0.4324</v>
      </c>
      <c r="F7" s="4">
        <f>VLOOKUP($B7,TDgm!$B:$D,3,false)</f>
        <v>2.3</v>
      </c>
      <c r="G7" s="4">
        <f>VLOOKUP($B7,'TO margin'!$B:$D,3,false)</f>
        <v>0.7</v>
      </c>
      <c r="H7" s="12">
        <f>VLOOKUP($B7,'comp %'!$B:$D,3,false)</f>
        <v>0.6667</v>
      </c>
      <c r="I7" s="4">
        <f>VLOOKUP($B7,'1st downgm'!$B:$D,3,false)</f>
        <v>14.3</v>
      </c>
      <c r="J7" s="4">
        <f>VLOOKUP($B7,pengm!$B:$D,3,false)</f>
        <v>3.3</v>
      </c>
      <c r="K7" s="5">
        <f t="shared" si="1"/>
        <v>23.92336</v>
      </c>
      <c r="L7" s="5">
        <f t="shared" si="2"/>
        <v>55.023728</v>
      </c>
    </row>
    <row r="8">
      <c r="A8" s="4">
        <f>VLOOKUP(B8,map!B:C,2,false)</f>
        <v>5</v>
      </c>
      <c r="B8" s="4" t="str">
        <f>IFERROR(__xludf.DUMMYFUNCTION("""COMPUTED_VALUE"""),"Detroit")</f>
        <v>Detroit</v>
      </c>
      <c r="C8" s="4">
        <f>VLOOKUP($B8,ypp!$B:$D,3,false)</f>
        <v>6.6</v>
      </c>
      <c r="D8" s="12">
        <f>VLOOKUP($B8,'rz scoring%'!$B:$D,3,false)</f>
        <v>0.8182</v>
      </c>
      <c r="E8" s="12">
        <f>VLOOKUP($B8,'3rd down conversion%'!$B:$D,3,false)</f>
        <v>0.3793</v>
      </c>
      <c r="F8" s="4">
        <f>VLOOKUP($B8,TDgm!$B:$D,3,false)</f>
        <v>5.3</v>
      </c>
      <c r="G8" s="4">
        <f>VLOOKUP($B8,'TO margin'!$B:$D,3,false)</f>
        <v>0.3</v>
      </c>
      <c r="H8" s="12">
        <f>VLOOKUP($B8,'comp %'!$B:$D,3,false)</f>
        <v>0.7887</v>
      </c>
      <c r="I8" s="4">
        <f>VLOOKUP($B8,'1st downgm'!$B:$D,3,false)</f>
        <v>21</v>
      </c>
      <c r="J8" s="4">
        <f>VLOOKUP($B8,pengm!$B:$D,3,false)</f>
        <v>6.3</v>
      </c>
      <c r="K8" s="5">
        <f t="shared" si="1"/>
        <v>26.057282</v>
      </c>
      <c r="L8" s="5">
        <f t="shared" si="2"/>
        <v>138.1035946</v>
      </c>
    </row>
    <row r="9">
      <c r="A9" s="4">
        <f>VLOOKUP(B9,map!B:C,2,false)</f>
        <v>3</v>
      </c>
      <c r="B9" s="4" t="str">
        <f>IFERROR(__xludf.DUMMYFUNCTION("""COMPUTED_VALUE"""),"Minnesota")</f>
        <v>Minnesota</v>
      </c>
      <c r="C9" s="4">
        <f>VLOOKUP($B9,ypp!$B:$D,3,false)</f>
        <v>5.4</v>
      </c>
      <c r="D9" s="12">
        <f>VLOOKUP($B9,'rz scoring%'!$B:$D,3,false)</f>
        <v>0.6</v>
      </c>
      <c r="E9" s="12">
        <f>VLOOKUP($B9,'3rd down conversion%'!$B:$D,3,false)</f>
        <v>0.3333</v>
      </c>
      <c r="F9" s="4">
        <f>VLOOKUP($B9,TDgm!$B:$D,3,false)</f>
        <v>2.3</v>
      </c>
      <c r="G9" s="4">
        <f>VLOOKUP($B9,'TO margin'!$B:$D,3,false)</f>
        <v>1</v>
      </c>
      <c r="H9" s="12">
        <f>VLOOKUP($B9,'comp %'!$B:$D,3,false)</f>
        <v>0.6548</v>
      </c>
      <c r="I9" s="4">
        <f>VLOOKUP($B9,'1st downgm'!$B:$D,3,false)</f>
        <v>16.7</v>
      </c>
      <c r="J9" s="4">
        <f>VLOOKUP($B9,pengm!$B:$D,3,false)</f>
        <v>9.3</v>
      </c>
      <c r="K9" s="5">
        <f t="shared" si="1"/>
        <v>23.243856</v>
      </c>
      <c r="L9" s="5">
        <f t="shared" si="2"/>
        <v>53.4608688</v>
      </c>
    </row>
    <row r="10">
      <c r="A10" s="4">
        <f>VLOOKUP(B10,map!B:C,2,false)</f>
        <v>16</v>
      </c>
      <c r="B10" s="4" t="str">
        <f>IFERROR(__xludf.DUMMYFUNCTION("""COMPUTED_VALUE"""),"Cleveland")</f>
        <v>Cleveland</v>
      </c>
      <c r="C10" s="4">
        <f>VLOOKUP($B10,ypp!$B:$D,3,false)</f>
        <v>5</v>
      </c>
      <c r="D10" s="12">
        <f>VLOOKUP($B10,'rz scoring%'!$B:$D,3,false)</f>
        <v>0.4</v>
      </c>
      <c r="E10" s="12">
        <f>VLOOKUP($B10,'3rd down conversion%'!$B:$D,3,false)</f>
        <v>0.413</v>
      </c>
      <c r="F10" s="4">
        <f>VLOOKUP($B10,TDgm!$B:$D,3,false)</f>
        <v>2</v>
      </c>
      <c r="G10" s="4">
        <f>VLOOKUP($B10,'TO margin'!$B:$D,3,false)</f>
        <v>0</v>
      </c>
      <c r="H10" s="12">
        <f>VLOOKUP($B10,'comp %'!$B:$D,3,false)</f>
        <v>0.6379</v>
      </c>
      <c r="I10" s="4">
        <f>VLOOKUP($B10,'1st downgm'!$B:$D,3,false)</f>
        <v>18</v>
      </c>
      <c r="J10" s="4">
        <f>VLOOKUP($B10,pengm!$B:$D,3,false)</f>
        <v>8</v>
      </c>
      <c r="K10" s="5">
        <f t="shared" si="1"/>
        <v>22.608856</v>
      </c>
      <c r="L10" s="5">
        <f t="shared" si="2"/>
        <v>45.217712</v>
      </c>
    </row>
    <row r="11">
      <c r="A11" s="4">
        <f>VLOOKUP(B11,map!B:C,2,false)</f>
        <v>17</v>
      </c>
      <c r="B11" s="4" t="str">
        <f>IFERROR(__xludf.DUMMYFUNCTION("""COMPUTED_VALUE"""),"Houston")</f>
        <v>Houston</v>
      </c>
      <c r="C11" s="4">
        <f>VLOOKUP($B11,ypp!$B:$D,3,false)</f>
        <v>4.9</v>
      </c>
      <c r="D11" s="12">
        <f>VLOOKUP($B11,'rz scoring%'!$B:$D,3,false)</f>
        <v>0.5385</v>
      </c>
      <c r="E11" s="12">
        <f>VLOOKUP($B11,'3rd down conversion%'!$B:$D,3,false)</f>
        <v>0.3243</v>
      </c>
      <c r="F11" s="4">
        <f>VLOOKUP($B11,TDgm!$B:$D,3,false)</f>
        <v>3</v>
      </c>
      <c r="G11" s="4">
        <f>VLOOKUP($B11,'TO margin'!$B:$D,3,false)</f>
        <v>-0.7</v>
      </c>
      <c r="H11" s="12">
        <f>VLOOKUP($B11,'comp %'!$B:$D,3,false)</f>
        <v>0.6111</v>
      </c>
      <c r="I11" s="4">
        <f>VLOOKUP($B11,'1st downgm'!$B:$D,3,false)</f>
        <v>18.7</v>
      </c>
      <c r="J11" s="4">
        <f>VLOOKUP($B11,pengm!$B:$D,3,false)</f>
        <v>4.7</v>
      </c>
      <c r="K11" s="5">
        <f t="shared" si="1"/>
        <v>22.988063</v>
      </c>
      <c r="L11" s="5">
        <f t="shared" si="2"/>
        <v>68.964189</v>
      </c>
    </row>
    <row r="12">
      <c r="A12" s="4">
        <f>VLOOKUP(B12,map!B:C,2,false)</f>
        <v>21</v>
      </c>
      <c r="B12" s="4" t="str">
        <f>IFERROR(__xludf.DUMMYFUNCTION("""COMPUTED_VALUE"""),"Arizona")</f>
        <v>Arizona</v>
      </c>
      <c r="C12" s="4">
        <f>VLOOKUP($B12,ypp!$B:$D,3,false)</f>
        <v>5.9</v>
      </c>
      <c r="D12" s="12">
        <f>VLOOKUP($B12,'rz scoring%'!$B:$D,3,false)</f>
        <v>0.5</v>
      </c>
      <c r="E12" s="12">
        <f>VLOOKUP($B12,'3rd down conversion%'!$B:$D,3,false)</f>
        <v>0.4333</v>
      </c>
      <c r="F12" s="4">
        <f>VLOOKUP($B12,TDgm!$B:$D,3,false)</f>
        <v>2</v>
      </c>
      <c r="G12" s="4">
        <f>VLOOKUP($B12,'TO margin'!$B:$D,3,false)</f>
        <v>0</v>
      </c>
      <c r="H12" s="12">
        <f>VLOOKUP($B12,'comp %'!$B:$D,3,false)</f>
        <v>0.6596</v>
      </c>
      <c r="I12" s="4">
        <f>VLOOKUP($B12,'1st downgm'!$B:$D,3,false)</f>
        <v>20</v>
      </c>
      <c r="J12" s="4">
        <f>VLOOKUP($B12,pengm!$B:$D,3,false)</f>
        <v>6.7</v>
      </c>
      <c r="K12" s="5">
        <f t="shared" si="1"/>
        <v>23.774648</v>
      </c>
      <c r="L12" s="5">
        <f t="shared" si="2"/>
        <v>47.549296</v>
      </c>
    </row>
    <row r="13">
      <c r="A13" s="4">
        <f>VLOOKUP(B13,map!B:C,2,false)</f>
        <v>23</v>
      </c>
      <c r="B13" s="4" t="str">
        <f>IFERROR(__xludf.DUMMYFUNCTION("""COMPUTED_VALUE"""),"Carolina")</f>
        <v>Carolina</v>
      </c>
      <c r="C13" s="4">
        <f>VLOOKUP($B13,ypp!$B:$D,3,false)</f>
        <v>4.8</v>
      </c>
      <c r="D13" s="12">
        <f>VLOOKUP($B13,'rz scoring%'!$B:$D,3,false)</f>
        <v>0.7143</v>
      </c>
      <c r="E13" s="12">
        <f>VLOOKUP($B13,'3rd down conversion%'!$B:$D,3,false)</f>
        <v>0.3714</v>
      </c>
      <c r="F13" s="4">
        <f>VLOOKUP($B13,TDgm!$B:$D,3,false)</f>
        <v>1.7</v>
      </c>
      <c r="G13" s="4">
        <f>VLOOKUP($B13,'TO margin'!$B:$D,3,false)</f>
        <v>0.7</v>
      </c>
      <c r="H13" s="12">
        <f>VLOOKUP($B13,'comp %'!$B:$D,3,false)</f>
        <v>0.6702</v>
      </c>
      <c r="I13" s="4">
        <f>VLOOKUP($B13,'1st downgm'!$B:$D,3,false)</f>
        <v>15.7</v>
      </c>
      <c r="J13" s="4">
        <f>VLOOKUP($B13,pengm!$B:$D,3,false)</f>
        <v>8</v>
      </c>
      <c r="K13" s="5">
        <f t="shared" si="1"/>
        <v>23.535905</v>
      </c>
      <c r="L13" s="5">
        <f t="shared" si="2"/>
        <v>40.0110385</v>
      </c>
    </row>
    <row r="14">
      <c r="A14" s="4">
        <f>VLOOKUP(B14,map!B:C,2,false)</f>
        <v>13</v>
      </c>
      <c r="B14" s="4" t="str">
        <f>IFERROR(__xludf.DUMMYFUNCTION("""COMPUTED_VALUE"""),"Seattle")</f>
        <v>Seattle</v>
      </c>
      <c r="C14" s="4">
        <f>VLOOKUP($B14,ypp!$B:$D,3,false)</f>
        <v>5.3</v>
      </c>
      <c r="D14" s="12">
        <f>VLOOKUP($B14,'rz scoring%'!$B:$D,3,false)</f>
        <v>0.5</v>
      </c>
      <c r="E14" s="12">
        <f>VLOOKUP($B14,'3rd down conversion%'!$B:$D,3,false)</f>
        <v>0.3529</v>
      </c>
      <c r="F14" s="4">
        <f>VLOOKUP($B14,TDgm!$B:$D,3,false)</f>
        <v>2.7</v>
      </c>
      <c r="G14" s="4">
        <f>VLOOKUP($B14,'TO margin'!$B:$D,3,false)</f>
        <v>-1.3</v>
      </c>
      <c r="H14" s="12">
        <f>VLOOKUP($B14,'comp %'!$B:$D,3,false)</f>
        <v>0.6364</v>
      </c>
      <c r="I14" s="4">
        <f>VLOOKUP($B14,'1st downgm'!$B:$D,3,false)</f>
        <v>19.7</v>
      </c>
      <c r="J14" s="4">
        <f>VLOOKUP($B14,pengm!$B:$D,3,false)</f>
        <v>8.3</v>
      </c>
      <c r="K14" s="5">
        <f t="shared" si="1"/>
        <v>23.034688</v>
      </c>
      <c r="L14" s="5">
        <f t="shared" si="2"/>
        <v>62.1936576</v>
      </c>
    </row>
    <row r="15">
      <c r="A15" s="4">
        <f>VLOOKUP(B15,map!B:C,2,false)</f>
        <v>27</v>
      </c>
      <c r="B15" s="4" t="str">
        <f>IFERROR(__xludf.DUMMYFUNCTION("""COMPUTED_VALUE"""),"Denver")</f>
        <v>Denver</v>
      </c>
      <c r="C15" s="4">
        <f>VLOOKUP($B15,ypp!$B:$D,3,false)</f>
        <v>5.9</v>
      </c>
      <c r="D15" s="12">
        <f>VLOOKUP($B15,'rz scoring%'!$B:$D,3,false)</f>
        <v>0.8</v>
      </c>
      <c r="E15" s="12">
        <f>VLOOKUP($B15,'3rd down conversion%'!$B:$D,3,false)</f>
        <v>0.4615</v>
      </c>
      <c r="F15" s="4">
        <f>VLOOKUP($B15,TDgm!$B:$D,3,false)</f>
        <v>3</v>
      </c>
      <c r="G15" s="4">
        <f>VLOOKUP($B15,'TO margin'!$B:$D,3,false)</f>
        <v>-0.3</v>
      </c>
      <c r="H15" s="12">
        <f>VLOOKUP($B15,'comp %'!$B:$D,3,false)</f>
        <v>0.6633</v>
      </c>
      <c r="I15" s="4">
        <f>VLOOKUP($B15,'1st downgm'!$B:$D,3,false)</f>
        <v>20.7</v>
      </c>
      <c r="J15" s="4">
        <f>VLOOKUP($B15,pengm!$B:$D,3,false)</f>
        <v>6</v>
      </c>
      <c r="K15" s="5">
        <f t="shared" si="1"/>
        <v>25.812552</v>
      </c>
      <c r="L15" s="5">
        <f t="shared" si="2"/>
        <v>77.437656</v>
      </c>
    </row>
    <row r="16">
      <c r="A16" s="4">
        <f>VLOOKUP(B16,map!B:C,2,false)</f>
        <v>24</v>
      </c>
      <c r="B16" s="4" t="str">
        <f>IFERROR(__xludf.DUMMYFUNCTION("""COMPUTED_VALUE"""),"Las Vegas")</f>
        <v>Las Vegas</v>
      </c>
      <c r="C16" s="4">
        <f>VLOOKUP($B16,ypp!$B:$D,3,false)</f>
        <v>4.3</v>
      </c>
      <c r="D16" s="12">
        <f>VLOOKUP($B16,'rz scoring%'!$B:$D,3,false)</f>
        <v>0.4444</v>
      </c>
      <c r="E16" s="12">
        <f>VLOOKUP($B16,'3rd down conversion%'!$B:$D,3,false)</f>
        <v>0.2821</v>
      </c>
      <c r="F16" s="4">
        <f>VLOOKUP($B16,TDgm!$B:$D,3,false)</f>
        <v>1.3</v>
      </c>
      <c r="G16" s="4">
        <f>VLOOKUP($B16,'TO margin'!$B:$D,3,false)</f>
        <v>-0.3</v>
      </c>
      <c r="H16" s="12">
        <f>VLOOKUP($B16,'comp %'!$B:$D,3,false)</f>
        <v>0.6316</v>
      </c>
      <c r="I16" s="4">
        <f>VLOOKUP($B16,'1st downgm'!$B:$D,3,false)</f>
        <v>17</v>
      </c>
      <c r="J16" s="4">
        <f>VLOOKUP($B16,pengm!$B:$D,3,false)</f>
        <v>6.3</v>
      </c>
      <c r="K16" s="5">
        <f t="shared" si="1"/>
        <v>21.163612</v>
      </c>
      <c r="L16" s="5">
        <f t="shared" si="2"/>
        <v>27.5126956</v>
      </c>
    </row>
    <row r="17">
      <c r="A17" s="4">
        <f>VLOOKUP(B17,map!B:C,2,false)</f>
        <v>19</v>
      </c>
      <c r="B17" s="4" t="str">
        <f>IFERROR(__xludf.DUMMYFUNCTION("""COMPUTED_VALUE"""),"NY Jets")</f>
        <v>NY Jets</v>
      </c>
      <c r="C17" s="4">
        <f>VLOOKUP($B17,ypp!$B:$D,3,false)</f>
        <v>6.2</v>
      </c>
      <c r="D17" s="12">
        <f>VLOOKUP($B17,'rz scoring%'!$B:$D,3,false)</f>
        <v>0.5</v>
      </c>
      <c r="E17" s="12">
        <f>VLOOKUP($B17,'3rd down conversion%'!$B:$D,3,false)</f>
        <v>0.3438</v>
      </c>
      <c r="F17" s="4">
        <f>VLOOKUP($B17,TDgm!$B:$D,3,false)</f>
        <v>2.3</v>
      </c>
      <c r="G17" s="4">
        <f>VLOOKUP($B17,'TO margin'!$B:$D,3,false)</f>
        <v>1</v>
      </c>
      <c r="H17" s="12">
        <f>VLOOKUP($B17,'comp %'!$B:$D,3,false)</f>
        <v>0.6275</v>
      </c>
      <c r="I17" s="4">
        <f>VLOOKUP($B17,'1st downgm'!$B:$D,3,false)</f>
        <v>19.7</v>
      </c>
      <c r="J17" s="4">
        <f>VLOOKUP($B17,pengm!$B:$D,3,false)</f>
        <v>8</v>
      </c>
      <c r="K17" s="5">
        <f t="shared" si="1"/>
        <v>23.400504</v>
      </c>
      <c r="L17" s="5">
        <f t="shared" si="2"/>
        <v>53.8211592</v>
      </c>
    </row>
    <row r="18">
      <c r="A18" s="4">
        <f>VLOOKUP(B18,map!B:C,2,false)</f>
        <v>6</v>
      </c>
      <c r="B18" s="4" t="str">
        <f>IFERROR(__xludf.DUMMYFUNCTION("""COMPUTED_VALUE"""),"Jacksonville")</f>
        <v>Jacksonville</v>
      </c>
      <c r="C18" s="4">
        <f>VLOOKUP($B18,ypp!$B:$D,3,false)</f>
        <v>5.9</v>
      </c>
      <c r="D18" s="12">
        <f>VLOOKUP($B18,'rz scoring%'!$B:$D,3,false)</f>
        <v>0.7273</v>
      </c>
      <c r="E18" s="12">
        <f>VLOOKUP($B18,'3rd down conversion%'!$B:$D,3,false)</f>
        <v>0.4118</v>
      </c>
      <c r="F18" s="4">
        <f>VLOOKUP($B18,TDgm!$B:$D,3,false)</f>
        <v>3</v>
      </c>
      <c r="G18" s="4">
        <f>VLOOKUP($B18,'TO margin'!$B:$D,3,false)</f>
        <v>-0.3</v>
      </c>
      <c r="H18" s="12">
        <f>VLOOKUP($B18,'comp %'!$B:$D,3,false)</f>
        <v>0.6818</v>
      </c>
      <c r="I18" s="4">
        <f>VLOOKUP($B18,'1st downgm'!$B:$D,3,false)</f>
        <v>19.7</v>
      </c>
      <c r="J18" s="4">
        <f>VLOOKUP($B18,pengm!$B:$D,3,false)</f>
        <v>6.7</v>
      </c>
      <c r="K18" s="5">
        <f t="shared" si="1"/>
        <v>25.002351</v>
      </c>
      <c r="L18" s="5">
        <f t="shared" si="2"/>
        <v>75.007053</v>
      </c>
    </row>
    <row r="19">
      <c r="A19" s="4">
        <f>VLOOKUP(B19,map!B:C,2,false)</f>
        <v>32</v>
      </c>
      <c r="B19" s="4" t="str">
        <f>IFERROR(__xludf.DUMMYFUNCTION("""COMPUTED_VALUE"""),"Tennessee")</f>
        <v>Tennessee</v>
      </c>
      <c r="C19" s="4">
        <f>VLOOKUP($B19,ypp!$B:$D,3,false)</f>
        <v>4.9</v>
      </c>
      <c r="D19" s="12">
        <f>VLOOKUP($B19,'rz scoring%'!$B:$D,3,false)</f>
        <v>0.5556</v>
      </c>
      <c r="E19" s="12">
        <f>VLOOKUP($B19,'3rd down conversion%'!$B:$D,3,false)</f>
        <v>0.3421</v>
      </c>
      <c r="F19" s="4">
        <f>VLOOKUP($B19,TDgm!$B:$D,3,false)</f>
        <v>1.7</v>
      </c>
      <c r="G19" s="4">
        <f>VLOOKUP($B19,'TO margin'!$B:$D,3,false)</f>
        <v>-1.7</v>
      </c>
      <c r="H19" s="12">
        <f>VLOOKUP($B19,'comp %'!$B:$D,3,false)</f>
        <v>0.6</v>
      </c>
      <c r="I19" s="4">
        <f>VLOOKUP($B19,'1st downgm'!$B:$D,3,false)</f>
        <v>19</v>
      </c>
      <c r="J19" s="4">
        <f>VLOOKUP($B19,pengm!$B:$D,3,false)</f>
        <v>9</v>
      </c>
      <c r="K19" s="5">
        <f t="shared" si="1"/>
        <v>22.748388</v>
      </c>
      <c r="L19" s="5">
        <f t="shared" si="2"/>
        <v>38.6722596</v>
      </c>
    </row>
    <row r="20">
      <c r="A20" s="4">
        <f>VLOOKUP(B20,map!B:C,2,false)</f>
        <v>29</v>
      </c>
      <c r="B20" s="4" t="str">
        <f>IFERROR(__xludf.DUMMYFUNCTION("""COMPUTED_VALUE"""),"Pittsburgh")</f>
        <v>Pittsburgh</v>
      </c>
      <c r="C20" s="4">
        <f>VLOOKUP($B20,ypp!$B:$D,3,false)</f>
        <v>5</v>
      </c>
      <c r="D20" s="12">
        <f>VLOOKUP($B20,'rz scoring%'!$B:$D,3,false)</f>
        <v>0.6667</v>
      </c>
      <c r="E20" s="12">
        <f>VLOOKUP($B20,'3rd down conversion%'!$B:$D,3,false)</f>
        <v>0.3077</v>
      </c>
      <c r="F20" s="4">
        <f>VLOOKUP($B20,TDgm!$B:$D,3,false)</f>
        <v>3</v>
      </c>
      <c r="G20" s="4">
        <f>VLOOKUP($B20,'TO margin'!$B:$D,3,false)</f>
        <v>-0.3</v>
      </c>
      <c r="H20" s="12">
        <f>VLOOKUP($B20,'comp %'!$B:$D,3,false)</f>
        <v>0.5679</v>
      </c>
      <c r="I20" s="4">
        <f>VLOOKUP($B20,'1st downgm'!$B:$D,3,false)</f>
        <v>18.7</v>
      </c>
      <c r="J20" s="4">
        <f>VLOOKUP($B20,pengm!$B:$D,3,false)</f>
        <v>6.3</v>
      </c>
      <c r="K20" s="5">
        <f t="shared" si="1"/>
        <v>23.641397</v>
      </c>
      <c r="L20" s="5">
        <f t="shared" si="2"/>
        <v>70.924191</v>
      </c>
    </row>
    <row r="21" ht="15.75" customHeight="1">
      <c r="A21" s="4">
        <f>VLOOKUP(B21,map!B:C,2,false)</f>
        <v>20</v>
      </c>
      <c r="B21" s="4" t="str">
        <f>IFERROR(__xludf.DUMMYFUNCTION("""COMPUTED_VALUE"""),"Indianapolis")</f>
        <v>Indianapolis</v>
      </c>
      <c r="C21" s="4">
        <f>VLOOKUP($B21,ypp!$B:$D,3,false)</f>
        <v>4.5</v>
      </c>
      <c r="D21" s="12">
        <f>VLOOKUP($B21,'rz scoring%'!$B:$D,3,false)</f>
        <v>0.375</v>
      </c>
      <c r="E21" s="12">
        <f>VLOOKUP($B21,'3rd down conversion%'!$B:$D,3,false)</f>
        <v>0.3171</v>
      </c>
      <c r="F21" s="4">
        <f>VLOOKUP($B21,TDgm!$B:$D,3,false)</f>
        <v>1.7</v>
      </c>
      <c r="G21" s="4">
        <f>VLOOKUP($B21,'TO margin'!$B:$D,3,false)</f>
        <v>0.3</v>
      </c>
      <c r="H21" s="12">
        <f>VLOOKUP($B21,'comp %'!$B:$D,3,false)</f>
        <v>0.4468</v>
      </c>
      <c r="I21" s="4">
        <f>VLOOKUP($B21,'1st downgm'!$B:$D,3,false)</f>
        <v>17.7</v>
      </c>
      <c r="J21" s="4">
        <f>VLOOKUP($B21,pengm!$B:$D,3,false)</f>
        <v>6</v>
      </c>
      <c r="K21" s="5">
        <f t="shared" si="1"/>
        <v>21.89189</v>
      </c>
      <c r="L21" s="5">
        <f t="shared" si="2"/>
        <v>37.216213</v>
      </c>
    </row>
    <row r="22" ht="15.75" customHeight="1">
      <c r="A22" s="4">
        <f>VLOOKUP(B22,map!B:C,2,false)</f>
        <v>18</v>
      </c>
      <c r="B22" s="4" t="str">
        <f>IFERROR(__xludf.DUMMYFUNCTION("""COMPUTED_VALUE"""),"LA Rams")</f>
        <v>LA Rams</v>
      </c>
      <c r="C22" s="4">
        <f>VLOOKUP($B22,ypp!$B:$D,3,false)</f>
        <v>5.2</v>
      </c>
      <c r="D22" s="12">
        <f>VLOOKUP($B22,'rz scoring%'!$B:$D,3,false)</f>
        <v>0.7778</v>
      </c>
      <c r="E22" s="12">
        <f>VLOOKUP($B22,'3rd down conversion%'!$B:$D,3,false)</f>
        <v>0.3889</v>
      </c>
      <c r="F22" s="4">
        <f>VLOOKUP($B22,TDgm!$B:$D,3,false)</f>
        <v>3.3</v>
      </c>
      <c r="G22" s="4">
        <f>VLOOKUP($B22,'TO margin'!$B:$D,3,false)</f>
        <v>-0.3</v>
      </c>
      <c r="H22" s="12">
        <f>VLOOKUP($B22,'comp %'!$B:$D,3,false)</f>
        <v>0.6667</v>
      </c>
      <c r="I22" s="4">
        <f>VLOOKUP($B22,'1st downgm'!$B:$D,3,false)</f>
        <v>21.7</v>
      </c>
      <c r="J22" s="4">
        <f>VLOOKUP($B22,pengm!$B:$D,3,false)</f>
        <v>4.7</v>
      </c>
      <c r="K22" s="5">
        <f t="shared" si="1"/>
        <v>24.75599</v>
      </c>
      <c r="L22" s="5">
        <f t="shared" si="2"/>
        <v>81.694767</v>
      </c>
    </row>
    <row r="23" ht="15.75" customHeight="1">
      <c r="A23" s="4">
        <f>VLOOKUP(B23,map!B:C,2,false)</f>
        <v>12</v>
      </c>
      <c r="B23" s="4" t="str">
        <f>IFERROR(__xludf.DUMMYFUNCTION("""COMPUTED_VALUE"""),"Philadelphia")</f>
        <v>Philadelphia</v>
      </c>
      <c r="C23" s="4">
        <f>VLOOKUP($B23,ypp!$B:$D,3,false)</f>
        <v>6</v>
      </c>
      <c r="D23" s="12">
        <f>VLOOKUP($B23,'rz scoring%'!$B:$D,3,false)</f>
        <v>0.6667</v>
      </c>
      <c r="E23" s="12">
        <f>VLOOKUP($B23,'3rd down conversion%'!$B:$D,3,false)</f>
        <v>0.3158</v>
      </c>
      <c r="F23" s="4">
        <f>VLOOKUP($B23,TDgm!$B:$D,3,false)</f>
        <v>3.3</v>
      </c>
      <c r="G23" s="4">
        <f>VLOOKUP($B23,'TO margin'!$B:$D,3,false)</f>
        <v>-1.3</v>
      </c>
      <c r="H23" s="12">
        <f>VLOOKUP($B23,'comp %'!$B:$D,3,false)</f>
        <v>0.7</v>
      </c>
      <c r="I23" s="4">
        <f>VLOOKUP($B23,'1st downgm'!$B:$D,3,false)</f>
        <v>21</v>
      </c>
      <c r="J23" s="4">
        <f>VLOOKUP($B23,pengm!$B:$D,3,false)</f>
        <v>5</v>
      </c>
      <c r="K23" s="5">
        <f t="shared" si="1"/>
        <v>24.064829</v>
      </c>
      <c r="L23" s="5">
        <f t="shared" si="2"/>
        <v>79.4139357</v>
      </c>
    </row>
    <row r="24" ht="15.75" customHeight="1">
      <c r="A24" s="4">
        <f>VLOOKUP(B24,map!B:C,2,false)</f>
        <v>28</v>
      </c>
      <c r="B24" s="4" t="str">
        <f>IFERROR(__xludf.DUMMYFUNCTION("""COMPUTED_VALUE"""),"Atlanta")</f>
        <v>Atlanta</v>
      </c>
      <c r="C24" s="4">
        <f>VLOOKUP($B24,ypp!$B:$D,3,false)</f>
        <v>6</v>
      </c>
      <c r="D24" s="12">
        <f>VLOOKUP($B24,'rz scoring%'!$B:$D,3,false)</f>
        <v>0.6364</v>
      </c>
      <c r="E24" s="12">
        <f>VLOOKUP($B24,'3rd down conversion%'!$B:$D,3,false)</f>
        <v>0.5128</v>
      </c>
      <c r="F24" s="4">
        <f>VLOOKUP($B24,TDgm!$B:$D,3,false)</f>
        <v>3.3</v>
      </c>
      <c r="G24" s="4">
        <f>VLOOKUP($B24,'TO margin'!$B:$D,3,false)</f>
        <v>0.7</v>
      </c>
      <c r="H24" s="12">
        <f>VLOOKUP($B24,'comp %'!$B:$D,3,false)</f>
        <v>0.7053</v>
      </c>
      <c r="I24" s="4">
        <f>VLOOKUP($B24,'1st downgm'!$B:$D,3,false)</f>
        <v>22.3</v>
      </c>
      <c r="J24" s="4">
        <f>VLOOKUP($B24,pengm!$B:$D,3,false)</f>
        <v>6</v>
      </c>
      <c r="K24" s="5">
        <f t="shared" si="1"/>
        <v>25.404916</v>
      </c>
      <c r="L24" s="5">
        <f t="shared" si="2"/>
        <v>83.8362228</v>
      </c>
    </row>
    <row r="25" ht="15.75" customHeight="1">
      <c r="A25" s="4">
        <f>VLOOKUP(B25,map!B:C,2,false)</f>
        <v>2</v>
      </c>
      <c r="B25" s="4" t="str">
        <f>IFERROR(__xludf.DUMMYFUNCTION("""COMPUTED_VALUE"""),"Kansas City")</f>
        <v>Kansas City</v>
      </c>
      <c r="C25" s="4">
        <f>VLOOKUP($B25,ypp!$B:$D,3,false)</f>
        <v>5.2</v>
      </c>
      <c r="D25" s="12">
        <f>VLOOKUP($B25,'rz scoring%'!$B:$D,3,false)</f>
        <v>0.5625</v>
      </c>
      <c r="E25" s="12">
        <f>VLOOKUP($B25,'3rd down conversion%'!$B:$D,3,false)</f>
        <v>0.5909</v>
      </c>
      <c r="F25" s="4">
        <f>VLOOKUP($B25,TDgm!$B:$D,3,false)</f>
        <v>3</v>
      </c>
      <c r="G25" s="4">
        <f>VLOOKUP($B25,'TO margin'!$B:$D,3,false)</f>
        <v>-1.3</v>
      </c>
      <c r="H25" s="12">
        <f>VLOOKUP($B25,'comp %'!$B:$D,3,false)</f>
        <v>0.6827</v>
      </c>
      <c r="I25" s="4">
        <f>VLOOKUP($B25,'1st downgm'!$B:$D,3,false)</f>
        <v>24.3</v>
      </c>
      <c r="J25" s="4">
        <f>VLOOKUP($B25,pengm!$B:$D,3,false)</f>
        <v>6</v>
      </c>
      <c r="K25" s="5">
        <f t="shared" si="1"/>
        <v>25.118055</v>
      </c>
      <c r="L25" s="5">
        <f t="shared" si="2"/>
        <v>75.354165</v>
      </c>
    </row>
    <row r="26" ht="15.75" customHeight="1">
      <c r="A26" s="4">
        <f>VLOOKUP(B26,map!B:C,2,false)</f>
        <v>8</v>
      </c>
      <c r="B26" s="4" t="str">
        <f>IFERROR(__xludf.DUMMYFUNCTION("""COMPUTED_VALUE"""),"Washington")</f>
        <v>Washington</v>
      </c>
      <c r="C26" s="4">
        <f>VLOOKUP($B26,ypp!$B:$D,3,false)</f>
        <v>6.3</v>
      </c>
      <c r="D26" s="12">
        <f>VLOOKUP($B26,'rz scoring%'!$B:$D,3,false)</f>
        <v>0.4167</v>
      </c>
      <c r="E26" s="12">
        <f>VLOOKUP($B26,'3rd down conversion%'!$B:$D,3,false)</f>
        <v>0.3784</v>
      </c>
      <c r="F26" s="4">
        <f>VLOOKUP($B26,TDgm!$B:$D,3,false)</f>
        <v>2.3</v>
      </c>
      <c r="G26" s="4">
        <f>VLOOKUP($B26,'TO margin'!$B:$D,3,false)</f>
        <v>0.3</v>
      </c>
      <c r="H26" s="12">
        <f>VLOOKUP($B26,'comp %'!$B:$D,3,false)</f>
        <v>0.6633</v>
      </c>
      <c r="I26" s="4">
        <f>VLOOKUP($B26,'1st downgm'!$B:$D,3,false)</f>
        <v>22.3</v>
      </c>
      <c r="J26" s="4">
        <f>VLOOKUP($B26,pengm!$B:$D,3,false)</f>
        <v>6.3</v>
      </c>
      <c r="K26" s="5">
        <f t="shared" si="1"/>
        <v>23.222769</v>
      </c>
      <c r="L26" s="5">
        <f t="shared" si="2"/>
        <v>53.4123687</v>
      </c>
    </row>
    <row r="27" ht="15.75" customHeight="1">
      <c r="A27" s="4">
        <f>VLOOKUP(B27,map!B:C,2,false)</f>
        <v>22</v>
      </c>
      <c r="B27" s="4" t="str">
        <f>IFERROR(__xludf.DUMMYFUNCTION("""COMPUTED_VALUE"""),"New England")</f>
        <v>New England</v>
      </c>
      <c r="C27" s="4">
        <f>VLOOKUP($B27,ypp!$B:$D,3,false)</f>
        <v>4.6</v>
      </c>
      <c r="D27" s="12">
        <f>VLOOKUP($B27,'rz scoring%'!$B:$D,3,false)</f>
        <v>0.8571</v>
      </c>
      <c r="E27" s="12">
        <f>VLOOKUP($B27,'3rd down conversion%'!$B:$D,3,false)</f>
        <v>0.4</v>
      </c>
      <c r="F27" s="4">
        <f>VLOOKUP($B27,TDgm!$B:$D,3,false)</f>
        <v>2.7</v>
      </c>
      <c r="G27" s="4">
        <f>VLOOKUP($B27,'TO margin'!$B:$D,3,false)</f>
        <v>-0.7</v>
      </c>
      <c r="H27" s="12">
        <f>VLOOKUP($B27,'comp %'!$B:$D,3,false)</f>
        <v>0.64</v>
      </c>
      <c r="I27" s="4">
        <f>VLOOKUP($B27,'1st downgm'!$B:$D,3,false)</f>
        <v>17.7</v>
      </c>
      <c r="J27" s="4">
        <f>VLOOKUP($B27,pengm!$B:$D,3,false)</f>
        <v>7</v>
      </c>
      <c r="K27" s="5">
        <f t="shared" si="1"/>
        <v>24.771245</v>
      </c>
      <c r="L27" s="5">
        <f t="shared" si="2"/>
        <v>66.8823615</v>
      </c>
    </row>
    <row r="28" ht="15.75" customHeight="1">
      <c r="A28" s="4">
        <f>VLOOKUP(B28,map!B:C,2,false)</f>
        <v>15</v>
      </c>
      <c r="B28" s="4" t="str">
        <f>IFERROR(__xludf.DUMMYFUNCTION("""COMPUTED_VALUE"""),"Green Bay")</f>
        <v>Green Bay</v>
      </c>
      <c r="C28" s="4">
        <f>VLOOKUP($B28,ypp!$B:$D,3,false)</f>
        <v>5.9</v>
      </c>
      <c r="D28" s="12">
        <f>VLOOKUP($B28,'rz scoring%'!$B:$D,3,false)</f>
        <v>0.5</v>
      </c>
      <c r="E28" s="12">
        <f>VLOOKUP($B28,'3rd down conversion%'!$B:$D,3,false)</f>
        <v>0.4242</v>
      </c>
      <c r="F28" s="4">
        <f>VLOOKUP($B28,TDgm!$B:$D,3,false)</f>
        <v>3.3</v>
      </c>
      <c r="G28" s="4">
        <f>VLOOKUP($B28,'TO margin'!$B:$D,3,false)</f>
        <v>1.3</v>
      </c>
      <c r="H28" s="12">
        <f>VLOOKUP($B28,'comp %'!$B:$D,3,false)</f>
        <v>0.6957</v>
      </c>
      <c r="I28" s="4">
        <f>VLOOKUP($B28,'1st downgm'!$B:$D,3,false)</f>
        <v>22.3</v>
      </c>
      <c r="J28" s="4">
        <f>VLOOKUP($B28,pengm!$B:$D,3,false)</f>
        <v>5.3</v>
      </c>
      <c r="K28" s="5">
        <f t="shared" si="1"/>
        <v>23.979264</v>
      </c>
      <c r="L28" s="5">
        <f t="shared" si="2"/>
        <v>79.1315712</v>
      </c>
    </row>
    <row r="29" ht="15.75" customHeight="1">
      <c r="A29" s="4">
        <f>VLOOKUP(B29,map!B:C,2,false)</f>
        <v>25</v>
      </c>
      <c r="B29" s="4" t="str">
        <f>IFERROR(__xludf.DUMMYFUNCTION("""COMPUTED_VALUE"""),"San Francisco")</f>
        <v>San Francisco</v>
      </c>
      <c r="C29" s="4">
        <f>VLOOKUP($B29,ypp!$B:$D,3,false)</f>
        <v>7</v>
      </c>
      <c r="D29" s="12">
        <f>VLOOKUP($B29,'rz scoring%'!$B:$D,3,false)</f>
        <v>0.6154</v>
      </c>
      <c r="E29" s="12">
        <f>VLOOKUP($B29,'3rd down conversion%'!$B:$D,3,false)</f>
        <v>0.3846</v>
      </c>
      <c r="F29" s="4">
        <f>VLOOKUP($B29,TDgm!$B:$D,3,false)</f>
        <v>3</v>
      </c>
      <c r="G29" s="4">
        <f>VLOOKUP($B29,'TO margin'!$B:$D,3,false)</f>
        <v>0</v>
      </c>
      <c r="H29" s="12">
        <f>VLOOKUP($B29,'comp %'!$B:$D,3,false)</f>
        <v>0.6235</v>
      </c>
      <c r="I29" s="4">
        <f>VLOOKUP($B29,'1st downgm'!$B:$D,3,false)</f>
        <v>19.7</v>
      </c>
      <c r="J29" s="4">
        <f>VLOOKUP($B29,pengm!$B:$D,3,false)</f>
        <v>6.7</v>
      </c>
      <c r="K29" s="5">
        <f t="shared" si="1"/>
        <v>25.110238</v>
      </c>
      <c r="L29" s="5">
        <f t="shared" si="2"/>
        <v>75.330714</v>
      </c>
    </row>
    <row r="30" ht="15.75" customHeight="1">
      <c r="A30" s="4">
        <f>VLOOKUP(B30,map!B:C,2,false)</f>
        <v>10</v>
      </c>
      <c r="B30" s="4" t="str">
        <f>IFERROR(__xludf.DUMMYFUNCTION("""COMPUTED_VALUE"""),"Miami")</f>
        <v>Miami</v>
      </c>
      <c r="C30" s="4">
        <f>VLOOKUP($B30,ypp!$B:$D,3,false)</f>
        <v>5.2</v>
      </c>
      <c r="D30" s="12">
        <f>VLOOKUP($B30,'rz scoring%'!$B:$D,3,false)</f>
        <v>0.5556</v>
      </c>
      <c r="E30" s="12">
        <f>VLOOKUP($B30,'3rd down conversion%'!$B:$D,3,false)</f>
        <v>0.4634</v>
      </c>
      <c r="F30" s="4">
        <f>VLOOKUP($B30,TDgm!$B:$D,3,false)</f>
        <v>1.7</v>
      </c>
      <c r="G30" s="4">
        <f>VLOOKUP($B30,'TO margin'!$B:$D,3,false)</f>
        <v>-0.3</v>
      </c>
      <c r="H30" s="12">
        <f>VLOOKUP($B30,'comp %'!$B:$D,3,false)</f>
        <v>0.6421</v>
      </c>
      <c r="I30" s="4">
        <f>VLOOKUP($B30,'1st downgm'!$B:$D,3,false)</f>
        <v>21.3</v>
      </c>
      <c r="J30" s="4">
        <f>VLOOKUP($B30,pengm!$B:$D,3,false)</f>
        <v>4.7</v>
      </c>
      <c r="K30" s="5">
        <f t="shared" si="1"/>
        <v>23.810876</v>
      </c>
      <c r="L30" s="5">
        <f t="shared" si="2"/>
        <v>40.4784892</v>
      </c>
    </row>
    <row r="31" ht="15.75" customHeight="1">
      <c r="A31" s="4">
        <f>VLOOKUP(B31,map!B:C,2,false)</f>
        <v>7</v>
      </c>
      <c r="B31" s="4" t="str">
        <f>IFERROR(__xludf.DUMMYFUNCTION("""COMPUTED_VALUE"""),"LA Chargers")</f>
        <v>LA Chargers</v>
      </c>
      <c r="C31" s="4">
        <f>VLOOKUP($B31,ypp!$B:$D,3,false)</f>
        <v>5.5</v>
      </c>
      <c r="D31" s="12">
        <f>VLOOKUP($B31,'rz scoring%'!$B:$D,3,false)</f>
        <v>0.4286</v>
      </c>
      <c r="E31" s="12">
        <f>VLOOKUP($B31,'3rd down conversion%'!$B:$D,3,false)</f>
        <v>0.4545</v>
      </c>
      <c r="F31" s="4">
        <f>VLOOKUP($B31,TDgm!$B:$D,3,false)</f>
        <v>1.7</v>
      </c>
      <c r="G31" s="4">
        <f>VLOOKUP($B31,'TO margin'!$B:$D,3,false)</f>
        <v>0.7</v>
      </c>
      <c r="H31" s="12">
        <f>VLOOKUP($B31,'comp %'!$B:$D,3,false)</f>
        <v>0.6476</v>
      </c>
      <c r="I31" s="4">
        <f>VLOOKUP($B31,'1st downgm'!$B:$D,3,false)</f>
        <v>20.3</v>
      </c>
      <c r="J31" s="4">
        <f>VLOOKUP($B31,pengm!$B:$D,3,false)</f>
        <v>4</v>
      </c>
      <c r="K31" s="5">
        <f t="shared" si="1"/>
        <v>23.303034</v>
      </c>
      <c r="L31" s="5">
        <f t="shared" si="2"/>
        <v>39.6151578</v>
      </c>
    </row>
    <row r="32" ht="15.75" customHeight="1">
      <c r="A32" s="4">
        <f>VLOOKUP(B32,map!B:C,2,false)</f>
        <v>1</v>
      </c>
      <c r="B32" s="4" t="str">
        <f>IFERROR(__xludf.DUMMYFUNCTION("""COMPUTED_VALUE"""),"Dallas")</f>
        <v>Dallas</v>
      </c>
      <c r="C32" s="4">
        <f>VLOOKUP($B32,ypp!$B:$D,3,false)</f>
        <v>5</v>
      </c>
      <c r="D32" s="12">
        <f>VLOOKUP($B32,'rz scoring%'!$B:$D,3,false)</f>
        <v>0.3</v>
      </c>
      <c r="E32" s="12">
        <f>VLOOKUP($B32,'3rd down conversion%'!$B:$D,3,false)</f>
        <v>0.4</v>
      </c>
      <c r="F32" s="4">
        <f>VLOOKUP($B32,TDgm!$B:$D,3,false)</f>
        <v>1.7</v>
      </c>
      <c r="G32" s="4">
        <f>VLOOKUP($B32,'TO margin'!$B:$D,3,false)</f>
        <v>-0.3</v>
      </c>
      <c r="H32" s="12">
        <f>VLOOKUP($B32,'comp %'!$B:$D,3,false)</f>
        <v>0.6371</v>
      </c>
      <c r="I32" s="4">
        <f>VLOOKUP($B32,'1st downgm'!$B:$D,3,false)</f>
        <v>19.7</v>
      </c>
      <c r="J32" s="4">
        <f>VLOOKUP($B32,pengm!$B:$D,3,false)</f>
        <v>7</v>
      </c>
      <c r="K32" s="5">
        <f t="shared" si="1"/>
        <v>21.904184</v>
      </c>
      <c r="L32" s="5">
        <f t="shared" si="2"/>
        <v>37.2371128</v>
      </c>
    </row>
    <row r="33" ht="15.75" customHeight="1">
      <c r="A33" s="4">
        <f>VLOOKUP(B33,map!B:C,2,false)</f>
        <v>26</v>
      </c>
      <c r="B33" s="4" t="str">
        <f>IFERROR(__xludf.DUMMYFUNCTION("""COMPUTED_VALUE"""),"NY Giants")</f>
        <v>NY Giants</v>
      </c>
      <c r="C33" s="4">
        <f>VLOOKUP($B33,ypp!$B:$D,3,false)</f>
        <v>4.2</v>
      </c>
      <c r="D33" s="12">
        <f>VLOOKUP($B33,'rz scoring%'!$B:$D,3,false)</f>
        <v>0.2857</v>
      </c>
      <c r="E33" s="12">
        <f>VLOOKUP($B33,'3rd down conversion%'!$B:$D,3,false)</f>
        <v>0.3333</v>
      </c>
      <c r="F33" s="4">
        <f>VLOOKUP($B33,TDgm!$B:$D,3,false)</f>
        <v>1.3</v>
      </c>
      <c r="G33" s="4">
        <f>VLOOKUP($B33,'TO margin'!$B:$D,3,false)</f>
        <v>-0.7</v>
      </c>
      <c r="H33" s="12">
        <f>VLOOKUP($B33,'comp %'!$B:$D,3,false)</f>
        <v>0.5962</v>
      </c>
      <c r="I33" s="4">
        <f>VLOOKUP($B33,'1st downgm'!$B:$D,3,false)</f>
        <v>19.3</v>
      </c>
      <c r="J33" s="4">
        <f>VLOOKUP($B33,pengm!$B:$D,3,false)</f>
        <v>3</v>
      </c>
      <c r="K33" s="5">
        <f t="shared" si="1"/>
        <v>20.859527</v>
      </c>
      <c r="L33" s="5">
        <f t="shared" si="2"/>
        <v>27.1173851</v>
      </c>
    </row>
    <row r="34" ht="15.75" customHeight="1">
      <c r="B34" s="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IFERROR(__xludf.DUMMYFUNCTION("QUERY(IMPORTHTML(""https://www.teamrankings.com/nfl/stat/yards-per-play?date=""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30</v>
      </c>
      <c r="B2" s="18" t="str">
        <f>IFERROR(__xludf.DUMMYFUNCTION("""COMPUTED_VALUE"""),"Baltimore")</f>
        <v>Baltimore</v>
      </c>
      <c r="C2" s="19">
        <f>IFERROR(__xludf.DUMMYFUNCTION("""COMPUTED_VALUE"""),7.1)</f>
        <v>7.1</v>
      </c>
      <c r="D2" s="19">
        <f>IFERROR(__xludf.DUMMYFUNCTION("""COMPUTED_VALUE"""),7.6)</f>
        <v>7.6</v>
      </c>
      <c r="E2" s="19">
        <f>IFERROR(__xludf.DUMMYFUNCTION("""COMPUTED_VALUE"""),6.2)</f>
        <v>6.2</v>
      </c>
      <c r="F2" s="19">
        <f>IFERROR(__xludf.DUMMYFUNCTION("""COMPUTED_VALUE"""),7.1)</f>
        <v>7.1</v>
      </c>
      <c r="G2" s="19">
        <f>IFERROR(__xludf.DUMMYFUNCTION("""COMPUTED_VALUE"""),7.1)</f>
        <v>7.1</v>
      </c>
      <c r="H2" s="19">
        <f>IFERROR(__xludf.DUMMYFUNCTION("""COMPUTED_VALUE"""),5.8)</f>
        <v>5.8</v>
      </c>
    </row>
    <row r="3">
      <c r="A3" s="17">
        <f>VLOOKUP(B3,map!B:C,2,false)</f>
        <v>25</v>
      </c>
      <c r="B3" s="18" t="str">
        <f>IFERROR(__xludf.DUMMYFUNCTION("""COMPUTED_VALUE"""),"San Francisco")</f>
        <v>San Francisco</v>
      </c>
      <c r="C3" s="19">
        <f>IFERROR(__xludf.DUMMYFUNCTION("""COMPUTED_VALUE"""),6.5)</f>
        <v>6.5</v>
      </c>
      <c r="D3" s="19">
        <f>IFERROR(__xludf.DUMMYFUNCTION("""COMPUTED_VALUE"""),7.0)</f>
        <v>7</v>
      </c>
      <c r="E3" s="19">
        <f>IFERROR(__xludf.DUMMYFUNCTION("""COMPUTED_VALUE"""),7.3)</f>
        <v>7.3</v>
      </c>
      <c r="F3" s="19">
        <f>IFERROR(__xludf.DUMMYFUNCTION("""COMPUTED_VALUE"""),6.4)</f>
        <v>6.4</v>
      </c>
      <c r="G3" s="19">
        <f>IFERROR(__xludf.DUMMYFUNCTION("""COMPUTED_VALUE"""),6.8)</f>
        <v>6.8</v>
      </c>
      <c r="H3" s="19">
        <f>IFERROR(__xludf.DUMMYFUNCTION("""COMPUTED_VALUE"""),6.5)</f>
        <v>6.5</v>
      </c>
    </row>
    <row r="4">
      <c r="A4" s="17">
        <f>VLOOKUP(B4,map!B:C,2,false)</f>
        <v>8</v>
      </c>
      <c r="B4" s="18" t="str">
        <f>IFERROR(__xludf.DUMMYFUNCTION("""COMPUTED_VALUE"""),"Washington")</f>
        <v>Washington</v>
      </c>
      <c r="C4" s="19">
        <f>IFERROR(__xludf.DUMMYFUNCTION("""COMPUTED_VALUE"""),6.3)</f>
        <v>6.3</v>
      </c>
      <c r="D4" s="19">
        <f>IFERROR(__xludf.DUMMYFUNCTION("""COMPUTED_VALUE"""),6.3)</f>
        <v>6.3</v>
      </c>
      <c r="E4" s="19">
        <f>IFERROR(__xludf.DUMMYFUNCTION("""COMPUTED_VALUE"""),6.7)</f>
        <v>6.7</v>
      </c>
      <c r="F4" s="19">
        <f>IFERROR(__xludf.DUMMYFUNCTION("""COMPUTED_VALUE"""),6.5)</f>
        <v>6.5</v>
      </c>
      <c r="G4" s="19">
        <f>IFERROR(__xludf.DUMMYFUNCTION("""COMPUTED_VALUE"""),6.0)</f>
        <v>6</v>
      </c>
      <c r="H4" s="19">
        <f>IFERROR(__xludf.DUMMYFUNCTION("""COMPUTED_VALUE"""),5.0)</f>
        <v>5</v>
      </c>
    </row>
    <row r="5">
      <c r="A5" s="17">
        <f>VLOOKUP(B5,map!B:C,2,false)</f>
        <v>5</v>
      </c>
      <c r="B5" s="18" t="str">
        <f>IFERROR(__xludf.DUMMYFUNCTION("""COMPUTED_VALUE"""),"Detroit")</f>
        <v>Detroit</v>
      </c>
      <c r="C5" s="19">
        <f>IFERROR(__xludf.DUMMYFUNCTION("""COMPUTED_VALUE"""),6.3)</f>
        <v>6.3</v>
      </c>
      <c r="D5" s="19">
        <f>IFERROR(__xludf.DUMMYFUNCTION("""COMPUTED_VALUE"""),6.6)</f>
        <v>6.6</v>
      </c>
      <c r="E5" s="19">
        <f>IFERROR(__xludf.DUMMYFUNCTION("""COMPUTED_VALUE"""),4.8)</f>
        <v>4.8</v>
      </c>
      <c r="F5" s="19">
        <f>IFERROR(__xludf.DUMMYFUNCTION("""COMPUTED_VALUE"""),6.0)</f>
        <v>6</v>
      </c>
      <c r="G5" s="19">
        <f>IFERROR(__xludf.DUMMYFUNCTION("""COMPUTED_VALUE"""),6.6)</f>
        <v>6.6</v>
      </c>
      <c r="H5" s="19">
        <f>IFERROR(__xludf.DUMMYFUNCTION("""COMPUTED_VALUE"""),5.9)</f>
        <v>5.9</v>
      </c>
    </row>
    <row r="6">
      <c r="A6" s="17">
        <f>VLOOKUP(B6,map!B:C,2,false)</f>
        <v>14</v>
      </c>
      <c r="B6" s="18" t="str">
        <f>IFERROR(__xludf.DUMMYFUNCTION("""COMPUTED_VALUE"""),"Tampa Bay")</f>
        <v>Tampa Bay</v>
      </c>
      <c r="C6" s="19">
        <f>IFERROR(__xludf.DUMMYFUNCTION("""COMPUTED_VALUE"""),6.1)</f>
        <v>6.1</v>
      </c>
      <c r="D6" s="19">
        <f>IFERROR(__xludf.DUMMYFUNCTION("""COMPUTED_VALUE"""),6.8)</f>
        <v>6.8</v>
      </c>
      <c r="E6" s="19">
        <f>IFERROR(__xludf.DUMMYFUNCTION("""COMPUTED_VALUE"""),6.0)</f>
        <v>6</v>
      </c>
      <c r="F6" s="19">
        <f>IFERROR(__xludf.DUMMYFUNCTION("""COMPUTED_VALUE"""),5.8)</f>
        <v>5.8</v>
      </c>
      <c r="G6" s="19">
        <f>IFERROR(__xludf.DUMMYFUNCTION("""COMPUTED_VALUE"""),6.7)</f>
        <v>6.7</v>
      </c>
      <c r="H6" s="19">
        <f>IFERROR(__xludf.DUMMYFUNCTION("""COMPUTED_VALUE"""),5.2)</f>
        <v>5.2</v>
      </c>
    </row>
    <row r="7">
      <c r="A7" s="17">
        <f>VLOOKUP(B7,map!B:C,2,false)</f>
        <v>15</v>
      </c>
      <c r="B7" s="18" t="str">
        <f>IFERROR(__xludf.DUMMYFUNCTION("""COMPUTED_VALUE"""),"Green Bay")</f>
        <v>Green Bay</v>
      </c>
      <c r="C7" s="19">
        <f>IFERROR(__xludf.DUMMYFUNCTION("""COMPUTED_VALUE"""),6.1)</f>
        <v>6.1</v>
      </c>
      <c r="D7" s="19">
        <f>IFERROR(__xludf.DUMMYFUNCTION("""COMPUTED_VALUE"""),5.9)</f>
        <v>5.9</v>
      </c>
      <c r="E7" s="19">
        <f>IFERROR(__xludf.DUMMYFUNCTION("""COMPUTED_VALUE"""),6.3)</f>
        <v>6.3</v>
      </c>
      <c r="F7" s="19">
        <f>IFERROR(__xludf.DUMMYFUNCTION("""COMPUTED_VALUE"""),5.9)</f>
        <v>5.9</v>
      </c>
      <c r="G7" s="19">
        <f>IFERROR(__xludf.DUMMYFUNCTION("""COMPUTED_VALUE"""),6.4)</f>
        <v>6.4</v>
      </c>
      <c r="H7" s="19">
        <f>IFERROR(__xludf.DUMMYFUNCTION("""COMPUTED_VALUE"""),5.7)</f>
        <v>5.7</v>
      </c>
    </row>
    <row r="8">
      <c r="A8" s="17">
        <f>VLOOKUP(B8,map!B:C,2,false)</f>
        <v>28</v>
      </c>
      <c r="B8" s="18" t="str">
        <f>IFERROR(__xludf.DUMMYFUNCTION("""COMPUTED_VALUE"""),"Atlanta")</f>
        <v>Atlanta</v>
      </c>
      <c r="C8" s="19">
        <f>IFERROR(__xludf.DUMMYFUNCTION("""COMPUTED_VALUE"""),6.0)</f>
        <v>6</v>
      </c>
      <c r="D8" s="19">
        <f>IFERROR(__xludf.DUMMYFUNCTION("""COMPUTED_VALUE"""),6.0)</f>
        <v>6</v>
      </c>
      <c r="E8" s="19">
        <f>IFERROR(__xludf.DUMMYFUNCTION("""COMPUTED_VALUE"""),6.6)</f>
        <v>6.6</v>
      </c>
      <c r="F8" s="19">
        <f>IFERROR(__xludf.DUMMYFUNCTION("""COMPUTED_VALUE"""),5.7)</f>
        <v>5.7</v>
      </c>
      <c r="G8" s="19">
        <f>IFERROR(__xludf.DUMMYFUNCTION("""COMPUTED_VALUE"""),6.5)</f>
        <v>6.5</v>
      </c>
      <c r="H8" s="19">
        <f>IFERROR(__xludf.DUMMYFUNCTION("""COMPUTED_VALUE"""),5.2)</f>
        <v>5.2</v>
      </c>
    </row>
    <row r="9">
      <c r="A9" s="17">
        <f>VLOOKUP(B9,map!B:C,2,false)</f>
        <v>21</v>
      </c>
      <c r="B9" s="18" t="str">
        <f>IFERROR(__xludf.DUMMYFUNCTION("""COMPUTED_VALUE"""),"Arizona")</f>
        <v>Arizona</v>
      </c>
      <c r="C9" s="19">
        <f>IFERROR(__xludf.DUMMYFUNCTION("""COMPUTED_VALUE"""),5.9)</f>
        <v>5.9</v>
      </c>
      <c r="D9" s="19">
        <f>IFERROR(__xludf.DUMMYFUNCTION("""COMPUTED_VALUE"""),5.9)</f>
        <v>5.9</v>
      </c>
      <c r="E9" s="19">
        <f>IFERROR(__xludf.DUMMYFUNCTION("""COMPUTED_VALUE"""),6.3)</f>
        <v>6.3</v>
      </c>
      <c r="F9" s="19">
        <f>IFERROR(__xludf.DUMMYFUNCTION("""COMPUTED_VALUE"""),6.1)</f>
        <v>6.1</v>
      </c>
      <c r="G9" s="19">
        <f>IFERROR(__xludf.DUMMYFUNCTION("""COMPUTED_VALUE"""),5.6)</f>
        <v>5.6</v>
      </c>
      <c r="H9" s="19">
        <f>IFERROR(__xludf.DUMMYFUNCTION("""COMPUTED_VALUE"""),5.2)</f>
        <v>5.2</v>
      </c>
    </row>
    <row r="10">
      <c r="A10" s="17">
        <f>VLOOKUP(B10,map!B:C,2,false)</f>
        <v>11</v>
      </c>
      <c r="B10" s="18" t="str">
        <f>IFERROR(__xludf.DUMMYFUNCTION("""COMPUTED_VALUE"""),"Buffalo")</f>
        <v>Buffalo</v>
      </c>
      <c r="C10" s="19">
        <f>IFERROR(__xludf.DUMMYFUNCTION("""COMPUTED_VALUE"""),5.8)</f>
        <v>5.8</v>
      </c>
      <c r="D10" s="19">
        <f>IFERROR(__xludf.DUMMYFUNCTION("""COMPUTED_VALUE"""),6.5)</f>
        <v>6.5</v>
      </c>
      <c r="E10" s="19">
        <f>IFERROR(__xludf.DUMMYFUNCTION("""COMPUTED_VALUE"""),6.4)</f>
        <v>6.4</v>
      </c>
      <c r="F10" s="19">
        <f>IFERROR(__xludf.DUMMYFUNCTION("""COMPUTED_VALUE"""),6.6)</f>
        <v>6.6</v>
      </c>
      <c r="G10" s="19">
        <f>IFERROR(__xludf.DUMMYFUNCTION("""COMPUTED_VALUE"""),5.4)</f>
        <v>5.4</v>
      </c>
      <c r="H10" s="19">
        <f>IFERROR(__xludf.DUMMYFUNCTION("""COMPUTED_VALUE"""),5.6)</f>
        <v>5.6</v>
      </c>
    </row>
    <row r="11">
      <c r="A11" s="17">
        <f>VLOOKUP(B11,map!B:C,2,false)</f>
        <v>6</v>
      </c>
      <c r="B11" s="18" t="str">
        <f>IFERROR(__xludf.DUMMYFUNCTION("""COMPUTED_VALUE"""),"Jacksonville")</f>
        <v>Jacksonville</v>
      </c>
      <c r="C11" s="19">
        <f>IFERROR(__xludf.DUMMYFUNCTION("""COMPUTED_VALUE"""),5.8)</f>
        <v>5.8</v>
      </c>
      <c r="D11" s="19">
        <f>IFERROR(__xludf.DUMMYFUNCTION("""COMPUTED_VALUE"""),5.9)</f>
        <v>5.9</v>
      </c>
      <c r="E11" s="19">
        <f>IFERROR(__xludf.DUMMYFUNCTION("""COMPUTED_VALUE"""),7.0)</f>
        <v>7</v>
      </c>
      <c r="F11" s="19">
        <f>IFERROR(__xludf.DUMMYFUNCTION("""COMPUTED_VALUE"""),7.2)</f>
        <v>7.2</v>
      </c>
      <c r="G11" s="19">
        <f>IFERROR(__xludf.DUMMYFUNCTION("""COMPUTED_VALUE"""),5.0)</f>
        <v>5</v>
      </c>
      <c r="H11" s="19">
        <f>IFERROR(__xludf.DUMMYFUNCTION("""COMPUTED_VALUE"""),5.2)</f>
        <v>5.2</v>
      </c>
    </row>
    <row r="12">
      <c r="A12" s="17">
        <f>VLOOKUP(B12,map!B:C,2,false)</f>
        <v>3</v>
      </c>
      <c r="B12" s="18" t="str">
        <f>IFERROR(__xludf.DUMMYFUNCTION("""COMPUTED_VALUE"""),"Minnesota")</f>
        <v>Minnesota</v>
      </c>
      <c r="C12" s="19">
        <f>IFERROR(__xludf.DUMMYFUNCTION("""COMPUTED_VALUE"""),5.7)</f>
        <v>5.7</v>
      </c>
      <c r="D12" s="19">
        <f>IFERROR(__xludf.DUMMYFUNCTION("""COMPUTED_VALUE"""),5.4)</f>
        <v>5.4</v>
      </c>
      <c r="E12" s="19">
        <f>IFERROR(__xludf.DUMMYFUNCTION("""COMPUTED_VALUE"""),5.5)</f>
        <v>5.5</v>
      </c>
      <c r="F12" s="19">
        <f>IFERROR(__xludf.DUMMYFUNCTION("""COMPUTED_VALUE"""),6.4)</f>
        <v>6.4</v>
      </c>
      <c r="G12" s="19">
        <f>IFERROR(__xludf.DUMMYFUNCTION("""COMPUTED_VALUE"""),5.3)</f>
        <v>5.3</v>
      </c>
      <c r="H12" s="19">
        <f>IFERROR(__xludf.DUMMYFUNCTION("""COMPUTED_VALUE"""),5.5)</f>
        <v>5.5</v>
      </c>
    </row>
    <row r="13">
      <c r="A13" s="17">
        <f>VLOOKUP(B13,map!B:C,2,false)</f>
        <v>12</v>
      </c>
      <c r="B13" s="18" t="str">
        <f>IFERROR(__xludf.DUMMYFUNCTION("""COMPUTED_VALUE"""),"Philadelphia")</f>
        <v>Philadelphia</v>
      </c>
      <c r="C13" s="19">
        <f>IFERROR(__xludf.DUMMYFUNCTION("""COMPUTED_VALUE"""),5.7)</f>
        <v>5.7</v>
      </c>
      <c r="D13" s="19">
        <f>IFERROR(__xludf.DUMMYFUNCTION("""COMPUTED_VALUE"""),6.0)</f>
        <v>6</v>
      </c>
      <c r="E13" s="19">
        <f>IFERROR(__xludf.DUMMYFUNCTION("""COMPUTED_VALUE"""),6.7)</f>
        <v>6.7</v>
      </c>
      <c r="F13" s="19">
        <f>IFERROR(__xludf.DUMMYFUNCTION("""COMPUTED_VALUE"""),5.7)</f>
        <v>5.7</v>
      </c>
      <c r="G13" s="19">
        <f>IFERROR(__xludf.DUMMYFUNCTION("""COMPUTED_VALUE"""),5.7)</f>
        <v>5.7</v>
      </c>
      <c r="H13" s="19">
        <f>IFERROR(__xludf.DUMMYFUNCTION("""COMPUTED_VALUE"""),5.4)</f>
        <v>5.4</v>
      </c>
    </row>
    <row r="14">
      <c r="A14" s="17">
        <f>VLOOKUP(B14,map!B:C,2,false)</f>
        <v>4</v>
      </c>
      <c r="B14" s="18" t="str">
        <f>IFERROR(__xludf.DUMMYFUNCTION("""COMPUTED_VALUE"""),"Cincinnati")</f>
        <v>Cincinnati</v>
      </c>
      <c r="C14" s="19">
        <f>IFERROR(__xludf.DUMMYFUNCTION("""COMPUTED_VALUE"""),5.7)</f>
        <v>5.7</v>
      </c>
      <c r="D14" s="19">
        <f>IFERROR(__xludf.DUMMYFUNCTION("""COMPUTED_VALUE"""),5.0)</f>
        <v>5</v>
      </c>
      <c r="E14" s="19">
        <f>IFERROR(__xludf.DUMMYFUNCTION("""COMPUTED_VALUE"""),4.8)</f>
        <v>4.8</v>
      </c>
      <c r="F14" s="19">
        <f>IFERROR(__xludf.DUMMYFUNCTION("""COMPUTED_VALUE"""),6.0)</f>
        <v>6</v>
      </c>
      <c r="G14" s="19">
        <f>IFERROR(__xludf.DUMMYFUNCTION("""COMPUTED_VALUE"""),5.4)</f>
        <v>5.4</v>
      </c>
      <c r="H14" s="19">
        <f>IFERROR(__xludf.DUMMYFUNCTION("""COMPUTED_VALUE"""),5.2)</f>
        <v>5.2</v>
      </c>
    </row>
    <row r="15">
      <c r="A15" s="17">
        <f>VLOOKUP(B15,map!B:C,2,false)</f>
        <v>13</v>
      </c>
      <c r="B15" s="18" t="str">
        <f>IFERROR(__xludf.DUMMYFUNCTION("""COMPUTED_VALUE"""),"Seattle")</f>
        <v>Seattle</v>
      </c>
      <c r="C15" s="19">
        <f>IFERROR(__xludf.DUMMYFUNCTION("""COMPUTED_VALUE"""),5.6)</f>
        <v>5.6</v>
      </c>
      <c r="D15" s="19">
        <f>IFERROR(__xludf.DUMMYFUNCTION("""COMPUTED_VALUE"""),5.3)</f>
        <v>5.3</v>
      </c>
      <c r="E15" s="19">
        <f>IFERROR(__xludf.DUMMYFUNCTION("""COMPUTED_VALUE"""),5.0)</f>
        <v>5</v>
      </c>
      <c r="F15" s="19">
        <f>IFERROR(__xludf.DUMMYFUNCTION("""COMPUTED_VALUE"""),5.4)</f>
        <v>5.4</v>
      </c>
      <c r="G15" s="19">
        <f>IFERROR(__xludf.DUMMYFUNCTION("""COMPUTED_VALUE"""),6.1)</f>
        <v>6.1</v>
      </c>
      <c r="H15" s="19">
        <f>IFERROR(__xludf.DUMMYFUNCTION("""COMPUTED_VALUE"""),5.5)</f>
        <v>5.5</v>
      </c>
    </row>
    <row r="16">
      <c r="A16" s="17">
        <f>VLOOKUP(B16,map!B:C,2,false)</f>
        <v>20</v>
      </c>
      <c r="B16" s="18" t="str">
        <f>IFERROR(__xludf.DUMMYFUNCTION("""COMPUTED_VALUE"""),"Indianapolis")</f>
        <v>Indianapolis</v>
      </c>
      <c r="C16" s="19">
        <f>IFERROR(__xludf.DUMMYFUNCTION("""COMPUTED_VALUE"""),5.5)</f>
        <v>5.5</v>
      </c>
      <c r="D16" s="19">
        <f>IFERROR(__xludf.DUMMYFUNCTION("""COMPUTED_VALUE"""),4.5)</f>
        <v>4.5</v>
      </c>
      <c r="E16" s="19">
        <f>IFERROR(__xludf.DUMMYFUNCTION("""COMPUTED_VALUE"""),4.8)</f>
        <v>4.8</v>
      </c>
      <c r="F16" s="19">
        <f>IFERROR(__xludf.DUMMYFUNCTION("""COMPUTED_VALUE"""),5.6)</f>
        <v>5.6</v>
      </c>
      <c r="G16" s="19">
        <f>IFERROR(__xludf.DUMMYFUNCTION("""COMPUTED_VALUE"""),5.4)</f>
        <v>5.4</v>
      </c>
      <c r="H16" s="19">
        <f>IFERROR(__xludf.DUMMYFUNCTION("""COMPUTED_VALUE"""),5.2)</f>
        <v>5.2</v>
      </c>
    </row>
    <row r="17">
      <c r="A17" s="17">
        <f>VLOOKUP(B17,map!B:C,2,false)</f>
        <v>17</v>
      </c>
      <c r="B17" s="18" t="str">
        <f>IFERROR(__xludf.DUMMYFUNCTION("""COMPUTED_VALUE"""),"Houston")</f>
        <v>Houston</v>
      </c>
      <c r="C17" s="19">
        <f>IFERROR(__xludf.DUMMYFUNCTION("""COMPUTED_VALUE"""),5.4)</f>
        <v>5.4</v>
      </c>
      <c r="D17" s="19">
        <f>IFERROR(__xludf.DUMMYFUNCTION("""COMPUTED_VALUE"""),4.9)</f>
        <v>4.9</v>
      </c>
      <c r="E17" s="19">
        <f>IFERROR(__xludf.DUMMYFUNCTION("""COMPUTED_VALUE"""),5.3)</f>
        <v>5.3</v>
      </c>
      <c r="F17" s="19">
        <f>IFERROR(__xludf.DUMMYFUNCTION("""COMPUTED_VALUE"""),5.8)</f>
        <v>5.8</v>
      </c>
      <c r="G17" s="19">
        <f>IFERROR(__xludf.DUMMYFUNCTION("""COMPUTED_VALUE"""),4.9)</f>
        <v>4.9</v>
      </c>
      <c r="H17" s="19">
        <f>IFERROR(__xludf.DUMMYFUNCTION("""COMPUTED_VALUE"""),5.4)</f>
        <v>5.4</v>
      </c>
    </row>
    <row r="18">
      <c r="A18" s="17">
        <f>VLOOKUP(B18,map!B:C,2,false)</f>
        <v>2</v>
      </c>
      <c r="B18" s="18" t="str">
        <f>IFERROR(__xludf.DUMMYFUNCTION("""COMPUTED_VALUE"""),"Kansas City")</f>
        <v>Kansas City</v>
      </c>
      <c r="C18" s="19">
        <f>IFERROR(__xludf.DUMMYFUNCTION("""COMPUTED_VALUE"""),5.4)</f>
        <v>5.4</v>
      </c>
      <c r="D18" s="19">
        <f>IFERROR(__xludf.DUMMYFUNCTION("""COMPUTED_VALUE"""),5.2)</f>
        <v>5.2</v>
      </c>
      <c r="E18" s="19">
        <f>IFERROR(__xludf.DUMMYFUNCTION("""COMPUTED_VALUE"""),4.9)</f>
        <v>4.9</v>
      </c>
      <c r="F18" s="19">
        <f>IFERROR(__xludf.DUMMYFUNCTION("""COMPUTED_VALUE"""),5.8)</f>
        <v>5.8</v>
      </c>
      <c r="G18" s="19">
        <f>IFERROR(__xludf.DUMMYFUNCTION("""COMPUTED_VALUE"""),5.0)</f>
        <v>5</v>
      </c>
      <c r="H18" s="19">
        <f>IFERROR(__xludf.DUMMYFUNCTION("""COMPUTED_VALUE"""),5.6)</f>
        <v>5.6</v>
      </c>
    </row>
    <row r="19">
      <c r="A19" s="17">
        <f>VLOOKUP(B19,map!B:C,2,false)</f>
        <v>18</v>
      </c>
      <c r="B19" s="18" t="str">
        <f>IFERROR(__xludf.DUMMYFUNCTION("""COMPUTED_VALUE"""),"LA Rams")</f>
        <v>LA Rams</v>
      </c>
      <c r="C19" s="19">
        <f>IFERROR(__xludf.DUMMYFUNCTION("""COMPUTED_VALUE"""),5.2)</f>
        <v>5.2</v>
      </c>
      <c r="D19" s="19">
        <f>IFERROR(__xludf.DUMMYFUNCTION("""COMPUTED_VALUE"""),5.2)</f>
        <v>5.2</v>
      </c>
      <c r="E19" s="19">
        <f>IFERROR(__xludf.DUMMYFUNCTION("""COMPUTED_VALUE"""),5.8)</f>
        <v>5.8</v>
      </c>
      <c r="F19" s="19">
        <f>IFERROR(__xludf.DUMMYFUNCTION("""COMPUTED_VALUE"""),5.3)</f>
        <v>5.3</v>
      </c>
      <c r="G19" s="19">
        <f>IFERROR(__xludf.DUMMYFUNCTION("""COMPUTED_VALUE"""),5.2)</f>
        <v>5.2</v>
      </c>
      <c r="H19" s="19">
        <f>IFERROR(__xludf.DUMMYFUNCTION("""COMPUTED_VALUE"""),5.7)</f>
        <v>5.7</v>
      </c>
    </row>
    <row r="20">
      <c r="A20" s="17">
        <f>VLOOKUP(B20,map!B:C,2,false)</f>
        <v>7</v>
      </c>
      <c r="B20" s="18" t="str">
        <f>IFERROR(__xludf.DUMMYFUNCTION("""COMPUTED_VALUE"""),"LA Chargers")</f>
        <v>LA Chargers</v>
      </c>
      <c r="C20" s="19">
        <f>IFERROR(__xludf.DUMMYFUNCTION("""COMPUTED_VALUE"""),5.2)</f>
        <v>5.2</v>
      </c>
      <c r="D20" s="19">
        <f>IFERROR(__xludf.DUMMYFUNCTION("""COMPUTED_VALUE"""),5.5)</f>
        <v>5.5</v>
      </c>
      <c r="E20" s="19">
        <f>IFERROR(__xludf.DUMMYFUNCTION("""COMPUTED_VALUE"""),5.9)</f>
        <v>5.9</v>
      </c>
      <c r="F20" s="19">
        <f>IFERROR(__xludf.DUMMYFUNCTION("""COMPUTED_VALUE"""),5.4)</f>
        <v>5.4</v>
      </c>
      <c r="G20" s="19">
        <f>IFERROR(__xludf.DUMMYFUNCTION("""COMPUTED_VALUE"""),5.1)</f>
        <v>5.1</v>
      </c>
      <c r="H20" s="19">
        <f>IFERROR(__xludf.DUMMYFUNCTION("""COMPUTED_VALUE"""),5.1)</f>
        <v>5.1</v>
      </c>
    </row>
    <row r="21">
      <c r="A21" s="17">
        <f>VLOOKUP(B21,map!B:C,2,false)</f>
        <v>1</v>
      </c>
      <c r="B21" s="18" t="str">
        <f>IFERROR(__xludf.DUMMYFUNCTION("""COMPUTED_VALUE"""),"Dallas")</f>
        <v>Dallas</v>
      </c>
      <c r="C21" s="19">
        <f>IFERROR(__xludf.DUMMYFUNCTION("""COMPUTED_VALUE"""),5.2)</f>
        <v>5.2</v>
      </c>
      <c r="D21" s="19">
        <f>IFERROR(__xludf.DUMMYFUNCTION("""COMPUTED_VALUE"""),5.0)</f>
        <v>5</v>
      </c>
      <c r="E21" s="19">
        <f>IFERROR(__xludf.DUMMYFUNCTION("""COMPUTED_VALUE"""),4.9)</f>
        <v>4.9</v>
      </c>
      <c r="F21" s="19">
        <f>IFERROR(__xludf.DUMMYFUNCTION("""COMPUTED_VALUE"""),5.1)</f>
        <v>5.1</v>
      </c>
      <c r="G21" s="19">
        <f>IFERROR(__xludf.DUMMYFUNCTION("""COMPUTED_VALUE"""),5.3)</f>
        <v>5.3</v>
      </c>
      <c r="H21" s="19">
        <f>IFERROR(__xludf.DUMMYFUNCTION("""COMPUTED_VALUE"""),5.6)</f>
        <v>5.6</v>
      </c>
    </row>
    <row r="22">
      <c r="A22" s="17">
        <f>VLOOKUP(B22,map!B:C,2,false)</f>
        <v>9</v>
      </c>
      <c r="B22" s="18" t="str">
        <f>IFERROR(__xludf.DUMMYFUNCTION("""COMPUTED_VALUE"""),"New Orleans")</f>
        <v>New Orleans</v>
      </c>
      <c r="C22" s="19">
        <f>IFERROR(__xludf.DUMMYFUNCTION("""COMPUTED_VALUE"""),5.2)</f>
        <v>5.2</v>
      </c>
      <c r="D22" s="19">
        <f>IFERROR(__xludf.DUMMYFUNCTION("""COMPUTED_VALUE"""),4.7)</f>
        <v>4.7</v>
      </c>
      <c r="E22" s="19">
        <f>IFERROR(__xludf.DUMMYFUNCTION("""COMPUTED_VALUE"""),5.4)</f>
        <v>5.4</v>
      </c>
      <c r="F22" s="19">
        <f>IFERROR(__xludf.DUMMYFUNCTION("""COMPUTED_VALUE"""),4.7)</f>
        <v>4.7</v>
      </c>
      <c r="G22" s="19">
        <f>IFERROR(__xludf.DUMMYFUNCTION("""COMPUTED_VALUE"""),5.6)</f>
        <v>5.6</v>
      </c>
      <c r="H22" s="19">
        <f>IFERROR(__xludf.DUMMYFUNCTION("""COMPUTED_VALUE"""),5.1)</f>
        <v>5.1</v>
      </c>
    </row>
    <row r="23">
      <c r="A23" s="17">
        <f>VLOOKUP(B23,map!B:C,2,false)</f>
        <v>19</v>
      </c>
      <c r="B23" s="18" t="str">
        <f>IFERROR(__xludf.DUMMYFUNCTION("""COMPUTED_VALUE"""),"NY Jets")</f>
        <v>NY Jets</v>
      </c>
      <c r="C23" s="19">
        <f>IFERROR(__xludf.DUMMYFUNCTION("""COMPUTED_VALUE"""),5.1)</f>
        <v>5.1</v>
      </c>
      <c r="D23" s="19">
        <f>IFERROR(__xludf.DUMMYFUNCTION("""COMPUTED_VALUE"""),6.2)</f>
        <v>6.2</v>
      </c>
      <c r="E23" s="19">
        <f>IFERROR(__xludf.DUMMYFUNCTION("""COMPUTED_VALUE"""),5.9)</f>
        <v>5.9</v>
      </c>
      <c r="F23" s="19">
        <f>IFERROR(__xludf.DUMMYFUNCTION("""COMPUTED_VALUE"""),5.2)</f>
        <v>5.2</v>
      </c>
      <c r="G23" s="19">
        <f>IFERROR(__xludf.DUMMYFUNCTION("""COMPUTED_VALUE"""),5.0)</f>
        <v>5</v>
      </c>
      <c r="H23" s="19">
        <f>IFERROR(__xludf.DUMMYFUNCTION("""COMPUTED_VALUE"""),4.3)</f>
        <v>4.3</v>
      </c>
    </row>
    <row r="24">
      <c r="A24" s="17">
        <f>VLOOKUP(B24,map!B:C,2,false)</f>
        <v>27</v>
      </c>
      <c r="B24" s="18" t="str">
        <f>IFERROR(__xludf.DUMMYFUNCTION("""COMPUTED_VALUE"""),"Denver")</f>
        <v>Denver</v>
      </c>
      <c r="C24" s="19">
        <f>IFERROR(__xludf.DUMMYFUNCTION("""COMPUTED_VALUE"""),5.0)</f>
        <v>5</v>
      </c>
      <c r="D24" s="19">
        <f>IFERROR(__xludf.DUMMYFUNCTION("""COMPUTED_VALUE"""),5.9)</f>
        <v>5.9</v>
      </c>
      <c r="E24" s="19">
        <f>IFERROR(__xludf.DUMMYFUNCTION("""COMPUTED_VALUE"""),5.5)</f>
        <v>5.5</v>
      </c>
      <c r="F24" s="19">
        <f>IFERROR(__xludf.DUMMYFUNCTION("""COMPUTED_VALUE"""),5.4)</f>
        <v>5.4</v>
      </c>
      <c r="G24" s="19">
        <f>IFERROR(__xludf.DUMMYFUNCTION("""COMPUTED_VALUE"""),4.6)</f>
        <v>4.6</v>
      </c>
      <c r="H24" s="19">
        <f>IFERROR(__xludf.DUMMYFUNCTION("""COMPUTED_VALUE"""),5.0)</f>
        <v>5</v>
      </c>
    </row>
    <row r="25">
      <c r="A25" s="17">
        <f>VLOOKUP(B25,map!B:C,2,false)</f>
        <v>29</v>
      </c>
      <c r="B25" s="18" t="str">
        <f>IFERROR(__xludf.DUMMYFUNCTION("""COMPUTED_VALUE"""),"Pittsburgh")</f>
        <v>Pittsburgh</v>
      </c>
      <c r="C25" s="19">
        <f>IFERROR(__xludf.DUMMYFUNCTION("""COMPUTED_VALUE"""),5.0)</f>
        <v>5</v>
      </c>
      <c r="D25" s="19">
        <f>IFERROR(__xludf.DUMMYFUNCTION("""COMPUTED_VALUE"""),5.0)</f>
        <v>5</v>
      </c>
      <c r="E25" s="19">
        <f>IFERROR(__xludf.DUMMYFUNCTION("""COMPUTED_VALUE"""),6.2)</f>
        <v>6.2</v>
      </c>
      <c r="F25" s="19">
        <f>IFERROR(__xludf.DUMMYFUNCTION("""COMPUTED_VALUE"""),5.2)</f>
        <v>5.2</v>
      </c>
      <c r="G25" s="19">
        <f>IFERROR(__xludf.DUMMYFUNCTION("""COMPUTED_VALUE"""),4.8)</f>
        <v>4.8</v>
      </c>
      <c r="H25" s="19">
        <f>IFERROR(__xludf.DUMMYFUNCTION("""COMPUTED_VALUE"""),5.0)</f>
        <v>5</v>
      </c>
    </row>
    <row r="26">
      <c r="A26" s="17">
        <f>VLOOKUP(B26,map!B:C,2,false)</f>
        <v>10</v>
      </c>
      <c r="B26" s="18" t="str">
        <f>IFERROR(__xludf.DUMMYFUNCTION("""COMPUTED_VALUE"""),"Miami")</f>
        <v>Miami</v>
      </c>
      <c r="C26" s="19">
        <f>IFERROR(__xludf.DUMMYFUNCTION("""COMPUTED_VALUE"""),4.9)</f>
        <v>4.9</v>
      </c>
      <c r="D26" s="19">
        <f>IFERROR(__xludf.DUMMYFUNCTION("""COMPUTED_VALUE"""),5.2)</f>
        <v>5.2</v>
      </c>
      <c r="E26" s="19">
        <f>IFERROR(__xludf.DUMMYFUNCTION("""COMPUTED_VALUE"""),5.9)</f>
        <v>5.9</v>
      </c>
      <c r="F26" s="19">
        <f>IFERROR(__xludf.DUMMYFUNCTION("""COMPUTED_VALUE"""),5.1)</f>
        <v>5.1</v>
      </c>
      <c r="G26" s="19">
        <f>IFERROR(__xludf.DUMMYFUNCTION("""COMPUTED_VALUE"""),4.6)</f>
        <v>4.6</v>
      </c>
      <c r="H26" s="19">
        <f>IFERROR(__xludf.DUMMYFUNCTION("""COMPUTED_VALUE"""),6.4)</f>
        <v>6.4</v>
      </c>
    </row>
    <row r="27">
      <c r="A27" s="17">
        <f>VLOOKUP(B27,map!B:C,2,false)</f>
        <v>23</v>
      </c>
      <c r="B27" s="18" t="str">
        <f>IFERROR(__xludf.DUMMYFUNCTION("""COMPUTED_VALUE"""),"Carolina")</f>
        <v>Carolina</v>
      </c>
      <c r="C27" s="19">
        <f>IFERROR(__xludf.DUMMYFUNCTION("""COMPUTED_VALUE"""),4.9)</f>
        <v>4.9</v>
      </c>
      <c r="D27" s="19">
        <f>IFERROR(__xludf.DUMMYFUNCTION("""COMPUTED_VALUE"""),4.8)</f>
        <v>4.8</v>
      </c>
      <c r="E27" s="19">
        <f>IFERROR(__xludf.DUMMYFUNCTION("""COMPUTED_VALUE"""),4.7)</f>
        <v>4.7</v>
      </c>
      <c r="F27" s="19">
        <f>IFERROR(__xludf.DUMMYFUNCTION("""COMPUTED_VALUE"""),4.9)</f>
        <v>4.9</v>
      </c>
      <c r="G27" s="19">
        <f>IFERROR(__xludf.DUMMYFUNCTION("""COMPUTED_VALUE"""),4.8)</f>
        <v>4.8</v>
      </c>
      <c r="H27" s="19">
        <f>IFERROR(__xludf.DUMMYFUNCTION("""COMPUTED_VALUE"""),4.1)</f>
        <v>4.1</v>
      </c>
    </row>
    <row r="28">
      <c r="A28" s="17">
        <f>VLOOKUP(B28,map!B:C,2,false)</f>
        <v>31</v>
      </c>
      <c r="B28" s="18" t="str">
        <f>IFERROR(__xludf.DUMMYFUNCTION("""COMPUTED_VALUE"""),"Chicago")</f>
        <v>Chicago</v>
      </c>
      <c r="C28" s="19">
        <f>IFERROR(__xludf.DUMMYFUNCTION("""COMPUTED_VALUE"""),4.7)</f>
        <v>4.7</v>
      </c>
      <c r="D28" s="19">
        <f>IFERROR(__xludf.DUMMYFUNCTION("""COMPUTED_VALUE"""),5.8)</f>
        <v>5.8</v>
      </c>
      <c r="E28" s="19">
        <f>IFERROR(__xludf.DUMMYFUNCTION("""COMPUTED_VALUE"""),5.1)</f>
        <v>5.1</v>
      </c>
      <c r="F28" s="19">
        <f>IFERROR(__xludf.DUMMYFUNCTION("""COMPUTED_VALUE"""),4.8)</f>
        <v>4.8</v>
      </c>
      <c r="G28" s="19">
        <f>IFERROR(__xludf.DUMMYFUNCTION("""COMPUTED_VALUE"""),4.7)</f>
        <v>4.7</v>
      </c>
      <c r="H28" s="19">
        <f>IFERROR(__xludf.DUMMYFUNCTION("""COMPUTED_VALUE"""),5.0)</f>
        <v>5</v>
      </c>
    </row>
    <row r="29">
      <c r="A29" s="17">
        <f>VLOOKUP(B29,map!B:C,2,false)</f>
        <v>24</v>
      </c>
      <c r="B29" s="18" t="str">
        <f>IFERROR(__xludf.DUMMYFUNCTION("""COMPUTED_VALUE"""),"Las Vegas")</f>
        <v>Las Vegas</v>
      </c>
      <c r="C29" s="19">
        <f>IFERROR(__xludf.DUMMYFUNCTION("""COMPUTED_VALUE"""),4.7)</f>
        <v>4.7</v>
      </c>
      <c r="D29" s="19">
        <f>IFERROR(__xludf.DUMMYFUNCTION("""COMPUTED_VALUE"""),4.3)</f>
        <v>4.3</v>
      </c>
      <c r="E29" s="19">
        <f>IFERROR(__xludf.DUMMYFUNCTION("""COMPUTED_VALUE"""),4.1)</f>
        <v>4.1</v>
      </c>
      <c r="F29" s="19">
        <f>IFERROR(__xludf.DUMMYFUNCTION("""COMPUTED_VALUE"""),4.8)</f>
        <v>4.8</v>
      </c>
      <c r="G29" s="19">
        <f>IFERROR(__xludf.DUMMYFUNCTION("""COMPUTED_VALUE"""),4.6)</f>
        <v>4.6</v>
      </c>
      <c r="H29" s="19">
        <f>IFERROR(__xludf.DUMMYFUNCTION("""COMPUTED_VALUE"""),4.9)</f>
        <v>4.9</v>
      </c>
    </row>
    <row r="30">
      <c r="A30" s="17">
        <f>VLOOKUP(B30,map!B:C,2,false)</f>
        <v>32</v>
      </c>
      <c r="B30" s="18" t="str">
        <f>IFERROR(__xludf.DUMMYFUNCTION("""COMPUTED_VALUE"""),"Tennessee")</f>
        <v>Tennessee</v>
      </c>
      <c r="C30" s="19">
        <f>IFERROR(__xludf.DUMMYFUNCTION("""COMPUTED_VALUE"""),4.6)</f>
        <v>4.6</v>
      </c>
      <c r="D30" s="19">
        <f>IFERROR(__xludf.DUMMYFUNCTION("""COMPUTED_VALUE"""),4.9)</f>
        <v>4.9</v>
      </c>
      <c r="E30" s="19">
        <f>IFERROR(__xludf.DUMMYFUNCTION("""COMPUTED_VALUE"""),5.9)</f>
        <v>5.9</v>
      </c>
      <c r="F30" s="19">
        <f>IFERROR(__xludf.DUMMYFUNCTION("""COMPUTED_VALUE"""),4.6)</f>
        <v>4.6</v>
      </c>
      <c r="G30" s="19">
        <f>IFERROR(__xludf.DUMMYFUNCTION("""COMPUTED_VALUE"""),4.6)</f>
        <v>4.6</v>
      </c>
      <c r="H30" s="19">
        <f>IFERROR(__xludf.DUMMYFUNCTION("""COMPUTED_VALUE"""),4.9)</f>
        <v>4.9</v>
      </c>
    </row>
    <row r="31">
      <c r="A31" s="17">
        <f>VLOOKUP(B31,map!B:C,2,false)</f>
        <v>26</v>
      </c>
      <c r="B31" s="18" t="str">
        <f>IFERROR(__xludf.DUMMYFUNCTION("""COMPUTED_VALUE"""),"NY Giants")</f>
        <v>NY Giants</v>
      </c>
      <c r="C31" s="19">
        <f>IFERROR(__xludf.DUMMYFUNCTION("""COMPUTED_VALUE"""),4.5)</f>
        <v>4.5</v>
      </c>
      <c r="D31" s="19">
        <f>IFERROR(__xludf.DUMMYFUNCTION("""COMPUTED_VALUE"""),4.2)</f>
        <v>4.2</v>
      </c>
      <c r="E31" s="19">
        <f>IFERROR(__xludf.DUMMYFUNCTION("""COMPUTED_VALUE"""),2.2)</f>
        <v>2.2</v>
      </c>
      <c r="F31" s="19">
        <f>IFERROR(__xludf.DUMMYFUNCTION("""COMPUTED_VALUE"""),3.7)</f>
        <v>3.7</v>
      </c>
      <c r="G31" s="19">
        <f>IFERROR(__xludf.DUMMYFUNCTION("""COMPUTED_VALUE"""),5.6)</f>
        <v>5.6</v>
      </c>
      <c r="H31" s="19">
        <f>IFERROR(__xludf.DUMMYFUNCTION("""COMPUTED_VALUE"""),4.5)</f>
        <v>4.5</v>
      </c>
    </row>
    <row r="32">
      <c r="A32" s="17">
        <f>VLOOKUP(B32,map!B:C,2,false)</f>
        <v>22</v>
      </c>
      <c r="B32" s="18" t="str">
        <f>IFERROR(__xludf.DUMMYFUNCTION("""COMPUTED_VALUE"""),"New England")</f>
        <v>New England</v>
      </c>
      <c r="C32" s="19">
        <f>IFERROR(__xludf.DUMMYFUNCTION("""COMPUTED_VALUE"""),4.4)</f>
        <v>4.4</v>
      </c>
      <c r="D32" s="19">
        <f>IFERROR(__xludf.DUMMYFUNCTION("""COMPUTED_VALUE"""),4.6)</f>
        <v>4.6</v>
      </c>
      <c r="E32" s="19">
        <f>IFERROR(__xludf.DUMMYFUNCTION("""COMPUTED_VALUE"""),3.9)</f>
        <v>3.9</v>
      </c>
      <c r="F32" s="19">
        <f>IFERROR(__xludf.DUMMYFUNCTION("""COMPUTED_VALUE"""),4.6)</f>
        <v>4.6</v>
      </c>
      <c r="G32" s="19">
        <f>IFERROR(__xludf.DUMMYFUNCTION("""COMPUTED_VALUE"""),4.1)</f>
        <v>4.1</v>
      </c>
      <c r="H32" s="19">
        <f>IFERROR(__xludf.DUMMYFUNCTION("""COMPUTED_VALUE"""),4.6)</f>
        <v>4.6</v>
      </c>
    </row>
    <row r="33">
      <c r="A33" s="17">
        <f>VLOOKUP(B33,map!B:C,2,false)</f>
        <v>16</v>
      </c>
      <c r="B33" s="18" t="str">
        <f>IFERROR(__xludf.DUMMYFUNCTION("""COMPUTED_VALUE"""),"Cleveland")</f>
        <v>Cleveland</v>
      </c>
      <c r="C33" s="19">
        <f>IFERROR(__xludf.DUMMYFUNCTION("""COMPUTED_VALUE"""),4.3)</f>
        <v>4.3</v>
      </c>
      <c r="D33" s="19">
        <f>IFERROR(__xludf.DUMMYFUNCTION("""COMPUTED_VALUE"""),5.0)</f>
        <v>5</v>
      </c>
      <c r="E33" s="19">
        <f>IFERROR(__xludf.DUMMYFUNCTION("""COMPUTED_VALUE"""),6.1)</f>
        <v>6.1</v>
      </c>
      <c r="F33" s="19">
        <f>IFERROR(__xludf.DUMMYFUNCTION("""COMPUTED_VALUE"""),4.3)</f>
        <v>4.3</v>
      </c>
      <c r="G33" s="19">
        <f>IFERROR(__xludf.DUMMYFUNCTION("""COMPUTED_VALUE"""),4.2)</f>
        <v>4.2</v>
      </c>
      <c r="H33" s="19">
        <f>IFERROR(__xludf.DUMMYFUNCTION("""COMPUTED_VALUE"""),4.8)</f>
        <v>4.8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IFERROR(__xludf.DUMMYFUNCTION("QUERY(IMPORTHTML(""https://www.teamrankings.com/nfl/stat/red-zone-scoring-pct?date=""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30</v>
      </c>
      <c r="B2" s="18" t="str">
        <f>IFERROR(__xludf.DUMMYFUNCTION("""COMPUTED_VALUE"""),"Baltimore")</f>
        <v>Baltimore</v>
      </c>
      <c r="C2" s="20">
        <f>IFERROR(__xludf.DUMMYFUNCTION("""COMPUTED_VALUE"""),0.7576)</f>
        <v>0.7576</v>
      </c>
      <c r="D2" s="20">
        <f>IFERROR(__xludf.DUMMYFUNCTION("""COMPUTED_VALUE"""),0.7692)</f>
        <v>0.7692</v>
      </c>
      <c r="E2" s="20">
        <f>IFERROR(__xludf.DUMMYFUNCTION("""COMPUTED_VALUE"""),0.75)</f>
        <v>0.75</v>
      </c>
      <c r="F2" s="20">
        <f>IFERROR(__xludf.DUMMYFUNCTION("""COMPUTED_VALUE"""),0.8182)</f>
        <v>0.8182</v>
      </c>
      <c r="G2" s="20">
        <f>IFERROR(__xludf.DUMMYFUNCTION("""COMPUTED_VALUE"""),0.7273)</f>
        <v>0.7273</v>
      </c>
      <c r="H2" s="20">
        <f>IFERROR(__xludf.DUMMYFUNCTION("""COMPUTED_VALUE"""),0.6216)</f>
        <v>0.6216</v>
      </c>
    </row>
    <row r="3">
      <c r="A3" s="17">
        <f>VLOOKUP(B3,map!B:C,2,false)</f>
        <v>31</v>
      </c>
      <c r="B3" s="18" t="str">
        <f>IFERROR(__xludf.DUMMYFUNCTION("""COMPUTED_VALUE"""),"Chicago")</f>
        <v>Chicago</v>
      </c>
      <c r="C3" s="20">
        <f>IFERROR(__xludf.DUMMYFUNCTION("""COMPUTED_VALUE"""),0.6842)</f>
        <v>0.6842</v>
      </c>
      <c r="D3" s="20">
        <f>IFERROR(__xludf.DUMMYFUNCTION("""COMPUTED_VALUE"""),0.8)</f>
        <v>0.8</v>
      </c>
      <c r="E3" s="20">
        <f>IFERROR(__xludf.DUMMYFUNCTION("""COMPUTED_VALUE"""),0.5)</f>
        <v>0.5</v>
      </c>
      <c r="F3" s="20">
        <f>IFERROR(__xludf.DUMMYFUNCTION("""COMPUTED_VALUE"""),0.5556)</f>
        <v>0.5556</v>
      </c>
      <c r="G3" s="20">
        <f>IFERROR(__xludf.DUMMYFUNCTION("""COMPUTED_VALUE"""),0.8)</f>
        <v>0.8</v>
      </c>
      <c r="H3" s="20">
        <f>IFERROR(__xludf.DUMMYFUNCTION("""COMPUTED_VALUE"""),0.5714)</f>
        <v>0.5714</v>
      </c>
    </row>
    <row r="4">
      <c r="A4" s="17">
        <f>VLOOKUP(B4,map!B:C,2,false)</f>
        <v>14</v>
      </c>
      <c r="B4" s="18" t="str">
        <f>IFERROR(__xludf.DUMMYFUNCTION("""COMPUTED_VALUE"""),"Tampa Bay")</f>
        <v>Tampa Bay</v>
      </c>
      <c r="C4" s="20">
        <f>IFERROR(__xludf.DUMMYFUNCTION("""COMPUTED_VALUE"""),0.6774)</f>
        <v>0.6774</v>
      </c>
      <c r="D4" s="20">
        <f>IFERROR(__xludf.DUMMYFUNCTION("""COMPUTED_VALUE"""),0.7692)</f>
        <v>0.7692</v>
      </c>
      <c r="E4" s="20">
        <f>IFERROR(__xludf.DUMMYFUNCTION("""COMPUTED_VALUE"""),1.0)</f>
        <v>1</v>
      </c>
      <c r="F4" s="20">
        <f>IFERROR(__xludf.DUMMYFUNCTION("""COMPUTED_VALUE"""),0.6667)</f>
        <v>0.6667</v>
      </c>
      <c r="G4" s="20">
        <f>IFERROR(__xludf.DUMMYFUNCTION("""COMPUTED_VALUE"""),0.7)</f>
        <v>0.7</v>
      </c>
      <c r="H4" s="20">
        <f>IFERROR(__xludf.DUMMYFUNCTION("""COMPUTED_VALUE"""),0.4808)</f>
        <v>0.4808</v>
      </c>
    </row>
    <row r="5">
      <c r="A5" s="17">
        <f>VLOOKUP(B5,map!B:C,2,false)</f>
        <v>11</v>
      </c>
      <c r="B5" s="18" t="str">
        <f>IFERROR(__xludf.DUMMYFUNCTION("""COMPUTED_VALUE"""),"Buffalo")</f>
        <v>Buffalo</v>
      </c>
      <c r="C5" s="20">
        <f>IFERROR(__xludf.DUMMYFUNCTION("""COMPUTED_VALUE"""),0.6765)</f>
        <v>0.6765</v>
      </c>
      <c r="D5" s="20">
        <f>IFERROR(__xludf.DUMMYFUNCTION("""COMPUTED_VALUE"""),0.6875)</f>
        <v>0.6875</v>
      </c>
      <c r="E5" s="20">
        <f>IFERROR(__xludf.DUMMYFUNCTION("""COMPUTED_VALUE"""),0.6667)</f>
        <v>0.6667</v>
      </c>
      <c r="F5" s="20">
        <f>IFERROR(__xludf.DUMMYFUNCTION("""COMPUTED_VALUE"""),0.7059)</f>
        <v>0.7059</v>
      </c>
      <c r="G5" s="20">
        <f>IFERROR(__xludf.DUMMYFUNCTION("""COMPUTED_VALUE"""),0.6471)</f>
        <v>0.6471</v>
      </c>
      <c r="H5" s="20">
        <f>IFERROR(__xludf.DUMMYFUNCTION("""COMPUTED_VALUE"""),0.6389)</f>
        <v>0.6389</v>
      </c>
    </row>
    <row r="6">
      <c r="A6" s="17">
        <f>VLOOKUP(B6,map!B:C,2,false)</f>
        <v>9</v>
      </c>
      <c r="B6" s="18" t="str">
        <f>IFERROR(__xludf.DUMMYFUNCTION("""COMPUTED_VALUE"""),"New Orleans")</f>
        <v>New Orleans</v>
      </c>
      <c r="C6" s="20">
        <f>IFERROR(__xludf.DUMMYFUNCTION("""COMPUTED_VALUE"""),0.6667)</f>
        <v>0.6667</v>
      </c>
      <c r="D6" s="20">
        <f>IFERROR(__xludf.DUMMYFUNCTION("""COMPUTED_VALUE"""),0.4286)</f>
        <v>0.4286</v>
      </c>
      <c r="E6" s="20">
        <f>IFERROR(__xludf.DUMMYFUNCTION("""COMPUTED_VALUE"""),0.0)</f>
        <v>0</v>
      </c>
      <c r="F6" s="20">
        <f>IFERROR(__xludf.DUMMYFUNCTION("""COMPUTED_VALUE"""),0.6154)</f>
        <v>0.6154</v>
      </c>
      <c r="G6" s="20">
        <f>IFERROR(__xludf.DUMMYFUNCTION("""COMPUTED_VALUE"""),0.7273)</f>
        <v>0.7273</v>
      </c>
      <c r="H6" s="20">
        <f>IFERROR(__xludf.DUMMYFUNCTION("""COMPUTED_VALUE"""),0.5333)</f>
        <v>0.5333</v>
      </c>
    </row>
    <row r="7">
      <c r="A7" s="17">
        <f>VLOOKUP(B7,map!B:C,2,false)</f>
        <v>4</v>
      </c>
      <c r="B7" s="18" t="str">
        <f>IFERROR(__xludf.DUMMYFUNCTION("""COMPUTED_VALUE"""),"Cincinnati")</f>
        <v>Cincinnati</v>
      </c>
      <c r="C7" s="20">
        <f>IFERROR(__xludf.DUMMYFUNCTION("""COMPUTED_VALUE"""),0.6667)</f>
        <v>0.6667</v>
      </c>
      <c r="D7" s="20">
        <f>IFERROR(__xludf.DUMMYFUNCTION("""COMPUTED_VALUE"""),0.6)</f>
        <v>0.6</v>
      </c>
      <c r="E7" s="20">
        <f>IFERROR(__xludf.DUMMYFUNCTION("""COMPUTED_VALUE"""),0.6667)</f>
        <v>0.6667</v>
      </c>
      <c r="F7" s="20">
        <f>IFERROR(__xludf.DUMMYFUNCTION("""COMPUTED_VALUE"""),0.6667)</f>
        <v>0.6667</v>
      </c>
      <c r="G7" s="20">
        <f>IFERROR(__xludf.DUMMYFUNCTION("""COMPUTED_VALUE"""),0.6667)</f>
        <v>0.6667</v>
      </c>
      <c r="H7" s="20">
        <f>IFERROR(__xludf.DUMMYFUNCTION("""COMPUTED_VALUE"""),0.5962)</f>
        <v>0.5962</v>
      </c>
    </row>
    <row r="8">
      <c r="A8" s="17">
        <f>VLOOKUP(B8,map!B:C,2,false)</f>
        <v>5</v>
      </c>
      <c r="B8" s="18" t="str">
        <f>IFERROR(__xludf.DUMMYFUNCTION("""COMPUTED_VALUE"""),"Detroit")</f>
        <v>Detroit</v>
      </c>
      <c r="C8" s="20">
        <f>IFERROR(__xludf.DUMMYFUNCTION("""COMPUTED_VALUE"""),0.6552)</f>
        <v>0.6552</v>
      </c>
      <c r="D8" s="20">
        <f>IFERROR(__xludf.DUMMYFUNCTION("""COMPUTED_VALUE"""),0.8182)</f>
        <v>0.8182</v>
      </c>
      <c r="E8" s="20">
        <f>IFERROR(__xludf.DUMMYFUNCTION("""COMPUTED_VALUE"""),1.0)</f>
        <v>1</v>
      </c>
      <c r="F8" s="20">
        <f>IFERROR(__xludf.DUMMYFUNCTION("""COMPUTED_VALUE"""),0.619)</f>
        <v>0.619</v>
      </c>
      <c r="G8" s="20">
        <f>IFERROR(__xludf.DUMMYFUNCTION("""COMPUTED_VALUE"""),0.75)</f>
        <v>0.75</v>
      </c>
      <c r="H8" s="20">
        <f>IFERROR(__xludf.DUMMYFUNCTION("""COMPUTED_VALUE"""),0.6667)</f>
        <v>0.6667</v>
      </c>
    </row>
    <row r="9">
      <c r="A9" s="17">
        <f>VLOOKUP(B9,map!B:C,2,false)</f>
        <v>3</v>
      </c>
      <c r="B9" s="18" t="str">
        <f>IFERROR(__xludf.DUMMYFUNCTION("""COMPUTED_VALUE"""),"Minnesota")</f>
        <v>Minnesota</v>
      </c>
      <c r="C9" s="20">
        <f>IFERROR(__xludf.DUMMYFUNCTION("""COMPUTED_VALUE"""),0.65)</f>
        <v>0.65</v>
      </c>
      <c r="D9" s="20">
        <f>IFERROR(__xludf.DUMMYFUNCTION("""COMPUTED_VALUE"""),0.6)</f>
        <v>0.6</v>
      </c>
      <c r="E9" s="20">
        <f>IFERROR(__xludf.DUMMYFUNCTION("""COMPUTED_VALUE"""),0.5)</f>
        <v>0.5</v>
      </c>
      <c r="F9" s="20">
        <f>IFERROR(__xludf.DUMMYFUNCTION("""COMPUTED_VALUE"""),0.625)</f>
        <v>0.625</v>
      </c>
      <c r="G9" s="20">
        <f>IFERROR(__xludf.DUMMYFUNCTION("""COMPUTED_VALUE"""),0.6667)</f>
        <v>0.6667</v>
      </c>
      <c r="H9" s="20">
        <f>IFERROR(__xludf.DUMMYFUNCTION("""COMPUTED_VALUE"""),0.4706)</f>
        <v>0.4706</v>
      </c>
    </row>
    <row r="10">
      <c r="A10" s="17">
        <f>VLOOKUP(B10,map!B:C,2,false)</f>
        <v>16</v>
      </c>
      <c r="B10" s="18" t="str">
        <f>IFERROR(__xludf.DUMMYFUNCTION("""COMPUTED_VALUE"""),"Cleveland")</f>
        <v>Cleveland</v>
      </c>
      <c r="C10" s="20">
        <f>IFERROR(__xludf.DUMMYFUNCTION("""COMPUTED_VALUE"""),0.6154)</f>
        <v>0.6154</v>
      </c>
      <c r="D10" s="20">
        <f>IFERROR(__xludf.DUMMYFUNCTION("""COMPUTED_VALUE"""),0.4)</f>
        <v>0.4</v>
      </c>
      <c r="E10" s="20">
        <f>IFERROR(__xludf.DUMMYFUNCTION("""COMPUTED_VALUE"""),0.0)</f>
        <v>0</v>
      </c>
      <c r="F10" s="20">
        <f>IFERROR(__xludf.DUMMYFUNCTION("""COMPUTED_VALUE"""),0.7143)</f>
        <v>0.7143</v>
      </c>
      <c r="G10" s="20">
        <f>IFERROR(__xludf.DUMMYFUNCTION("""COMPUTED_VALUE"""),0.5)</f>
        <v>0.5</v>
      </c>
      <c r="H10" s="20">
        <f>IFERROR(__xludf.DUMMYFUNCTION("""COMPUTED_VALUE"""),0.5769)</f>
        <v>0.5769</v>
      </c>
    </row>
    <row r="11">
      <c r="A11" s="17">
        <f>VLOOKUP(B11,map!B:C,2,false)</f>
        <v>17</v>
      </c>
      <c r="B11" s="18" t="str">
        <f>IFERROR(__xludf.DUMMYFUNCTION("""COMPUTED_VALUE"""),"Houston")</f>
        <v>Houston</v>
      </c>
      <c r="C11" s="20">
        <f>IFERROR(__xludf.DUMMYFUNCTION("""COMPUTED_VALUE"""),0.6154)</f>
        <v>0.6154</v>
      </c>
      <c r="D11" s="20">
        <f>IFERROR(__xludf.DUMMYFUNCTION("""COMPUTED_VALUE"""),0.5385)</f>
        <v>0.5385</v>
      </c>
      <c r="E11" s="20">
        <f>IFERROR(__xludf.DUMMYFUNCTION("""COMPUTED_VALUE"""),0.3333)</f>
        <v>0.3333</v>
      </c>
      <c r="F11" s="20">
        <f>IFERROR(__xludf.DUMMYFUNCTION("""COMPUTED_VALUE"""),0.5)</f>
        <v>0.5</v>
      </c>
      <c r="G11" s="20">
        <f>IFERROR(__xludf.DUMMYFUNCTION("""COMPUTED_VALUE"""),0.75)</f>
        <v>0.75</v>
      </c>
      <c r="H11" s="20">
        <f>IFERROR(__xludf.DUMMYFUNCTION("""COMPUTED_VALUE"""),0.5536)</f>
        <v>0.5536</v>
      </c>
    </row>
    <row r="12">
      <c r="A12" s="17">
        <f>VLOOKUP(B12,map!B:C,2,false)</f>
        <v>21</v>
      </c>
      <c r="B12" s="18" t="str">
        <f>IFERROR(__xludf.DUMMYFUNCTION("""COMPUTED_VALUE"""),"Arizona")</f>
        <v>Arizona</v>
      </c>
      <c r="C12" s="20">
        <f>IFERROR(__xludf.DUMMYFUNCTION("""COMPUTED_VALUE"""),0.5909)</f>
        <v>0.5909</v>
      </c>
      <c r="D12" s="20">
        <f>IFERROR(__xludf.DUMMYFUNCTION("""COMPUTED_VALUE"""),0.5)</f>
        <v>0.5</v>
      </c>
      <c r="E12" s="20">
        <f>IFERROR(__xludf.DUMMYFUNCTION("""COMPUTED_VALUE"""),0.6667)</f>
        <v>0.6667</v>
      </c>
      <c r="F12" s="20">
        <f>IFERROR(__xludf.DUMMYFUNCTION("""COMPUTED_VALUE"""),0.7778)</f>
        <v>0.7778</v>
      </c>
      <c r="G12" s="20">
        <f>IFERROR(__xludf.DUMMYFUNCTION("""COMPUTED_VALUE"""),0.4615)</f>
        <v>0.4615</v>
      </c>
      <c r="H12" s="20">
        <f>IFERROR(__xludf.DUMMYFUNCTION("""COMPUTED_VALUE"""),0.6279)</f>
        <v>0.6279</v>
      </c>
    </row>
    <row r="13">
      <c r="A13" s="17">
        <f>VLOOKUP(B13,map!B:C,2,false)</f>
        <v>23</v>
      </c>
      <c r="B13" s="18" t="str">
        <f>IFERROR(__xludf.DUMMYFUNCTION("""COMPUTED_VALUE"""),"Carolina")</f>
        <v>Carolina</v>
      </c>
      <c r="C13" s="20">
        <f>IFERROR(__xludf.DUMMYFUNCTION("""COMPUTED_VALUE"""),0.5789)</f>
        <v>0.5789</v>
      </c>
      <c r="D13" s="20">
        <f>IFERROR(__xludf.DUMMYFUNCTION("""COMPUTED_VALUE"""),0.7143)</f>
        <v>0.7143</v>
      </c>
      <c r="E13" s="20">
        <f>IFERROR(__xludf.DUMMYFUNCTION("""COMPUTED_VALUE"""),0.6667)</f>
        <v>0.6667</v>
      </c>
      <c r="F13" s="20">
        <f>IFERROR(__xludf.DUMMYFUNCTION("""COMPUTED_VALUE"""),0.6667)</f>
        <v>0.6667</v>
      </c>
      <c r="G13" s="20">
        <f>IFERROR(__xludf.DUMMYFUNCTION("""COMPUTED_VALUE"""),0.5385)</f>
        <v>0.5385</v>
      </c>
      <c r="H13" s="20">
        <f>IFERROR(__xludf.DUMMYFUNCTION("""COMPUTED_VALUE"""),0.5)</f>
        <v>0.5</v>
      </c>
    </row>
    <row r="14">
      <c r="A14" s="17">
        <f>VLOOKUP(B14,map!B:C,2,false)</f>
        <v>13</v>
      </c>
      <c r="B14" s="18" t="str">
        <f>IFERROR(__xludf.DUMMYFUNCTION("""COMPUTED_VALUE"""),"Seattle")</f>
        <v>Seattle</v>
      </c>
      <c r="C14" s="20">
        <f>IFERROR(__xludf.DUMMYFUNCTION("""COMPUTED_VALUE"""),0.5789)</f>
        <v>0.5789</v>
      </c>
      <c r="D14" s="20">
        <f>IFERROR(__xludf.DUMMYFUNCTION("""COMPUTED_VALUE"""),0.5)</f>
        <v>0.5</v>
      </c>
      <c r="E14" s="20">
        <f>IFERROR(__xludf.DUMMYFUNCTION("""COMPUTED_VALUE"""),0.3333)</f>
        <v>0.3333</v>
      </c>
      <c r="F14" s="20">
        <f>IFERROR(__xludf.DUMMYFUNCTION("""COMPUTED_VALUE"""),0.6)</f>
        <v>0.6</v>
      </c>
      <c r="G14" s="20">
        <f>IFERROR(__xludf.DUMMYFUNCTION("""COMPUTED_VALUE"""),0.5556)</f>
        <v>0.5556</v>
      </c>
      <c r="H14" s="20">
        <f>IFERROR(__xludf.DUMMYFUNCTION("""COMPUTED_VALUE"""),0.4815)</f>
        <v>0.4815</v>
      </c>
    </row>
    <row r="15">
      <c r="A15" s="17">
        <f>VLOOKUP(B15,map!B:C,2,false)</f>
        <v>27</v>
      </c>
      <c r="B15" s="18" t="str">
        <f>IFERROR(__xludf.DUMMYFUNCTION("""COMPUTED_VALUE"""),"Denver")</f>
        <v>Denver</v>
      </c>
      <c r="C15" s="20">
        <f>IFERROR(__xludf.DUMMYFUNCTION("""COMPUTED_VALUE"""),0.5769)</f>
        <v>0.5769</v>
      </c>
      <c r="D15" s="20">
        <f>IFERROR(__xludf.DUMMYFUNCTION("""COMPUTED_VALUE"""),0.8)</f>
        <v>0.8</v>
      </c>
      <c r="E15" s="20">
        <f>IFERROR(__xludf.DUMMYFUNCTION("""COMPUTED_VALUE"""),0.8)</f>
        <v>0.8</v>
      </c>
      <c r="F15" s="20">
        <f>IFERROR(__xludf.DUMMYFUNCTION("""COMPUTED_VALUE"""),0.6429)</f>
        <v>0.6429</v>
      </c>
      <c r="G15" s="20">
        <f>IFERROR(__xludf.DUMMYFUNCTION("""COMPUTED_VALUE"""),0.5)</f>
        <v>0.5</v>
      </c>
      <c r="H15" s="20">
        <f>IFERROR(__xludf.DUMMYFUNCTION("""COMPUTED_VALUE"""),0.5085)</f>
        <v>0.5085</v>
      </c>
    </row>
    <row r="16">
      <c r="A16" s="17">
        <f>VLOOKUP(B16,map!B:C,2,false)</f>
        <v>24</v>
      </c>
      <c r="B16" s="18" t="str">
        <f>IFERROR(__xludf.DUMMYFUNCTION("""COMPUTED_VALUE"""),"Las Vegas")</f>
        <v>Las Vegas</v>
      </c>
      <c r="C16" s="20">
        <f>IFERROR(__xludf.DUMMYFUNCTION("""COMPUTED_VALUE"""),0.5714)</f>
        <v>0.5714</v>
      </c>
      <c r="D16" s="20">
        <f>IFERROR(__xludf.DUMMYFUNCTION("""COMPUTED_VALUE"""),0.4444)</f>
        <v>0.4444</v>
      </c>
      <c r="E16" s="20">
        <f>IFERROR(__xludf.DUMMYFUNCTION("""COMPUTED_VALUE"""),0.5)</f>
        <v>0.5</v>
      </c>
      <c r="F16" s="20">
        <f>IFERROR(__xludf.DUMMYFUNCTION("""COMPUTED_VALUE"""),0.6923)</f>
        <v>0.6923</v>
      </c>
      <c r="G16" s="20">
        <f>IFERROR(__xludf.DUMMYFUNCTION("""COMPUTED_VALUE"""),0.375)</f>
        <v>0.375</v>
      </c>
      <c r="H16" s="20">
        <f>IFERROR(__xludf.DUMMYFUNCTION("""COMPUTED_VALUE"""),0.4894)</f>
        <v>0.4894</v>
      </c>
    </row>
    <row r="17">
      <c r="A17" s="17">
        <f>VLOOKUP(B17,map!B:C,2,false)</f>
        <v>19</v>
      </c>
      <c r="B17" s="18" t="str">
        <f>IFERROR(__xludf.DUMMYFUNCTION("""COMPUTED_VALUE"""),"NY Jets")</f>
        <v>NY Jets</v>
      </c>
      <c r="C17" s="20">
        <f>IFERROR(__xludf.DUMMYFUNCTION("""COMPUTED_VALUE"""),0.56)</f>
        <v>0.56</v>
      </c>
      <c r="D17" s="20">
        <f>IFERROR(__xludf.DUMMYFUNCTION("""COMPUTED_VALUE"""),0.5)</f>
        <v>0.5</v>
      </c>
      <c r="E17" s="20">
        <f>IFERROR(__xludf.DUMMYFUNCTION("""COMPUTED_VALUE"""),0.6)</f>
        <v>0.6</v>
      </c>
      <c r="F17" s="20">
        <f>IFERROR(__xludf.DUMMYFUNCTION("""COMPUTED_VALUE"""),0.4)</f>
        <v>0.4</v>
      </c>
      <c r="G17" s="20">
        <f>IFERROR(__xludf.DUMMYFUNCTION("""COMPUTED_VALUE"""),0.6667)</f>
        <v>0.6667</v>
      </c>
      <c r="H17" s="20">
        <f>IFERROR(__xludf.DUMMYFUNCTION("""COMPUTED_VALUE"""),0.3243)</f>
        <v>0.3243</v>
      </c>
    </row>
    <row r="18">
      <c r="A18" s="17">
        <f>VLOOKUP(B18,map!B:C,2,false)</f>
        <v>6</v>
      </c>
      <c r="B18" s="18" t="str">
        <f>IFERROR(__xludf.DUMMYFUNCTION("""COMPUTED_VALUE"""),"Jacksonville")</f>
        <v>Jacksonville</v>
      </c>
      <c r="C18" s="20">
        <f>IFERROR(__xludf.DUMMYFUNCTION("""COMPUTED_VALUE"""),0.5517)</f>
        <v>0.5517</v>
      </c>
      <c r="D18" s="20">
        <f>IFERROR(__xludf.DUMMYFUNCTION("""COMPUTED_VALUE"""),0.7273)</f>
        <v>0.7273</v>
      </c>
      <c r="E18" s="20">
        <f>IFERROR(__xludf.DUMMYFUNCTION("""COMPUTED_VALUE"""),1.0)</f>
        <v>1</v>
      </c>
      <c r="F18" s="20">
        <f>IFERROR(__xludf.DUMMYFUNCTION("""COMPUTED_VALUE"""),0.5455)</f>
        <v>0.5455</v>
      </c>
      <c r="G18" s="20">
        <f>IFERROR(__xludf.DUMMYFUNCTION("""COMPUTED_VALUE"""),0.5556)</f>
        <v>0.5556</v>
      </c>
      <c r="H18" s="20">
        <f>IFERROR(__xludf.DUMMYFUNCTION("""COMPUTED_VALUE"""),0.5)</f>
        <v>0.5</v>
      </c>
    </row>
    <row r="19">
      <c r="A19" s="17">
        <f>VLOOKUP(B19,map!B:C,2,false)</f>
        <v>32</v>
      </c>
      <c r="B19" s="18" t="str">
        <f>IFERROR(__xludf.DUMMYFUNCTION("""COMPUTED_VALUE"""),"Tennessee")</f>
        <v>Tennessee</v>
      </c>
      <c r="C19" s="20">
        <f>IFERROR(__xludf.DUMMYFUNCTION("""COMPUTED_VALUE"""),0.55)</f>
        <v>0.55</v>
      </c>
      <c r="D19" s="20">
        <f>IFERROR(__xludf.DUMMYFUNCTION("""COMPUTED_VALUE"""),0.5556)</f>
        <v>0.5556</v>
      </c>
      <c r="E19" s="20">
        <f>IFERROR(__xludf.DUMMYFUNCTION("""COMPUTED_VALUE"""),0.5)</f>
        <v>0.5</v>
      </c>
      <c r="F19" s="20">
        <f>IFERROR(__xludf.DUMMYFUNCTION("""COMPUTED_VALUE"""),0.625)</f>
        <v>0.625</v>
      </c>
      <c r="G19" s="20">
        <f>IFERROR(__xludf.DUMMYFUNCTION("""COMPUTED_VALUE"""),0.5)</f>
        <v>0.5</v>
      </c>
      <c r="H19" s="20">
        <f>IFERROR(__xludf.DUMMYFUNCTION("""COMPUTED_VALUE"""),0.4792)</f>
        <v>0.4792</v>
      </c>
    </row>
    <row r="20">
      <c r="A20" s="17">
        <f>VLOOKUP(B20,map!B:C,2,false)</f>
        <v>29</v>
      </c>
      <c r="B20" s="18" t="str">
        <f>IFERROR(__xludf.DUMMYFUNCTION("""COMPUTED_VALUE"""),"Pittsburgh")</f>
        <v>Pittsburgh</v>
      </c>
      <c r="C20" s="20">
        <f>IFERROR(__xludf.DUMMYFUNCTION("""COMPUTED_VALUE"""),0.5417)</f>
        <v>0.5417</v>
      </c>
      <c r="D20" s="20">
        <f>IFERROR(__xludf.DUMMYFUNCTION("""COMPUTED_VALUE"""),0.6667)</f>
        <v>0.6667</v>
      </c>
      <c r="E20" s="20">
        <f>IFERROR(__xludf.DUMMYFUNCTION("""COMPUTED_VALUE"""),0.6667)</f>
        <v>0.6667</v>
      </c>
      <c r="F20" s="20">
        <f>IFERROR(__xludf.DUMMYFUNCTION("""COMPUTED_VALUE"""),0.5833)</f>
        <v>0.5833</v>
      </c>
      <c r="G20" s="20">
        <f>IFERROR(__xludf.DUMMYFUNCTION("""COMPUTED_VALUE"""),0.5)</f>
        <v>0.5</v>
      </c>
      <c r="H20" s="20">
        <f>IFERROR(__xludf.DUMMYFUNCTION("""COMPUTED_VALUE"""),0.4889)</f>
        <v>0.4889</v>
      </c>
    </row>
    <row r="21">
      <c r="A21" s="17">
        <f>VLOOKUP(B21,map!B:C,2,false)</f>
        <v>20</v>
      </c>
      <c r="B21" s="18" t="str">
        <f>IFERROR(__xludf.DUMMYFUNCTION("""COMPUTED_VALUE"""),"Indianapolis")</f>
        <v>Indianapolis</v>
      </c>
      <c r="C21" s="20">
        <f>IFERROR(__xludf.DUMMYFUNCTION("""COMPUTED_VALUE"""),0.5385)</f>
        <v>0.5385</v>
      </c>
      <c r="D21" s="20">
        <f>IFERROR(__xludf.DUMMYFUNCTION("""COMPUTED_VALUE"""),0.375)</f>
        <v>0.375</v>
      </c>
      <c r="E21" s="20">
        <f>IFERROR(__xludf.DUMMYFUNCTION("""COMPUTED_VALUE"""),0.5)</f>
        <v>0.5</v>
      </c>
      <c r="F21" s="20">
        <f>IFERROR(__xludf.DUMMYFUNCTION("""COMPUTED_VALUE"""),0.5714)</f>
        <v>0.5714</v>
      </c>
      <c r="G21" s="20">
        <f>IFERROR(__xludf.DUMMYFUNCTION("""COMPUTED_VALUE"""),0.5)</f>
        <v>0.5</v>
      </c>
      <c r="H21" s="20">
        <f>IFERROR(__xludf.DUMMYFUNCTION("""COMPUTED_VALUE"""),0.4912)</f>
        <v>0.4912</v>
      </c>
    </row>
    <row r="22">
      <c r="A22" s="17">
        <f>VLOOKUP(B22,map!B:C,2,false)</f>
        <v>18</v>
      </c>
      <c r="B22" s="18" t="str">
        <f>IFERROR(__xludf.DUMMYFUNCTION("""COMPUTED_VALUE"""),"LA Rams")</f>
        <v>LA Rams</v>
      </c>
      <c r="C22" s="20">
        <f>IFERROR(__xludf.DUMMYFUNCTION("""COMPUTED_VALUE"""),0.5385)</f>
        <v>0.5385</v>
      </c>
      <c r="D22" s="20">
        <f>IFERROR(__xludf.DUMMYFUNCTION("""COMPUTED_VALUE"""),0.7778)</f>
        <v>0.7778</v>
      </c>
      <c r="E22" s="20">
        <f>IFERROR(__xludf.DUMMYFUNCTION("""COMPUTED_VALUE"""),1.0)</f>
        <v>1</v>
      </c>
      <c r="F22" s="20">
        <f>IFERROR(__xludf.DUMMYFUNCTION("""COMPUTED_VALUE"""),0.7143)</f>
        <v>0.7143</v>
      </c>
      <c r="G22" s="20">
        <f>IFERROR(__xludf.DUMMYFUNCTION("""COMPUTED_VALUE"""),0.3333)</f>
        <v>0.3333</v>
      </c>
      <c r="H22" s="20">
        <f>IFERROR(__xludf.DUMMYFUNCTION("""COMPUTED_VALUE"""),0.6034)</f>
        <v>0.6034</v>
      </c>
    </row>
    <row r="23">
      <c r="A23" s="17">
        <f>VLOOKUP(B23,map!B:C,2,false)</f>
        <v>12</v>
      </c>
      <c r="B23" s="18" t="str">
        <f>IFERROR(__xludf.DUMMYFUNCTION("""COMPUTED_VALUE"""),"Philadelphia")</f>
        <v>Philadelphia</v>
      </c>
      <c r="C23" s="20">
        <f>IFERROR(__xludf.DUMMYFUNCTION("""COMPUTED_VALUE"""),0.5385)</f>
        <v>0.5385</v>
      </c>
      <c r="D23" s="20">
        <f>IFERROR(__xludf.DUMMYFUNCTION("""COMPUTED_VALUE"""),0.6667)</f>
        <v>0.6667</v>
      </c>
      <c r="E23" s="20">
        <f>IFERROR(__xludf.DUMMYFUNCTION("""COMPUTED_VALUE"""),0.6)</f>
        <v>0.6</v>
      </c>
      <c r="F23" s="20">
        <f>IFERROR(__xludf.DUMMYFUNCTION("""COMPUTED_VALUE"""),0.3333)</f>
        <v>0.3333</v>
      </c>
      <c r="G23" s="20">
        <f>IFERROR(__xludf.DUMMYFUNCTION("""COMPUTED_VALUE"""),0.6)</f>
        <v>0.6</v>
      </c>
      <c r="H23" s="20">
        <f>IFERROR(__xludf.DUMMYFUNCTION("""COMPUTED_VALUE"""),0.5968)</f>
        <v>0.5968</v>
      </c>
    </row>
    <row r="24">
      <c r="A24" s="17">
        <f>VLOOKUP(B24,map!B:C,2,false)</f>
        <v>28</v>
      </c>
      <c r="B24" s="18" t="str">
        <f>IFERROR(__xludf.DUMMYFUNCTION("""COMPUTED_VALUE"""),"Atlanta")</f>
        <v>Atlanta</v>
      </c>
      <c r="C24" s="20">
        <f>IFERROR(__xludf.DUMMYFUNCTION("""COMPUTED_VALUE"""),0.52)</f>
        <v>0.52</v>
      </c>
      <c r="D24" s="20">
        <f>IFERROR(__xludf.DUMMYFUNCTION("""COMPUTED_VALUE"""),0.6364)</f>
        <v>0.6364</v>
      </c>
      <c r="E24" s="20">
        <f>IFERROR(__xludf.DUMMYFUNCTION("""COMPUTED_VALUE"""),1.0)</f>
        <v>1</v>
      </c>
      <c r="F24" s="20">
        <f>IFERROR(__xludf.DUMMYFUNCTION("""COMPUTED_VALUE"""),0.5385)</f>
        <v>0.5385</v>
      </c>
      <c r="G24" s="20">
        <f>IFERROR(__xludf.DUMMYFUNCTION("""COMPUTED_VALUE"""),0.5)</f>
        <v>0.5</v>
      </c>
      <c r="H24" s="20">
        <f>IFERROR(__xludf.DUMMYFUNCTION("""COMPUTED_VALUE"""),0.4681)</f>
        <v>0.4681</v>
      </c>
    </row>
    <row r="25">
      <c r="A25" s="17">
        <f>VLOOKUP(B25,map!B:C,2,false)</f>
        <v>2</v>
      </c>
      <c r="B25" s="18" t="str">
        <f>IFERROR(__xludf.DUMMYFUNCTION("""COMPUTED_VALUE"""),"Kansas City")</f>
        <v>Kansas City</v>
      </c>
      <c r="C25" s="20">
        <f>IFERROR(__xludf.DUMMYFUNCTION("""COMPUTED_VALUE"""),0.5185)</f>
        <v>0.5185</v>
      </c>
      <c r="D25" s="20">
        <f>IFERROR(__xludf.DUMMYFUNCTION("""COMPUTED_VALUE"""),0.5625)</f>
        <v>0.5625</v>
      </c>
      <c r="E25" s="20">
        <f>IFERROR(__xludf.DUMMYFUNCTION("""COMPUTED_VALUE"""),0.75)</f>
        <v>0.75</v>
      </c>
      <c r="F25" s="20">
        <f>IFERROR(__xludf.DUMMYFUNCTION("""COMPUTED_VALUE"""),0.3333)</f>
        <v>0.3333</v>
      </c>
      <c r="G25" s="20">
        <f>IFERROR(__xludf.DUMMYFUNCTION("""COMPUTED_VALUE"""),0.6667)</f>
        <v>0.6667</v>
      </c>
      <c r="H25" s="20">
        <f>IFERROR(__xludf.DUMMYFUNCTION("""COMPUTED_VALUE"""),0.5125)</f>
        <v>0.5125</v>
      </c>
    </row>
    <row r="26">
      <c r="A26" s="17">
        <f>VLOOKUP(B26,map!B:C,2,false)</f>
        <v>8</v>
      </c>
      <c r="B26" s="18" t="str">
        <f>IFERROR(__xludf.DUMMYFUNCTION("""COMPUTED_VALUE"""),"Washington")</f>
        <v>Washington</v>
      </c>
      <c r="C26" s="20">
        <f>IFERROR(__xludf.DUMMYFUNCTION("""COMPUTED_VALUE"""),0.5143)</f>
        <v>0.5143</v>
      </c>
      <c r="D26" s="20">
        <f>IFERROR(__xludf.DUMMYFUNCTION("""COMPUTED_VALUE"""),0.4167)</f>
        <v>0.4167</v>
      </c>
      <c r="E26" s="20">
        <f>IFERROR(__xludf.DUMMYFUNCTION("""COMPUTED_VALUE"""),0.0)</f>
        <v>0</v>
      </c>
      <c r="F26" s="20">
        <f>IFERROR(__xludf.DUMMYFUNCTION("""COMPUTED_VALUE"""),0.2857)</f>
        <v>0.2857</v>
      </c>
      <c r="G26" s="20">
        <f>IFERROR(__xludf.DUMMYFUNCTION("""COMPUTED_VALUE"""),0.8571)</f>
        <v>0.8571</v>
      </c>
      <c r="H26" s="20">
        <f>IFERROR(__xludf.DUMMYFUNCTION("""COMPUTED_VALUE"""),0.6327)</f>
        <v>0.6327</v>
      </c>
    </row>
    <row r="27">
      <c r="A27" s="17">
        <f>VLOOKUP(B27,map!B:C,2,false)</f>
        <v>22</v>
      </c>
      <c r="B27" s="18" t="str">
        <f>IFERROR(__xludf.DUMMYFUNCTION("""COMPUTED_VALUE"""),"New England")</f>
        <v>New England</v>
      </c>
      <c r="C27" s="20">
        <f>IFERROR(__xludf.DUMMYFUNCTION("""COMPUTED_VALUE"""),0.5)</f>
        <v>0.5</v>
      </c>
      <c r="D27" s="20">
        <f>IFERROR(__xludf.DUMMYFUNCTION("""COMPUTED_VALUE"""),0.8571)</f>
        <v>0.8571</v>
      </c>
      <c r="E27" s="20">
        <f>IFERROR(__xludf.DUMMYFUNCTION("""COMPUTED_VALUE"""),0.75)</f>
        <v>0.75</v>
      </c>
      <c r="F27" s="20">
        <f>IFERROR(__xludf.DUMMYFUNCTION("""COMPUTED_VALUE"""),0.5455)</f>
        <v>0.5455</v>
      </c>
      <c r="G27" s="20">
        <f>IFERROR(__xludf.DUMMYFUNCTION("""COMPUTED_VALUE"""),0.4444)</f>
        <v>0.4444</v>
      </c>
      <c r="H27" s="20">
        <f>IFERROR(__xludf.DUMMYFUNCTION("""COMPUTED_VALUE"""),0.5833)</f>
        <v>0.5833</v>
      </c>
    </row>
    <row r="28">
      <c r="A28" s="17">
        <f>VLOOKUP(B28,map!B:C,2,false)</f>
        <v>15</v>
      </c>
      <c r="B28" s="18" t="str">
        <f>IFERROR(__xludf.DUMMYFUNCTION("""COMPUTED_VALUE"""),"Green Bay")</f>
        <v>Green Bay</v>
      </c>
      <c r="C28" s="20">
        <f>IFERROR(__xludf.DUMMYFUNCTION("""COMPUTED_VALUE"""),0.5)</f>
        <v>0.5</v>
      </c>
      <c r="D28" s="20">
        <f>IFERROR(__xludf.DUMMYFUNCTION("""COMPUTED_VALUE"""),0.5)</f>
        <v>0.5</v>
      </c>
      <c r="E28" s="20">
        <f>IFERROR(__xludf.DUMMYFUNCTION("""COMPUTED_VALUE"""),0.3333)</f>
        <v>0.3333</v>
      </c>
      <c r="F28" s="20">
        <f>IFERROR(__xludf.DUMMYFUNCTION("""COMPUTED_VALUE"""),0.6429)</f>
        <v>0.6429</v>
      </c>
      <c r="G28" s="20">
        <f>IFERROR(__xludf.DUMMYFUNCTION("""COMPUTED_VALUE"""),0.375)</f>
        <v>0.375</v>
      </c>
      <c r="H28" s="20">
        <f>IFERROR(__xludf.DUMMYFUNCTION("""COMPUTED_VALUE"""),0.5342)</f>
        <v>0.5342</v>
      </c>
    </row>
    <row r="29">
      <c r="A29" s="17">
        <f>VLOOKUP(B29,map!B:C,2,false)</f>
        <v>25</v>
      </c>
      <c r="B29" s="18" t="str">
        <f>IFERROR(__xludf.DUMMYFUNCTION("""COMPUTED_VALUE"""),"San Francisco")</f>
        <v>San Francisco</v>
      </c>
      <c r="C29" s="20">
        <f>IFERROR(__xludf.DUMMYFUNCTION("""COMPUTED_VALUE"""),0.4857)</f>
        <v>0.4857</v>
      </c>
      <c r="D29" s="20">
        <f>IFERROR(__xludf.DUMMYFUNCTION("""COMPUTED_VALUE"""),0.6154)</f>
        <v>0.6154</v>
      </c>
      <c r="E29" s="20">
        <f>IFERROR(__xludf.DUMMYFUNCTION("""COMPUTED_VALUE"""),0.75)</f>
        <v>0.75</v>
      </c>
      <c r="F29" s="20">
        <f>IFERROR(__xludf.DUMMYFUNCTION("""COMPUTED_VALUE"""),0.4348)</f>
        <v>0.4348</v>
      </c>
      <c r="G29" s="20">
        <f>IFERROR(__xludf.DUMMYFUNCTION("""COMPUTED_VALUE"""),0.5833)</f>
        <v>0.5833</v>
      </c>
      <c r="H29" s="20">
        <f>IFERROR(__xludf.DUMMYFUNCTION("""COMPUTED_VALUE"""),0.68)</f>
        <v>0.68</v>
      </c>
    </row>
    <row r="30">
      <c r="A30" s="17">
        <f>VLOOKUP(B30,map!B:C,2,false)</f>
        <v>10</v>
      </c>
      <c r="B30" s="18" t="str">
        <f>IFERROR(__xludf.DUMMYFUNCTION("""COMPUTED_VALUE"""),"Miami")</f>
        <v>Miami</v>
      </c>
      <c r="C30" s="20">
        <f>IFERROR(__xludf.DUMMYFUNCTION("""COMPUTED_VALUE"""),0.4444)</f>
        <v>0.4444</v>
      </c>
      <c r="D30" s="20">
        <f>IFERROR(__xludf.DUMMYFUNCTION("""COMPUTED_VALUE"""),0.5556)</f>
        <v>0.5556</v>
      </c>
      <c r="E30" s="20">
        <f>IFERROR(__xludf.DUMMYFUNCTION("""COMPUTED_VALUE"""),0.75)</f>
        <v>0.75</v>
      </c>
      <c r="F30" s="20">
        <f>IFERROR(__xludf.DUMMYFUNCTION("""COMPUTED_VALUE"""),0.5455)</f>
        <v>0.5455</v>
      </c>
      <c r="G30" s="20">
        <f>IFERROR(__xludf.DUMMYFUNCTION("""COMPUTED_VALUE"""),0.2857)</f>
        <v>0.2857</v>
      </c>
      <c r="H30" s="20">
        <f>IFERROR(__xludf.DUMMYFUNCTION("""COMPUTED_VALUE"""),0.6552)</f>
        <v>0.6552</v>
      </c>
    </row>
    <row r="31">
      <c r="A31" s="17">
        <f>VLOOKUP(B31,map!B:C,2,false)</f>
        <v>7</v>
      </c>
      <c r="B31" s="18" t="str">
        <f>IFERROR(__xludf.DUMMYFUNCTION("""COMPUTED_VALUE"""),"LA Chargers")</f>
        <v>LA Chargers</v>
      </c>
      <c r="C31" s="20">
        <f>IFERROR(__xludf.DUMMYFUNCTION("""COMPUTED_VALUE"""),0.4375)</f>
        <v>0.4375</v>
      </c>
      <c r="D31" s="20">
        <f>IFERROR(__xludf.DUMMYFUNCTION("""COMPUTED_VALUE"""),0.4286)</f>
        <v>0.4286</v>
      </c>
      <c r="E31" s="20">
        <f>IFERROR(__xludf.DUMMYFUNCTION("""COMPUTED_VALUE"""),0.6667)</f>
        <v>0.6667</v>
      </c>
      <c r="F31" s="20">
        <f>IFERROR(__xludf.DUMMYFUNCTION("""COMPUTED_VALUE"""),0.5556)</f>
        <v>0.5556</v>
      </c>
      <c r="G31" s="20">
        <f>IFERROR(__xludf.DUMMYFUNCTION("""COMPUTED_VALUE"""),0.2857)</f>
        <v>0.2857</v>
      </c>
      <c r="H31" s="20">
        <f>IFERROR(__xludf.DUMMYFUNCTION("""COMPUTED_VALUE"""),0.5745)</f>
        <v>0.5745</v>
      </c>
    </row>
    <row r="32">
      <c r="A32" s="17">
        <f>VLOOKUP(B32,map!B:C,2,false)</f>
        <v>1</v>
      </c>
      <c r="B32" s="18" t="str">
        <f>IFERROR(__xludf.DUMMYFUNCTION("""COMPUTED_VALUE"""),"Dallas")</f>
        <v>Dallas</v>
      </c>
      <c r="C32" s="20">
        <f>IFERROR(__xludf.DUMMYFUNCTION("""COMPUTED_VALUE"""),0.4211)</f>
        <v>0.4211</v>
      </c>
      <c r="D32" s="20">
        <f>IFERROR(__xludf.DUMMYFUNCTION("""COMPUTED_VALUE"""),0.3)</f>
        <v>0.3</v>
      </c>
      <c r="E32" s="20">
        <f>IFERROR(__xludf.DUMMYFUNCTION("""COMPUTED_VALUE"""),0.6667)</f>
        <v>0.6667</v>
      </c>
      <c r="F32" s="20">
        <f>IFERROR(__xludf.DUMMYFUNCTION("""COMPUTED_VALUE"""),0.3)</f>
        <v>0.3</v>
      </c>
      <c r="G32" s="20">
        <f>IFERROR(__xludf.DUMMYFUNCTION("""COMPUTED_VALUE"""),0.5556)</f>
        <v>0.5556</v>
      </c>
      <c r="H32" s="20">
        <f>IFERROR(__xludf.DUMMYFUNCTION("""COMPUTED_VALUE"""),0.5789)</f>
        <v>0.5789</v>
      </c>
    </row>
    <row r="33">
      <c r="A33" s="17">
        <f>VLOOKUP(B33,map!B:C,2,false)</f>
        <v>26</v>
      </c>
      <c r="B33" s="18" t="str">
        <f>IFERROR(__xludf.DUMMYFUNCTION("""COMPUTED_VALUE"""),"NY Giants")</f>
        <v>NY Giants</v>
      </c>
      <c r="C33" s="20">
        <f>IFERROR(__xludf.DUMMYFUNCTION("""COMPUTED_VALUE"""),0.4211)</f>
        <v>0.4211</v>
      </c>
      <c r="D33" s="20">
        <f>IFERROR(__xludf.DUMMYFUNCTION("""COMPUTED_VALUE"""),0.2857)</f>
        <v>0.2857</v>
      </c>
      <c r="E33" s="20">
        <f>IFERROR(__xludf.DUMMYFUNCTION("""COMPUTED_VALUE"""),0.0)</f>
        <v>0</v>
      </c>
      <c r="F33" s="20">
        <f>IFERROR(__xludf.DUMMYFUNCTION("""COMPUTED_VALUE"""),0.125)</f>
        <v>0.125</v>
      </c>
      <c r="G33" s="20">
        <f>IFERROR(__xludf.DUMMYFUNCTION("""COMPUTED_VALUE"""),0.6364)</f>
        <v>0.6364</v>
      </c>
      <c r="H33" s="20">
        <f>IFERROR(__xludf.DUMMYFUNCTION("""COMPUTED_VALUE"""),0.4419)</f>
        <v>0.4419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IFERROR(__xludf.DUMMYFUNCTION("QUERY(IMPORTHTML(""https://www.teamrankings.com/nfl/stat/third-down-conversion-pct?date=""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14</v>
      </c>
      <c r="B2" s="18" t="str">
        <f>IFERROR(__xludf.DUMMYFUNCTION("""COMPUTED_VALUE"""),"Tampa Bay")</f>
        <v>Tampa Bay</v>
      </c>
      <c r="C2" s="20">
        <f>IFERROR(__xludf.DUMMYFUNCTION("""COMPUTED_VALUE"""),0.5253)</f>
        <v>0.5253</v>
      </c>
      <c r="D2" s="20">
        <f>IFERROR(__xludf.DUMMYFUNCTION("""COMPUTED_VALUE"""),0.6341)</f>
        <v>0.6341</v>
      </c>
      <c r="E2" s="20">
        <f>IFERROR(__xludf.DUMMYFUNCTION("""COMPUTED_VALUE"""),0.6429)</f>
        <v>0.6429</v>
      </c>
      <c r="F2" s="20">
        <f>IFERROR(__xludf.DUMMYFUNCTION("""COMPUTED_VALUE"""),0.5588)</f>
        <v>0.5588</v>
      </c>
      <c r="G2" s="20">
        <f>IFERROR(__xludf.DUMMYFUNCTION("""COMPUTED_VALUE"""),0.4516)</f>
        <v>0.4516</v>
      </c>
      <c r="H2" s="20">
        <f>IFERROR(__xludf.DUMMYFUNCTION("""COMPUTED_VALUE"""),0.4122)</f>
        <v>0.4122</v>
      </c>
    </row>
    <row r="3">
      <c r="A3" s="17">
        <f>VLOOKUP(B3,map!B:C,2,false)</f>
        <v>2</v>
      </c>
      <c r="B3" s="18" t="str">
        <f>IFERROR(__xludf.DUMMYFUNCTION("""COMPUTED_VALUE"""),"Kansas City")</f>
        <v>Kansas City</v>
      </c>
      <c r="C3" s="20">
        <f>IFERROR(__xludf.DUMMYFUNCTION("""COMPUTED_VALUE"""),0.5055)</f>
        <v>0.5055</v>
      </c>
      <c r="D3" s="20">
        <f>IFERROR(__xludf.DUMMYFUNCTION("""COMPUTED_VALUE"""),0.5909)</f>
        <v>0.5909</v>
      </c>
      <c r="E3" s="20">
        <f>IFERROR(__xludf.DUMMYFUNCTION("""COMPUTED_VALUE"""),0.75)</f>
        <v>0.75</v>
      </c>
      <c r="F3" s="20">
        <f>IFERROR(__xludf.DUMMYFUNCTION("""COMPUTED_VALUE"""),0.3548)</f>
        <v>0.3548</v>
      </c>
      <c r="G3" s="20">
        <f>IFERROR(__xludf.DUMMYFUNCTION("""COMPUTED_VALUE"""),0.5833)</f>
        <v>0.5833</v>
      </c>
      <c r="H3" s="20">
        <f>IFERROR(__xludf.DUMMYFUNCTION("""COMPUTED_VALUE"""),0.4332)</f>
        <v>0.4332</v>
      </c>
    </row>
    <row r="4">
      <c r="A4" s="17">
        <f>VLOOKUP(B4,map!B:C,2,false)</f>
        <v>30</v>
      </c>
      <c r="B4" s="18" t="str">
        <f>IFERROR(__xludf.DUMMYFUNCTION("""COMPUTED_VALUE"""),"Baltimore")</f>
        <v>Baltimore</v>
      </c>
      <c r="C4" s="20">
        <f>IFERROR(__xludf.DUMMYFUNCTION("""COMPUTED_VALUE"""),0.4651)</f>
        <v>0.4651</v>
      </c>
      <c r="D4" s="20">
        <f>IFERROR(__xludf.DUMMYFUNCTION("""COMPUTED_VALUE"""),0.3929)</f>
        <v>0.3929</v>
      </c>
      <c r="E4" s="20">
        <f>IFERROR(__xludf.DUMMYFUNCTION("""COMPUTED_VALUE"""),0.2)</f>
        <v>0.2</v>
      </c>
      <c r="F4" s="20">
        <f>IFERROR(__xludf.DUMMYFUNCTION("""COMPUTED_VALUE"""),0.4667)</f>
        <v>0.4667</v>
      </c>
      <c r="G4" s="20">
        <f>IFERROR(__xludf.DUMMYFUNCTION("""COMPUTED_VALUE"""),0.4643)</f>
        <v>0.4643</v>
      </c>
      <c r="H4" s="20">
        <f>IFERROR(__xludf.DUMMYFUNCTION("""COMPUTED_VALUE"""),0.4087)</f>
        <v>0.4087</v>
      </c>
    </row>
    <row r="5">
      <c r="A5" s="17">
        <f>VLOOKUP(B5,map!B:C,2,false)</f>
        <v>8</v>
      </c>
      <c r="B5" s="18" t="str">
        <f>IFERROR(__xludf.DUMMYFUNCTION("""COMPUTED_VALUE"""),"Washington")</f>
        <v>Washington</v>
      </c>
      <c r="C5" s="20">
        <f>IFERROR(__xludf.DUMMYFUNCTION("""COMPUTED_VALUE"""),0.4639)</f>
        <v>0.4639</v>
      </c>
      <c r="D5" s="20">
        <f>IFERROR(__xludf.DUMMYFUNCTION("""COMPUTED_VALUE"""),0.3784)</f>
        <v>0.3784</v>
      </c>
      <c r="E5" s="20">
        <f>IFERROR(__xludf.DUMMYFUNCTION("""COMPUTED_VALUE"""),0.3333)</f>
        <v>0.3333</v>
      </c>
      <c r="F5" s="20">
        <f>IFERROR(__xludf.DUMMYFUNCTION("""COMPUTED_VALUE"""),0.4464)</f>
        <v>0.4464</v>
      </c>
      <c r="G5" s="20">
        <f>IFERROR(__xludf.DUMMYFUNCTION("""COMPUTED_VALUE"""),0.4878)</f>
        <v>0.4878</v>
      </c>
      <c r="H5" s="20">
        <f>IFERROR(__xludf.DUMMYFUNCTION("""COMPUTED_VALUE"""),0.3565)</f>
        <v>0.3565</v>
      </c>
    </row>
    <row r="6">
      <c r="A6" s="17">
        <f>VLOOKUP(B6,map!B:C,2,false)</f>
        <v>4</v>
      </c>
      <c r="B6" s="18" t="str">
        <f>IFERROR(__xludf.DUMMYFUNCTION("""COMPUTED_VALUE"""),"Cincinnati")</f>
        <v>Cincinnati</v>
      </c>
      <c r="C6" s="20">
        <f>IFERROR(__xludf.DUMMYFUNCTION("""COMPUTED_VALUE"""),0.4592)</f>
        <v>0.4592</v>
      </c>
      <c r="D6" s="20">
        <f>IFERROR(__xludf.DUMMYFUNCTION("""COMPUTED_VALUE"""),0.4324)</f>
        <v>0.4324</v>
      </c>
      <c r="E6" s="20">
        <f>IFERROR(__xludf.DUMMYFUNCTION("""COMPUTED_VALUE"""),0.7692)</f>
        <v>0.7692</v>
      </c>
      <c r="F6" s="20">
        <f>IFERROR(__xludf.DUMMYFUNCTION("""COMPUTED_VALUE"""),0.5833)</f>
        <v>0.5833</v>
      </c>
      <c r="G6" s="20">
        <f>IFERROR(__xludf.DUMMYFUNCTION("""COMPUTED_VALUE"""),0.34)</f>
        <v>0.34</v>
      </c>
      <c r="H6" s="20">
        <f>IFERROR(__xludf.DUMMYFUNCTION("""COMPUTED_VALUE"""),0.3761)</f>
        <v>0.3761</v>
      </c>
    </row>
    <row r="7">
      <c r="A7" s="17">
        <f>VLOOKUP(B7,map!B:C,2,false)</f>
        <v>25</v>
      </c>
      <c r="B7" s="18" t="str">
        <f>IFERROR(__xludf.DUMMYFUNCTION("""COMPUTED_VALUE"""),"San Francisco")</f>
        <v>San Francisco</v>
      </c>
      <c r="C7" s="20">
        <f>IFERROR(__xludf.DUMMYFUNCTION("""COMPUTED_VALUE"""),0.433)</f>
        <v>0.433</v>
      </c>
      <c r="D7" s="20">
        <f>IFERROR(__xludf.DUMMYFUNCTION("""COMPUTED_VALUE"""),0.3846)</f>
        <v>0.3846</v>
      </c>
      <c r="E7" s="20">
        <f>IFERROR(__xludf.DUMMYFUNCTION("""COMPUTED_VALUE"""),0.5)</f>
        <v>0.5</v>
      </c>
      <c r="F7" s="20">
        <f>IFERROR(__xludf.DUMMYFUNCTION("""COMPUTED_VALUE"""),0.4531)</f>
        <v>0.4531</v>
      </c>
      <c r="G7" s="20">
        <f>IFERROR(__xludf.DUMMYFUNCTION("""COMPUTED_VALUE"""),0.3939)</f>
        <v>0.3939</v>
      </c>
      <c r="H7" s="20">
        <f>IFERROR(__xludf.DUMMYFUNCTION("""COMPUTED_VALUE"""),0.4749)</f>
        <v>0.4749</v>
      </c>
    </row>
    <row r="8">
      <c r="A8" s="17">
        <f>VLOOKUP(B8,map!B:C,2,false)</f>
        <v>5</v>
      </c>
      <c r="B8" s="18" t="str">
        <f>IFERROR(__xludf.DUMMYFUNCTION("""COMPUTED_VALUE"""),"Detroit")</f>
        <v>Detroit</v>
      </c>
      <c r="C8" s="20">
        <f>IFERROR(__xludf.DUMMYFUNCTION("""COMPUTED_VALUE"""),0.4286)</f>
        <v>0.4286</v>
      </c>
      <c r="D8" s="20">
        <f>IFERROR(__xludf.DUMMYFUNCTION("""COMPUTED_VALUE"""),0.3793)</f>
        <v>0.3793</v>
      </c>
      <c r="E8" s="20">
        <f>IFERROR(__xludf.DUMMYFUNCTION("""COMPUTED_VALUE"""),0.3333)</f>
        <v>0.3333</v>
      </c>
      <c r="F8" s="20">
        <f>IFERROR(__xludf.DUMMYFUNCTION("""COMPUTED_VALUE"""),0.4222)</f>
        <v>0.4222</v>
      </c>
      <c r="G8" s="20">
        <f>IFERROR(__xludf.DUMMYFUNCTION("""COMPUTED_VALUE"""),0.4375)</f>
        <v>0.4375</v>
      </c>
      <c r="H8" s="20">
        <f>IFERROR(__xludf.DUMMYFUNCTION("""COMPUTED_VALUE"""),0.417)</f>
        <v>0.417</v>
      </c>
    </row>
    <row r="9">
      <c r="A9" s="17">
        <f>VLOOKUP(B9,map!B:C,2,false)</f>
        <v>21</v>
      </c>
      <c r="B9" s="18" t="str">
        <f>IFERROR(__xludf.DUMMYFUNCTION("""COMPUTED_VALUE"""),"Arizona")</f>
        <v>Arizona</v>
      </c>
      <c r="C9" s="20">
        <f>IFERROR(__xludf.DUMMYFUNCTION("""COMPUTED_VALUE"""),0.4167)</f>
        <v>0.4167</v>
      </c>
      <c r="D9" s="20">
        <f>IFERROR(__xludf.DUMMYFUNCTION("""COMPUTED_VALUE"""),0.4333)</f>
        <v>0.4333</v>
      </c>
      <c r="E9" s="20">
        <f>IFERROR(__xludf.DUMMYFUNCTION("""COMPUTED_VALUE"""),0.5385)</f>
        <v>0.5385</v>
      </c>
      <c r="F9" s="20">
        <f>IFERROR(__xludf.DUMMYFUNCTION("""COMPUTED_VALUE"""),0.3684)</f>
        <v>0.3684</v>
      </c>
      <c r="G9" s="20">
        <f>IFERROR(__xludf.DUMMYFUNCTION("""COMPUTED_VALUE"""),0.4565)</f>
        <v>0.4565</v>
      </c>
      <c r="H9" s="20">
        <f>IFERROR(__xludf.DUMMYFUNCTION("""COMPUTED_VALUE"""),0.3911)</f>
        <v>0.3911</v>
      </c>
    </row>
    <row r="10">
      <c r="A10" s="17">
        <f>VLOOKUP(B10,map!B:C,2,false)</f>
        <v>7</v>
      </c>
      <c r="B10" s="18" t="str">
        <f>IFERROR(__xludf.DUMMYFUNCTION("""COMPUTED_VALUE"""),"LA Chargers")</f>
        <v>LA Chargers</v>
      </c>
      <c r="C10" s="20">
        <f>IFERROR(__xludf.DUMMYFUNCTION("""COMPUTED_VALUE"""),0.404)</f>
        <v>0.404</v>
      </c>
      <c r="D10" s="20">
        <f>IFERROR(__xludf.DUMMYFUNCTION("""COMPUTED_VALUE"""),0.4545)</f>
        <v>0.4545</v>
      </c>
      <c r="E10" s="20">
        <f>IFERROR(__xludf.DUMMYFUNCTION("""COMPUTED_VALUE"""),0.25)</f>
        <v>0.25</v>
      </c>
      <c r="F10" s="20">
        <f>IFERROR(__xludf.DUMMYFUNCTION("""COMPUTED_VALUE"""),0.275)</f>
        <v>0.275</v>
      </c>
      <c r="G10" s="20">
        <f>IFERROR(__xludf.DUMMYFUNCTION("""COMPUTED_VALUE"""),0.4915)</f>
        <v>0.4915</v>
      </c>
      <c r="H10" s="20">
        <f>IFERROR(__xludf.DUMMYFUNCTION("""COMPUTED_VALUE"""),0.384)</f>
        <v>0.384</v>
      </c>
    </row>
    <row r="11">
      <c r="A11" s="17">
        <f>VLOOKUP(B11,map!B:C,2,false)</f>
        <v>1</v>
      </c>
      <c r="B11" s="18" t="str">
        <f>IFERROR(__xludf.DUMMYFUNCTION("""COMPUTED_VALUE"""),"Dallas")</f>
        <v>Dallas</v>
      </c>
      <c r="C11" s="20">
        <f>IFERROR(__xludf.DUMMYFUNCTION("""COMPUTED_VALUE"""),0.4)</f>
        <v>0.4</v>
      </c>
      <c r="D11" s="20">
        <f>IFERROR(__xludf.DUMMYFUNCTION("""COMPUTED_VALUE"""),0.4)</f>
        <v>0.4</v>
      </c>
      <c r="E11" s="20">
        <f>IFERROR(__xludf.DUMMYFUNCTION("""COMPUTED_VALUE"""),0.3333)</f>
        <v>0.3333</v>
      </c>
      <c r="F11" s="20">
        <f>IFERROR(__xludf.DUMMYFUNCTION("""COMPUTED_VALUE"""),0.4103)</f>
        <v>0.4103</v>
      </c>
      <c r="G11" s="20">
        <f>IFERROR(__xludf.DUMMYFUNCTION("""COMPUTED_VALUE"""),0.3922)</f>
        <v>0.3922</v>
      </c>
      <c r="H11" s="20">
        <f>IFERROR(__xludf.DUMMYFUNCTION("""COMPUTED_VALUE"""),0.4919)</f>
        <v>0.4919</v>
      </c>
    </row>
    <row r="12">
      <c r="A12" s="17">
        <f>VLOOKUP(B12,map!B:C,2,false)</f>
        <v>19</v>
      </c>
      <c r="B12" s="18" t="str">
        <f>IFERROR(__xludf.DUMMYFUNCTION("""COMPUTED_VALUE"""),"NY Jets")</f>
        <v>NY Jets</v>
      </c>
      <c r="C12" s="20">
        <f>IFERROR(__xludf.DUMMYFUNCTION("""COMPUTED_VALUE"""),0.3981)</f>
        <v>0.3981</v>
      </c>
      <c r="D12" s="20">
        <f>IFERROR(__xludf.DUMMYFUNCTION("""COMPUTED_VALUE"""),0.3438)</f>
        <v>0.3438</v>
      </c>
      <c r="E12" s="20">
        <f>IFERROR(__xludf.DUMMYFUNCTION("""COMPUTED_VALUE"""),0.4)</f>
        <v>0.4</v>
      </c>
      <c r="F12" s="20">
        <f>IFERROR(__xludf.DUMMYFUNCTION("""COMPUTED_VALUE"""),0.4091)</f>
        <v>0.4091</v>
      </c>
      <c r="G12" s="20">
        <f>IFERROR(__xludf.DUMMYFUNCTION("""COMPUTED_VALUE"""),0.3898)</f>
        <v>0.3898</v>
      </c>
      <c r="H12" s="20">
        <f>IFERROR(__xludf.DUMMYFUNCTION("""COMPUTED_VALUE"""),0.2596)</f>
        <v>0.2596</v>
      </c>
    </row>
    <row r="13">
      <c r="A13" s="17">
        <f>VLOOKUP(B13,map!B:C,2,false)</f>
        <v>28</v>
      </c>
      <c r="B13" s="18" t="str">
        <f>IFERROR(__xludf.DUMMYFUNCTION("""COMPUTED_VALUE"""),"Atlanta")</f>
        <v>Atlanta</v>
      </c>
      <c r="C13" s="20">
        <f>IFERROR(__xludf.DUMMYFUNCTION("""COMPUTED_VALUE"""),0.3956)</f>
        <v>0.3956</v>
      </c>
      <c r="D13" s="20">
        <f>IFERROR(__xludf.DUMMYFUNCTION("""COMPUTED_VALUE"""),0.5128)</f>
        <v>0.5128</v>
      </c>
      <c r="E13" s="20">
        <f>IFERROR(__xludf.DUMMYFUNCTION("""COMPUTED_VALUE"""),0.5)</f>
        <v>0.5</v>
      </c>
      <c r="F13" s="20">
        <f>IFERROR(__xludf.DUMMYFUNCTION("""COMPUTED_VALUE"""),0.3793)</f>
        <v>0.3793</v>
      </c>
      <c r="G13" s="20">
        <f>IFERROR(__xludf.DUMMYFUNCTION("""COMPUTED_VALUE"""),0.4242)</f>
        <v>0.4242</v>
      </c>
      <c r="H13" s="20">
        <f>IFERROR(__xludf.DUMMYFUNCTION("""COMPUTED_VALUE"""),0.4)</f>
        <v>0.4</v>
      </c>
    </row>
    <row r="14">
      <c r="A14" s="17">
        <f>VLOOKUP(B14,map!B:C,2,false)</f>
        <v>3</v>
      </c>
      <c r="B14" s="18" t="str">
        <f>IFERROR(__xludf.DUMMYFUNCTION("""COMPUTED_VALUE"""),"Minnesota")</f>
        <v>Minnesota</v>
      </c>
      <c r="C14" s="20">
        <f>IFERROR(__xludf.DUMMYFUNCTION("""COMPUTED_VALUE"""),0.3947)</f>
        <v>0.3947</v>
      </c>
      <c r="D14" s="20">
        <f>IFERROR(__xludf.DUMMYFUNCTION("""COMPUTED_VALUE"""),0.3333)</f>
        <v>0.3333</v>
      </c>
      <c r="E14" s="20">
        <f>IFERROR(__xludf.DUMMYFUNCTION("""COMPUTED_VALUE"""),0.2857)</f>
        <v>0.2857</v>
      </c>
      <c r="F14" s="20">
        <f>IFERROR(__xludf.DUMMYFUNCTION("""COMPUTED_VALUE"""),0.4857)</f>
        <v>0.4857</v>
      </c>
      <c r="G14" s="20">
        <f>IFERROR(__xludf.DUMMYFUNCTION("""COMPUTED_VALUE"""),0.3171)</f>
        <v>0.3171</v>
      </c>
      <c r="H14" s="20">
        <f>IFERROR(__xludf.DUMMYFUNCTION("""COMPUTED_VALUE"""),0.3812)</f>
        <v>0.3812</v>
      </c>
    </row>
    <row r="15">
      <c r="A15" s="17">
        <f>VLOOKUP(B15,map!B:C,2,false)</f>
        <v>15</v>
      </c>
      <c r="B15" s="18" t="str">
        <f>IFERROR(__xludf.DUMMYFUNCTION("""COMPUTED_VALUE"""),"Green Bay")</f>
        <v>Green Bay</v>
      </c>
      <c r="C15" s="20">
        <f>IFERROR(__xludf.DUMMYFUNCTION("""COMPUTED_VALUE"""),0.3895)</f>
        <v>0.3895</v>
      </c>
      <c r="D15" s="20">
        <f>IFERROR(__xludf.DUMMYFUNCTION("""COMPUTED_VALUE"""),0.4242)</f>
        <v>0.4242</v>
      </c>
      <c r="E15" s="20">
        <f>IFERROR(__xludf.DUMMYFUNCTION("""COMPUTED_VALUE"""),0.2727)</f>
        <v>0.2727</v>
      </c>
      <c r="F15" s="20">
        <f>IFERROR(__xludf.DUMMYFUNCTION("""COMPUTED_VALUE"""),0.4902)</f>
        <v>0.4902</v>
      </c>
      <c r="G15" s="20">
        <f>IFERROR(__xludf.DUMMYFUNCTION("""COMPUTED_VALUE"""),0.2727)</f>
        <v>0.2727</v>
      </c>
      <c r="H15" s="20">
        <f>IFERROR(__xludf.DUMMYFUNCTION("""COMPUTED_VALUE"""),0.4797)</f>
        <v>0.4797</v>
      </c>
    </row>
    <row r="16">
      <c r="A16" s="17">
        <f>VLOOKUP(B16,map!B:C,2,false)</f>
        <v>17</v>
      </c>
      <c r="B16" s="18" t="str">
        <f>IFERROR(__xludf.DUMMYFUNCTION("""COMPUTED_VALUE"""),"Houston")</f>
        <v>Houston</v>
      </c>
      <c r="C16" s="20">
        <f>IFERROR(__xludf.DUMMYFUNCTION("""COMPUTED_VALUE"""),0.3889)</f>
        <v>0.3889</v>
      </c>
      <c r="D16" s="20">
        <f>IFERROR(__xludf.DUMMYFUNCTION("""COMPUTED_VALUE"""),0.3243)</f>
        <v>0.3243</v>
      </c>
      <c r="E16" s="20">
        <f>IFERROR(__xludf.DUMMYFUNCTION("""COMPUTED_VALUE"""),0.3077)</f>
        <v>0.3077</v>
      </c>
      <c r="F16" s="20">
        <f>IFERROR(__xludf.DUMMYFUNCTION("""COMPUTED_VALUE"""),0.4107)</f>
        <v>0.4107</v>
      </c>
      <c r="G16" s="20">
        <f>IFERROR(__xludf.DUMMYFUNCTION("""COMPUTED_VALUE"""),0.3654)</f>
        <v>0.3654</v>
      </c>
      <c r="H16" s="20">
        <f>IFERROR(__xludf.DUMMYFUNCTION("""COMPUTED_VALUE"""),0.373)</f>
        <v>0.373</v>
      </c>
    </row>
    <row r="17">
      <c r="A17" s="17">
        <f>VLOOKUP(B17,map!B:C,2,false)</f>
        <v>9</v>
      </c>
      <c r="B17" s="18" t="str">
        <f>IFERROR(__xludf.DUMMYFUNCTION("""COMPUTED_VALUE"""),"New Orleans")</f>
        <v>New Orleans</v>
      </c>
      <c r="C17" s="20">
        <f>IFERROR(__xludf.DUMMYFUNCTION("""COMPUTED_VALUE"""),0.3884)</f>
        <v>0.3884</v>
      </c>
      <c r="D17" s="20">
        <f>IFERROR(__xludf.DUMMYFUNCTION("""COMPUTED_VALUE"""),0.2391)</f>
        <v>0.2391</v>
      </c>
      <c r="E17" s="20">
        <f>IFERROR(__xludf.DUMMYFUNCTION("""COMPUTED_VALUE"""),0.125)</f>
        <v>0.125</v>
      </c>
      <c r="F17" s="20">
        <f>IFERROR(__xludf.DUMMYFUNCTION("""COMPUTED_VALUE"""),0.3929)</f>
        <v>0.3929</v>
      </c>
      <c r="G17" s="20">
        <f>IFERROR(__xludf.DUMMYFUNCTION("""COMPUTED_VALUE"""),0.383)</f>
        <v>0.383</v>
      </c>
      <c r="H17" s="20">
        <f>IFERROR(__xludf.DUMMYFUNCTION("""COMPUTED_VALUE"""),0.3872)</f>
        <v>0.3872</v>
      </c>
    </row>
    <row r="18">
      <c r="A18" s="17">
        <f>VLOOKUP(B18,map!B:C,2,false)</f>
        <v>29</v>
      </c>
      <c r="B18" s="18" t="str">
        <f>IFERROR(__xludf.DUMMYFUNCTION("""COMPUTED_VALUE"""),"Pittsburgh")</f>
        <v>Pittsburgh</v>
      </c>
      <c r="C18" s="20">
        <f>IFERROR(__xludf.DUMMYFUNCTION("""COMPUTED_VALUE"""),0.3854)</f>
        <v>0.3854</v>
      </c>
      <c r="D18" s="20">
        <f>IFERROR(__xludf.DUMMYFUNCTION("""COMPUTED_VALUE"""),0.3077)</f>
        <v>0.3077</v>
      </c>
      <c r="E18" s="20">
        <f>IFERROR(__xludf.DUMMYFUNCTION("""COMPUTED_VALUE"""),0.3571)</f>
        <v>0.3571</v>
      </c>
      <c r="F18" s="20">
        <f>IFERROR(__xludf.DUMMYFUNCTION("""COMPUTED_VALUE"""),0.375)</f>
        <v>0.375</v>
      </c>
      <c r="G18" s="20">
        <f>IFERROR(__xludf.DUMMYFUNCTION("""COMPUTED_VALUE"""),0.3929)</f>
        <v>0.3929</v>
      </c>
      <c r="H18" s="20">
        <f>IFERROR(__xludf.DUMMYFUNCTION("""COMPUTED_VALUE"""),0.3704)</f>
        <v>0.3704</v>
      </c>
    </row>
    <row r="19">
      <c r="A19" s="17">
        <f>VLOOKUP(B19,map!B:C,2,false)</f>
        <v>10</v>
      </c>
      <c r="B19" s="18" t="str">
        <f>IFERROR(__xludf.DUMMYFUNCTION("""COMPUTED_VALUE"""),"Miami")</f>
        <v>Miami</v>
      </c>
      <c r="C19" s="20">
        <f>IFERROR(__xludf.DUMMYFUNCTION("""COMPUTED_VALUE"""),0.3854)</f>
        <v>0.3854</v>
      </c>
      <c r="D19" s="20">
        <f>IFERROR(__xludf.DUMMYFUNCTION("""COMPUTED_VALUE"""),0.4634)</f>
        <v>0.4634</v>
      </c>
      <c r="E19" s="20">
        <f>IFERROR(__xludf.DUMMYFUNCTION("""COMPUTED_VALUE"""),0.7333)</f>
        <v>0.7333</v>
      </c>
      <c r="F19" s="20">
        <f>IFERROR(__xludf.DUMMYFUNCTION("""COMPUTED_VALUE"""),0.4828)</f>
        <v>0.4828</v>
      </c>
      <c r="G19" s="20">
        <f>IFERROR(__xludf.DUMMYFUNCTION("""COMPUTED_VALUE"""),0.2368)</f>
        <v>0.2368</v>
      </c>
      <c r="H19" s="20">
        <f>IFERROR(__xludf.DUMMYFUNCTION("""COMPUTED_VALUE"""),0.4019)</f>
        <v>0.4019</v>
      </c>
    </row>
    <row r="20">
      <c r="A20" s="17">
        <f>VLOOKUP(B20,map!B:C,2,false)</f>
        <v>18</v>
      </c>
      <c r="B20" s="18" t="str">
        <f>IFERROR(__xludf.DUMMYFUNCTION("""COMPUTED_VALUE"""),"LA Rams")</f>
        <v>LA Rams</v>
      </c>
      <c r="C20" s="20">
        <f>IFERROR(__xludf.DUMMYFUNCTION("""COMPUTED_VALUE"""),0.378)</f>
        <v>0.378</v>
      </c>
      <c r="D20" s="20">
        <f>IFERROR(__xludf.DUMMYFUNCTION("""COMPUTED_VALUE"""),0.3889)</f>
        <v>0.3889</v>
      </c>
      <c r="E20" s="20">
        <f>IFERROR(__xludf.DUMMYFUNCTION("""COMPUTED_VALUE"""),0.4)</f>
        <v>0.4</v>
      </c>
      <c r="F20" s="20">
        <f>IFERROR(__xludf.DUMMYFUNCTION("""COMPUTED_VALUE"""),0.3958)</f>
        <v>0.3958</v>
      </c>
      <c r="G20" s="20">
        <f>IFERROR(__xludf.DUMMYFUNCTION("""COMPUTED_VALUE"""),0.3529)</f>
        <v>0.3529</v>
      </c>
      <c r="H20" s="20">
        <f>IFERROR(__xludf.DUMMYFUNCTION("""COMPUTED_VALUE"""),0.417)</f>
        <v>0.417</v>
      </c>
    </row>
    <row r="21">
      <c r="A21" s="17">
        <f>VLOOKUP(B21,map!B:C,2,false)</f>
        <v>20</v>
      </c>
      <c r="B21" s="18" t="str">
        <f>IFERROR(__xludf.DUMMYFUNCTION("""COMPUTED_VALUE"""),"Indianapolis")</f>
        <v>Indianapolis</v>
      </c>
      <c r="C21" s="20">
        <f>IFERROR(__xludf.DUMMYFUNCTION("""COMPUTED_VALUE"""),0.3762)</f>
        <v>0.3762</v>
      </c>
      <c r="D21" s="20">
        <f>IFERROR(__xludf.DUMMYFUNCTION("""COMPUTED_VALUE"""),0.3171)</f>
        <v>0.3171</v>
      </c>
      <c r="E21" s="20">
        <f>IFERROR(__xludf.DUMMYFUNCTION("""COMPUTED_VALUE"""),0.1538)</f>
        <v>0.1538</v>
      </c>
      <c r="F21" s="20">
        <f>IFERROR(__xludf.DUMMYFUNCTION("""COMPUTED_VALUE"""),0.4)</f>
        <v>0.4</v>
      </c>
      <c r="G21" s="20">
        <f>IFERROR(__xludf.DUMMYFUNCTION("""COMPUTED_VALUE"""),0.3529)</f>
        <v>0.3529</v>
      </c>
      <c r="H21" s="20">
        <f>IFERROR(__xludf.DUMMYFUNCTION("""COMPUTED_VALUE"""),0.3534)</f>
        <v>0.3534</v>
      </c>
    </row>
    <row r="22">
      <c r="A22" s="17">
        <f>VLOOKUP(B22,map!B:C,2,false)</f>
        <v>12</v>
      </c>
      <c r="B22" s="18" t="str">
        <f>IFERROR(__xludf.DUMMYFUNCTION("""COMPUTED_VALUE"""),"Philadelphia")</f>
        <v>Philadelphia</v>
      </c>
      <c r="C22" s="20">
        <f>IFERROR(__xludf.DUMMYFUNCTION("""COMPUTED_VALUE"""),0.3696)</f>
        <v>0.3696</v>
      </c>
      <c r="D22" s="20">
        <f>IFERROR(__xludf.DUMMYFUNCTION("""COMPUTED_VALUE"""),0.3158)</f>
        <v>0.3158</v>
      </c>
      <c r="E22" s="20">
        <f>IFERROR(__xludf.DUMMYFUNCTION("""COMPUTED_VALUE"""),0.5455)</f>
        <v>0.5455</v>
      </c>
      <c r="F22" s="20">
        <f>IFERROR(__xludf.DUMMYFUNCTION("""COMPUTED_VALUE"""),0.4074)</f>
        <v>0.4074</v>
      </c>
      <c r="G22" s="20">
        <f>IFERROR(__xludf.DUMMYFUNCTION("""COMPUTED_VALUE"""),0.3538)</f>
        <v>0.3538</v>
      </c>
      <c r="H22" s="20">
        <f>IFERROR(__xludf.DUMMYFUNCTION("""COMPUTED_VALUE"""),0.4615)</f>
        <v>0.4615</v>
      </c>
    </row>
    <row r="23">
      <c r="A23" s="17">
        <f>VLOOKUP(B23,map!B:C,2,false)</f>
        <v>11</v>
      </c>
      <c r="B23" s="18" t="str">
        <f>IFERROR(__xludf.DUMMYFUNCTION("""COMPUTED_VALUE"""),"Buffalo")</f>
        <v>Buffalo</v>
      </c>
      <c r="C23" s="20">
        <f>IFERROR(__xludf.DUMMYFUNCTION("""COMPUTED_VALUE"""),0.3696)</f>
        <v>0.3696</v>
      </c>
      <c r="D23" s="20">
        <f>IFERROR(__xludf.DUMMYFUNCTION("""COMPUTED_VALUE"""),0.4444)</f>
        <v>0.4444</v>
      </c>
      <c r="E23" s="20">
        <f>IFERROR(__xludf.DUMMYFUNCTION("""COMPUTED_VALUE"""),0.5333)</f>
        <v>0.5333</v>
      </c>
      <c r="F23" s="20">
        <f>IFERROR(__xludf.DUMMYFUNCTION("""COMPUTED_VALUE"""),0.4)</f>
        <v>0.4</v>
      </c>
      <c r="G23" s="20">
        <f>IFERROR(__xludf.DUMMYFUNCTION("""COMPUTED_VALUE"""),0.3548)</f>
        <v>0.3548</v>
      </c>
      <c r="H23" s="20">
        <f>IFERROR(__xludf.DUMMYFUNCTION("""COMPUTED_VALUE"""),0.4939)</f>
        <v>0.4939</v>
      </c>
    </row>
    <row r="24">
      <c r="A24" s="17">
        <f>VLOOKUP(B24,map!B:C,2,false)</f>
        <v>13</v>
      </c>
      <c r="B24" s="18" t="str">
        <f>IFERROR(__xludf.DUMMYFUNCTION("""COMPUTED_VALUE"""),"Seattle")</f>
        <v>Seattle</v>
      </c>
      <c r="C24" s="20">
        <f>IFERROR(__xludf.DUMMYFUNCTION("""COMPUTED_VALUE"""),0.3656)</f>
        <v>0.3656</v>
      </c>
      <c r="D24" s="20">
        <f>IFERROR(__xludf.DUMMYFUNCTION("""COMPUTED_VALUE"""),0.3529)</f>
        <v>0.3529</v>
      </c>
      <c r="E24" s="20">
        <f>IFERROR(__xludf.DUMMYFUNCTION("""COMPUTED_VALUE"""),0.1429)</f>
        <v>0.1429</v>
      </c>
      <c r="F24" s="20">
        <f>IFERROR(__xludf.DUMMYFUNCTION("""COMPUTED_VALUE"""),0.3158)</f>
        <v>0.3158</v>
      </c>
      <c r="G24" s="20">
        <f>IFERROR(__xludf.DUMMYFUNCTION("""COMPUTED_VALUE"""),0.4444)</f>
        <v>0.4444</v>
      </c>
      <c r="H24" s="20">
        <f>IFERROR(__xludf.DUMMYFUNCTION("""COMPUTED_VALUE"""),0.3623)</f>
        <v>0.3623</v>
      </c>
    </row>
    <row r="25">
      <c r="A25" s="17">
        <f>VLOOKUP(B25,map!B:C,2,false)</f>
        <v>22</v>
      </c>
      <c r="B25" s="18" t="str">
        <f>IFERROR(__xludf.DUMMYFUNCTION("""COMPUTED_VALUE"""),"New England")</f>
        <v>New England</v>
      </c>
      <c r="C25" s="20">
        <f>IFERROR(__xludf.DUMMYFUNCTION("""COMPUTED_VALUE"""),0.3514)</f>
        <v>0.3514</v>
      </c>
      <c r="D25" s="20">
        <f>IFERROR(__xludf.DUMMYFUNCTION("""COMPUTED_VALUE"""),0.4)</f>
        <v>0.4</v>
      </c>
      <c r="E25" s="20">
        <f>IFERROR(__xludf.DUMMYFUNCTION("""COMPUTED_VALUE"""),0.4667)</f>
        <v>0.4667</v>
      </c>
      <c r="F25" s="20">
        <f>IFERROR(__xludf.DUMMYFUNCTION("""COMPUTED_VALUE"""),0.3509)</f>
        <v>0.3509</v>
      </c>
      <c r="G25" s="20">
        <f>IFERROR(__xludf.DUMMYFUNCTION("""COMPUTED_VALUE"""),0.3519)</f>
        <v>0.3519</v>
      </c>
      <c r="H25" s="20">
        <f>IFERROR(__xludf.DUMMYFUNCTION("""COMPUTED_VALUE"""),0.3018)</f>
        <v>0.3018</v>
      </c>
    </row>
    <row r="26">
      <c r="A26" s="17">
        <f>VLOOKUP(B26,map!B:C,2,false)</f>
        <v>26</v>
      </c>
      <c r="B26" s="18" t="str">
        <f>IFERROR(__xludf.DUMMYFUNCTION("""COMPUTED_VALUE"""),"NY Giants")</f>
        <v>NY Giants</v>
      </c>
      <c r="C26" s="20">
        <f>IFERROR(__xludf.DUMMYFUNCTION("""COMPUTED_VALUE"""),0.3465)</f>
        <v>0.3465</v>
      </c>
      <c r="D26" s="20">
        <f>IFERROR(__xludf.DUMMYFUNCTION("""COMPUTED_VALUE"""),0.3333)</f>
        <v>0.3333</v>
      </c>
      <c r="E26" s="20">
        <f>IFERROR(__xludf.DUMMYFUNCTION("""COMPUTED_VALUE"""),0.2143)</f>
        <v>0.2143</v>
      </c>
      <c r="F26" s="20">
        <f>IFERROR(__xludf.DUMMYFUNCTION("""COMPUTED_VALUE"""),0.3175)</f>
        <v>0.3175</v>
      </c>
      <c r="G26" s="20">
        <f>IFERROR(__xludf.DUMMYFUNCTION("""COMPUTED_VALUE"""),0.3947)</f>
        <v>0.3947</v>
      </c>
      <c r="H26" s="20">
        <f>IFERROR(__xludf.DUMMYFUNCTION("""COMPUTED_VALUE"""),0.3024)</f>
        <v>0.3024</v>
      </c>
    </row>
    <row r="27">
      <c r="A27" s="17">
        <f>VLOOKUP(B27,map!B:C,2,false)</f>
        <v>24</v>
      </c>
      <c r="B27" s="18" t="str">
        <f>IFERROR(__xludf.DUMMYFUNCTION("""COMPUTED_VALUE"""),"Las Vegas")</f>
        <v>Las Vegas</v>
      </c>
      <c r="C27" s="20">
        <f>IFERROR(__xludf.DUMMYFUNCTION("""COMPUTED_VALUE"""),0.3301)</f>
        <v>0.3301</v>
      </c>
      <c r="D27" s="20">
        <f>IFERROR(__xludf.DUMMYFUNCTION("""COMPUTED_VALUE"""),0.2821)</f>
        <v>0.2821</v>
      </c>
      <c r="E27" s="20">
        <f>IFERROR(__xludf.DUMMYFUNCTION("""COMPUTED_VALUE"""),0.4615)</f>
        <v>0.4615</v>
      </c>
      <c r="F27" s="20">
        <f>IFERROR(__xludf.DUMMYFUNCTION("""COMPUTED_VALUE"""),0.3191)</f>
        <v>0.3191</v>
      </c>
      <c r="G27" s="20">
        <f>IFERROR(__xludf.DUMMYFUNCTION("""COMPUTED_VALUE"""),0.3393)</f>
        <v>0.3393</v>
      </c>
      <c r="H27" s="20">
        <f>IFERROR(__xludf.DUMMYFUNCTION("""COMPUTED_VALUE"""),0.3565)</f>
        <v>0.3565</v>
      </c>
    </row>
    <row r="28">
      <c r="A28" s="17">
        <f>VLOOKUP(B28,map!B:C,2,false)</f>
        <v>31</v>
      </c>
      <c r="B28" s="18" t="str">
        <f>IFERROR(__xludf.DUMMYFUNCTION("""COMPUTED_VALUE"""),"Chicago")</f>
        <v>Chicago</v>
      </c>
      <c r="C28" s="20">
        <f>IFERROR(__xludf.DUMMYFUNCTION("""COMPUTED_VALUE"""),0.3298)</f>
        <v>0.3298</v>
      </c>
      <c r="D28" s="20">
        <f>IFERROR(__xludf.DUMMYFUNCTION("""COMPUTED_VALUE"""),0.3235)</f>
        <v>0.3235</v>
      </c>
      <c r="E28" s="20">
        <f>IFERROR(__xludf.DUMMYFUNCTION("""COMPUTED_VALUE"""),0.1667)</f>
        <v>0.1667</v>
      </c>
      <c r="F28" s="20">
        <f>IFERROR(__xludf.DUMMYFUNCTION("""COMPUTED_VALUE"""),0.2727)</f>
        <v>0.2727</v>
      </c>
      <c r="G28" s="20">
        <f>IFERROR(__xludf.DUMMYFUNCTION("""COMPUTED_VALUE"""),0.3607)</f>
        <v>0.3607</v>
      </c>
      <c r="H28" s="20">
        <f>IFERROR(__xludf.DUMMYFUNCTION("""COMPUTED_VALUE"""),0.4118)</f>
        <v>0.4118</v>
      </c>
    </row>
    <row r="29">
      <c r="A29" s="17">
        <f>VLOOKUP(B29,map!B:C,2,false)</f>
        <v>27</v>
      </c>
      <c r="B29" s="18" t="str">
        <f>IFERROR(__xludf.DUMMYFUNCTION("""COMPUTED_VALUE"""),"Denver")</f>
        <v>Denver</v>
      </c>
      <c r="C29" s="20">
        <f>IFERROR(__xludf.DUMMYFUNCTION("""COMPUTED_VALUE"""),0.3241)</f>
        <v>0.3241</v>
      </c>
      <c r="D29" s="20">
        <f>IFERROR(__xludf.DUMMYFUNCTION("""COMPUTED_VALUE"""),0.4615)</f>
        <v>0.4615</v>
      </c>
      <c r="E29" s="20">
        <f>IFERROR(__xludf.DUMMYFUNCTION("""COMPUTED_VALUE"""),0.6471)</f>
        <v>0.6471</v>
      </c>
      <c r="F29" s="20">
        <f>IFERROR(__xludf.DUMMYFUNCTION("""COMPUTED_VALUE"""),0.3654)</f>
        <v>0.3654</v>
      </c>
      <c r="G29" s="20">
        <f>IFERROR(__xludf.DUMMYFUNCTION("""COMPUTED_VALUE"""),0.2857)</f>
        <v>0.2857</v>
      </c>
      <c r="H29" s="20">
        <f>IFERROR(__xludf.DUMMYFUNCTION("""COMPUTED_VALUE"""),0.3682)</f>
        <v>0.3682</v>
      </c>
    </row>
    <row r="30">
      <c r="A30" s="17">
        <f>VLOOKUP(B30,map!B:C,2,false)</f>
        <v>6</v>
      </c>
      <c r="B30" s="18" t="str">
        <f>IFERROR(__xludf.DUMMYFUNCTION("""COMPUTED_VALUE"""),"Jacksonville")</f>
        <v>Jacksonville</v>
      </c>
      <c r="C30" s="20">
        <f>IFERROR(__xludf.DUMMYFUNCTION("""COMPUTED_VALUE"""),0.3182)</f>
        <v>0.3182</v>
      </c>
      <c r="D30" s="20">
        <f>IFERROR(__xludf.DUMMYFUNCTION("""COMPUTED_VALUE"""),0.4118)</f>
        <v>0.4118</v>
      </c>
      <c r="E30" s="20">
        <f>IFERROR(__xludf.DUMMYFUNCTION("""COMPUTED_VALUE"""),0.1111)</f>
        <v>0.1111</v>
      </c>
      <c r="F30" s="20">
        <f>IFERROR(__xludf.DUMMYFUNCTION("""COMPUTED_VALUE"""),0.25)</f>
        <v>0.25</v>
      </c>
      <c r="G30" s="20">
        <f>IFERROR(__xludf.DUMMYFUNCTION("""COMPUTED_VALUE"""),0.35)</f>
        <v>0.35</v>
      </c>
      <c r="H30" s="20">
        <f>IFERROR(__xludf.DUMMYFUNCTION("""COMPUTED_VALUE"""),0.3816)</f>
        <v>0.3816</v>
      </c>
    </row>
    <row r="31">
      <c r="A31" s="17">
        <f>VLOOKUP(B31,map!B:C,2,false)</f>
        <v>23</v>
      </c>
      <c r="B31" s="18" t="str">
        <f>IFERROR(__xludf.DUMMYFUNCTION("""COMPUTED_VALUE"""),"Carolina")</f>
        <v>Carolina</v>
      </c>
      <c r="C31" s="20">
        <f>IFERROR(__xludf.DUMMYFUNCTION("""COMPUTED_VALUE"""),0.3158)</f>
        <v>0.3158</v>
      </c>
      <c r="D31" s="20">
        <f>IFERROR(__xludf.DUMMYFUNCTION("""COMPUTED_VALUE"""),0.3714)</f>
        <v>0.3714</v>
      </c>
      <c r="E31" s="20">
        <f>IFERROR(__xludf.DUMMYFUNCTION("""COMPUTED_VALUE"""),0.3571)</f>
        <v>0.3571</v>
      </c>
      <c r="F31" s="20">
        <f>IFERROR(__xludf.DUMMYFUNCTION("""COMPUTED_VALUE"""),0.3514)</f>
        <v>0.3514</v>
      </c>
      <c r="G31" s="20">
        <f>IFERROR(__xludf.DUMMYFUNCTION("""COMPUTED_VALUE"""),0.2931)</f>
        <v>0.2931</v>
      </c>
      <c r="H31" s="20">
        <f>IFERROR(__xludf.DUMMYFUNCTION("""COMPUTED_VALUE"""),0.3414)</f>
        <v>0.3414</v>
      </c>
    </row>
    <row r="32">
      <c r="A32" s="17">
        <f>VLOOKUP(B32,map!B:C,2,false)</f>
        <v>32</v>
      </c>
      <c r="B32" s="18" t="str">
        <f>IFERROR(__xludf.DUMMYFUNCTION("""COMPUTED_VALUE"""),"Tennessee")</f>
        <v>Tennessee</v>
      </c>
      <c r="C32" s="20">
        <f>IFERROR(__xludf.DUMMYFUNCTION("""COMPUTED_VALUE"""),0.3059)</f>
        <v>0.3059</v>
      </c>
      <c r="D32" s="20">
        <f>IFERROR(__xludf.DUMMYFUNCTION("""COMPUTED_VALUE"""),0.3421)</f>
        <v>0.3421</v>
      </c>
      <c r="E32" s="20">
        <f>IFERROR(__xludf.DUMMYFUNCTION("""COMPUTED_VALUE"""),0.2727)</f>
        <v>0.2727</v>
      </c>
      <c r="F32" s="20">
        <f>IFERROR(__xludf.DUMMYFUNCTION("""COMPUTED_VALUE"""),0.375)</f>
        <v>0.375</v>
      </c>
      <c r="G32" s="20">
        <f>IFERROR(__xludf.DUMMYFUNCTION("""COMPUTED_VALUE"""),0.2642)</f>
        <v>0.2642</v>
      </c>
      <c r="H32" s="20">
        <f>IFERROR(__xludf.DUMMYFUNCTION("""COMPUTED_VALUE"""),0.3349)</f>
        <v>0.3349</v>
      </c>
    </row>
    <row r="33">
      <c r="A33" s="17">
        <f>VLOOKUP(B33,map!B:C,2,false)</f>
        <v>16</v>
      </c>
      <c r="B33" s="18" t="str">
        <f>IFERROR(__xludf.DUMMYFUNCTION("""COMPUTED_VALUE"""),"Cleveland")</f>
        <v>Cleveland</v>
      </c>
      <c r="C33" s="20">
        <f>IFERROR(__xludf.DUMMYFUNCTION("""COMPUTED_VALUE"""),0.2768)</f>
        <v>0.2768</v>
      </c>
      <c r="D33" s="20">
        <f>IFERROR(__xludf.DUMMYFUNCTION("""COMPUTED_VALUE"""),0.413)</f>
        <v>0.413</v>
      </c>
      <c r="E33" s="20">
        <f>IFERROR(__xludf.DUMMYFUNCTION("""COMPUTED_VALUE"""),0.5333)</f>
        <v>0.5333</v>
      </c>
      <c r="F33" s="20">
        <f>IFERROR(__xludf.DUMMYFUNCTION("""COMPUTED_VALUE"""),0.3492)</f>
        <v>0.3492</v>
      </c>
      <c r="G33" s="20">
        <f>IFERROR(__xludf.DUMMYFUNCTION("""COMPUTED_VALUE"""),0.1837)</f>
        <v>0.1837</v>
      </c>
      <c r="H33" s="20">
        <f>IFERROR(__xludf.DUMMYFUNCTION("""COMPUTED_VALUE"""),0.3246)</f>
        <v>0.3246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IFERROR(__xludf.DUMMYFUNCTION("QUERY(IMPORTHTML(""https://www.teamrankings.com/nfl/stat/touchdowns-per-game?date=""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5</v>
      </c>
      <c r="B2" s="18" t="str">
        <f>IFERROR(__xludf.DUMMYFUNCTION("""COMPUTED_VALUE"""),"Detroit")</f>
        <v>Detroit</v>
      </c>
      <c r="C2" s="19">
        <f>IFERROR(__xludf.DUMMYFUNCTION("""COMPUTED_VALUE"""),4.1)</f>
        <v>4.1</v>
      </c>
      <c r="D2" s="19">
        <f>IFERROR(__xludf.DUMMYFUNCTION("""COMPUTED_VALUE"""),5.3)</f>
        <v>5.3</v>
      </c>
      <c r="E2" s="19">
        <f>IFERROR(__xludf.DUMMYFUNCTION("""COMPUTED_VALUE"""),7.0)</f>
        <v>7</v>
      </c>
      <c r="F2" s="19">
        <f>IFERROR(__xludf.DUMMYFUNCTION("""COMPUTED_VALUE"""),4.3)</f>
        <v>4.3</v>
      </c>
      <c r="G2" s="19">
        <f>IFERROR(__xludf.DUMMYFUNCTION("""COMPUTED_VALUE"""),4.0)</f>
        <v>4</v>
      </c>
      <c r="H2" s="19">
        <f>IFERROR(__xludf.DUMMYFUNCTION("""COMPUTED_VALUE"""),3.5)</f>
        <v>3.5</v>
      </c>
    </row>
    <row r="3">
      <c r="A3" s="17">
        <f>VLOOKUP(B3,map!B:C,2,false)</f>
        <v>30</v>
      </c>
      <c r="B3" s="18" t="str">
        <f>IFERROR(__xludf.DUMMYFUNCTION("""COMPUTED_VALUE"""),"Baltimore")</f>
        <v>Baltimore</v>
      </c>
      <c r="C3" s="19">
        <f>IFERROR(__xludf.DUMMYFUNCTION("""COMPUTED_VALUE"""),3.6)</f>
        <v>3.6</v>
      </c>
      <c r="D3" s="19">
        <f>IFERROR(__xludf.DUMMYFUNCTION("""COMPUTED_VALUE"""),3.7)</f>
        <v>3.7</v>
      </c>
      <c r="E3" s="19">
        <f>IFERROR(__xludf.DUMMYFUNCTION("""COMPUTED_VALUE"""),3.0)</f>
        <v>3</v>
      </c>
      <c r="F3" s="19">
        <f>IFERROR(__xludf.DUMMYFUNCTION("""COMPUTED_VALUE"""),3.3)</f>
        <v>3.3</v>
      </c>
      <c r="G3" s="19">
        <f>IFERROR(__xludf.DUMMYFUNCTION("""COMPUTED_VALUE"""),3.8)</f>
        <v>3.8</v>
      </c>
      <c r="H3" s="19">
        <f>IFERROR(__xludf.DUMMYFUNCTION("""COMPUTED_VALUE"""),3.2)</f>
        <v>3.2</v>
      </c>
    </row>
    <row r="4">
      <c r="A4" s="17">
        <f>VLOOKUP(B4,map!B:C,2,false)</f>
        <v>14</v>
      </c>
      <c r="B4" s="18" t="str">
        <f>IFERROR(__xludf.DUMMYFUNCTION("""COMPUTED_VALUE"""),"Tampa Bay")</f>
        <v>Tampa Bay</v>
      </c>
      <c r="C4" s="19">
        <f>IFERROR(__xludf.DUMMYFUNCTION("""COMPUTED_VALUE"""),3.5)</f>
        <v>3.5</v>
      </c>
      <c r="D4" s="19">
        <f>IFERROR(__xludf.DUMMYFUNCTION("""COMPUTED_VALUE"""),4.7)</f>
        <v>4.7</v>
      </c>
      <c r="E4" s="19">
        <f>IFERROR(__xludf.DUMMYFUNCTION("""COMPUTED_VALUE"""),3.0)</f>
        <v>3</v>
      </c>
      <c r="F4" s="19">
        <f>IFERROR(__xludf.DUMMYFUNCTION("""COMPUTED_VALUE"""),3.2)</f>
        <v>3.2</v>
      </c>
      <c r="G4" s="19">
        <f>IFERROR(__xludf.DUMMYFUNCTION("""COMPUTED_VALUE"""),4.0)</f>
        <v>4</v>
      </c>
      <c r="H4" s="19">
        <f>IFERROR(__xludf.DUMMYFUNCTION("""COMPUTED_VALUE"""),2.3)</f>
        <v>2.3</v>
      </c>
    </row>
    <row r="5">
      <c r="A5" s="17">
        <f>VLOOKUP(B5,map!B:C,2,false)</f>
        <v>11</v>
      </c>
      <c r="B5" s="18" t="str">
        <f>IFERROR(__xludf.DUMMYFUNCTION("""COMPUTED_VALUE"""),"Buffalo")</f>
        <v>Buffalo</v>
      </c>
      <c r="C5" s="19">
        <f>IFERROR(__xludf.DUMMYFUNCTION("""COMPUTED_VALUE"""),3.5)</f>
        <v>3.5</v>
      </c>
      <c r="D5" s="19">
        <f>IFERROR(__xludf.DUMMYFUNCTION("""COMPUTED_VALUE"""),3.7)</f>
        <v>3.7</v>
      </c>
      <c r="E5" s="19">
        <f>IFERROR(__xludf.DUMMYFUNCTION("""COMPUTED_VALUE"""),4.0)</f>
        <v>4</v>
      </c>
      <c r="F5" s="19">
        <f>IFERROR(__xludf.DUMMYFUNCTION("""COMPUTED_VALUE"""),4.7)</f>
        <v>4.7</v>
      </c>
      <c r="G5" s="19">
        <f>IFERROR(__xludf.DUMMYFUNCTION("""COMPUTED_VALUE"""),2.8)</f>
        <v>2.8</v>
      </c>
      <c r="H5" s="19">
        <f>IFERROR(__xludf.DUMMYFUNCTION("""COMPUTED_VALUE"""),3.2)</f>
        <v>3.2</v>
      </c>
    </row>
    <row r="6">
      <c r="A6" s="17">
        <f>VLOOKUP(B6,map!B:C,2,false)</f>
        <v>15</v>
      </c>
      <c r="B6" s="18" t="str">
        <f>IFERROR(__xludf.DUMMYFUNCTION("""COMPUTED_VALUE"""),"Green Bay")</f>
        <v>Green Bay</v>
      </c>
      <c r="C6" s="19">
        <f>IFERROR(__xludf.DUMMYFUNCTION("""COMPUTED_VALUE"""),3.0)</f>
        <v>3</v>
      </c>
      <c r="D6" s="19">
        <f>IFERROR(__xludf.DUMMYFUNCTION("""COMPUTED_VALUE"""),3.3)</f>
        <v>3.3</v>
      </c>
      <c r="E6" s="19">
        <f>IFERROR(__xludf.DUMMYFUNCTION("""COMPUTED_VALUE"""),3.0)</f>
        <v>3</v>
      </c>
      <c r="F6" s="19">
        <f>IFERROR(__xludf.DUMMYFUNCTION("""COMPUTED_VALUE"""),3.0)</f>
        <v>3</v>
      </c>
      <c r="G6" s="19">
        <f>IFERROR(__xludf.DUMMYFUNCTION("""COMPUTED_VALUE"""),3.0)</f>
        <v>3</v>
      </c>
      <c r="H6" s="19">
        <f>IFERROR(__xludf.DUMMYFUNCTION("""COMPUTED_VALUE"""),2.8)</f>
        <v>2.8</v>
      </c>
    </row>
    <row r="7">
      <c r="A7" s="17">
        <f>VLOOKUP(B7,map!B:C,2,false)</f>
        <v>3</v>
      </c>
      <c r="B7" s="18" t="str">
        <f>IFERROR(__xludf.DUMMYFUNCTION("""COMPUTED_VALUE"""),"Minnesota")</f>
        <v>Minnesota</v>
      </c>
      <c r="C7" s="19">
        <f>IFERROR(__xludf.DUMMYFUNCTION("""COMPUTED_VALUE"""),3.0)</f>
        <v>3</v>
      </c>
      <c r="D7" s="19">
        <f>IFERROR(__xludf.DUMMYFUNCTION("""COMPUTED_VALUE"""),2.3)</f>
        <v>2.3</v>
      </c>
      <c r="E7" s="19">
        <f>IFERROR(__xludf.DUMMYFUNCTION("""COMPUTED_VALUE"""),2.0)</f>
        <v>2</v>
      </c>
      <c r="F7" s="19">
        <f>IFERROR(__xludf.DUMMYFUNCTION("""COMPUTED_VALUE"""),3.0)</f>
        <v>3</v>
      </c>
      <c r="G7" s="19">
        <f>IFERROR(__xludf.DUMMYFUNCTION("""COMPUTED_VALUE"""),3.0)</f>
        <v>3</v>
      </c>
      <c r="H7" s="19">
        <f>IFERROR(__xludf.DUMMYFUNCTION("""COMPUTED_VALUE"""),2.3)</f>
        <v>2.3</v>
      </c>
    </row>
    <row r="8">
      <c r="A8" s="17">
        <f>VLOOKUP(B8,map!B:C,2,false)</f>
        <v>8</v>
      </c>
      <c r="B8" s="18" t="str">
        <f>IFERROR(__xludf.DUMMYFUNCTION("""COMPUTED_VALUE"""),"Washington")</f>
        <v>Washington</v>
      </c>
      <c r="C8" s="19">
        <f>IFERROR(__xludf.DUMMYFUNCTION("""COMPUTED_VALUE"""),3.0)</f>
        <v>3</v>
      </c>
      <c r="D8" s="19">
        <f>IFERROR(__xludf.DUMMYFUNCTION("""COMPUTED_VALUE"""),2.3)</f>
        <v>2.3</v>
      </c>
      <c r="E8" s="19">
        <f>IFERROR(__xludf.DUMMYFUNCTION("""COMPUTED_VALUE"""),1.0)</f>
        <v>1</v>
      </c>
      <c r="F8" s="19">
        <f>IFERROR(__xludf.DUMMYFUNCTION("""COMPUTED_VALUE"""),2.3)</f>
        <v>2.3</v>
      </c>
      <c r="G8" s="19">
        <f>IFERROR(__xludf.DUMMYFUNCTION("""COMPUTED_VALUE"""),3.8)</f>
        <v>3.8</v>
      </c>
      <c r="H8" s="19">
        <f>IFERROR(__xludf.DUMMYFUNCTION("""COMPUTED_VALUE"""),2.3)</f>
        <v>2.3</v>
      </c>
    </row>
    <row r="9">
      <c r="A9" s="17">
        <f>VLOOKUP(B9,map!B:C,2,false)</f>
        <v>4</v>
      </c>
      <c r="B9" s="18" t="str">
        <f>IFERROR(__xludf.DUMMYFUNCTION("""COMPUTED_VALUE"""),"Cincinnati")</f>
        <v>Cincinnati</v>
      </c>
      <c r="C9" s="19">
        <f>IFERROR(__xludf.DUMMYFUNCTION("""COMPUTED_VALUE"""),2.9)</f>
        <v>2.9</v>
      </c>
      <c r="D9" s="19">
        <f>IFERROR(__xludf.DUMMYFUNCTION("""COMPUTED_VALUE"""),2.3)</f>
        <v>2.3</v>
      </c>
      <c r="E9" s="19">
        <f>IFERROR(__xludf.DUMMYFUNCTION("""COMPUTED_VALUE"""),2.0)</f>
        <v>2</v>
      </c>
      <c r="F9" s="19">
        <f>IFERROR(__xludf.DUMMYFUNCTION("""COMPUTED_VALUE"""),3.0)</f>
        <v>3</v>
      </c>
      <c r="G9" s="19">
        <f>IFERROR(__xludf.DUMMYFUNCTION("""COMPUTED_VALUE"""),2.8)</f>
        <v>2.8</v>
      </c>
      <c r="H9" s="19">
        <f>IFERROR(__xludf.DUMMYFUNCTION("""COMPUTED_VALUE"""),2.4)</f>
        <v>2.4</v>
      </c>
    </row>
    <row r="10">
      <c r="A10" s="17">
        <f>VLOOKUP(B10,map!B:C,2,false)</f>
        <v>12</v>
      </c>
      <c r="B10" s="18" t="str">
        <f>IFERROR(__xludf.DUMMYFUNCTION("""COMPUTED_VALUE"""),"Philadelphia")</f>
        <v>Philadelphia</v>
      </c>
      <c r="C10" s="19">
        <f>IFERROR(__xludf.DUMMYFUNCTION("""COMPUTED_VALUE"""),2.9)</f>
        <v>2.9</v>
      </c>
      <c r="D10" s="19">
        <f>IFERROR(__xludf.DUMMYFUNCTION("""COMPUTED_VALUE"""),3.3)</f>
        <v>3.3</v>
      </c>
      <c r="E10" s="19">
        <f>IFERROR(__xludf.DUMMYFUNCTION("""COMPUTED_VALUE"""),4.0)</f>
        <v>4</v>
      </c>
      <c r="F10" s="19">
        <f>IFERROR(__xludf.DUMMYFUNCTION("""COMPUTED_VALUE"""),2.0)</f>
        <v>2</v>
      </c>
      <c r="G10" s="19">
        <f>IFERROR(__xludf.DUMMYFUNCTION("""COMPUTED_VALUE"""),3.2)</f>
        <v>3.2</v>
      </c>
      <c r="H10" s="19">
        <f>IFERROR(__xludf.DUMMYFUNCTION("""COMPUTED_VALUE"""),2.8)</f>
        <v>2.8</v>
      </c>
    </row>
    <row r="11">
      <c r="A11" s="17">
        <f>VLOOKUP(B11,map!B:C,2,false)</f>
        <v>31</v>
      </c>
      <c r="B11" s="18" t="str">
        <f>IFERROR(__xludf.DUMMYFUNCTION("""COMPUTED_VALUE"""),"Chicago")</f>
        <v>Chicago</v>
      </c>
      <c r="C11" s="19">
        <f>IFERROR(__xludf.DUMMYFUNCTION("""COMPUTED_VALUE"""),2.9)</f>
        <v>2.9</v>
      </c>
      <c r="D11" s="19">
        <f>IFERROR(__xludf.DUMMYFUNCTION("""COMPUTED_VALUE"""),4.0)</f>
        <v>4</v>
      </c>
      <c r="E11" s="19">
        <f>IFERROR(__xludf.DUMMYFUNCTION("""COMPUTED_VALUE"""),2.0)</f>
        <v>2</v>
      </c>
      <c r="F11" s="19">
        <f>IFERROR(__xludf.DUMMYFUNCTION("""COMPUTED_VALUE"""),3.3)</f>
        <v>3.3</v>
      </c>
      <c r="G11" s="19">
        <f>IFERROR(__xludf.DUMMYFUNCTION("""COMPUTED_VALUE"""),2.5)</f>
        <v>2.5</v>
      </c>
      <c r="H11" s="19">
        <f>IFERROR(__xludf.DUMMYFUNCTION("""COMPUTED_VALUE"""),2.2)</f>
        <v>2.2</v>
      </c>
    </row>
    <row r="12">
      <c r="A12" s="17">
        <f>VLOOKUP(B12,map!B:C,2,false)</f>
        <v>13</v>
      </c>
      <c r="B12" s="18" t="str">
        <f>IFERROR(__xludf.DUMMYFUNCTION("""COMPUTED_VALUE"""),"Seattle")</f>
        <v>Seattle</v>
      </c>
      <c r="C12" s="19">
        <f>IFERROR(__xludf.DUMMYFUNCTION("""COMPUTED_VALUE"""),2.8)</f>
        <v>2.8</v>
      </c>
      <c r="D12" s="19">
        <f>IFERROR(__xludf.DUMMYFUNCTION("""COMPUTED_VALUE"""),2.7)</f>
        <v>2.7</v>
      </c>
      <c r="E12" s="19">
        <f>IFERROR(__xludf.DUMMYFUNCTION("""COMPUTED_VALUE"""),1.0)</f>
        <v>1</v>
      </c>
      <c r="F12" s="19">
        <f>IFERROR(__xludf.DUMMYFUNCTION("""COMPUTED_VALUE"""),2.4)</f>
        <v>2.4</v>
      </c>
      <c r="G12" s="19">
        <f>IFERROR(__xludf.DUMMYFUNCTION("""COMPUTED_VALUE"""),3.3)</f>
        <v>3.3</v>
      </c>
      <c r="H12" s="19">
        <f>IFERROR(__xludf.DUMMYFUNCTION("""COMPUTED_VALUE"""),2.2)</f>
        <v>2.2</v>
      </c>
    </row>
    <row r="13">
      <c r="A13" s="17">
        <f>VLOOKUP(B13,map!B:C,2,false)</f>
        <v>2</v>
      </c>
      <c r="B13" s="18" t="str">
        <f>IFERROR(__xludf.DUMMYFUNCTION("""COMPUTED_VALUE"""),"Kansas City")</f>
        <v>Kansas City</v>
      </c>
      <c r="C13" s="19">
        <f>IFERROR(__xludf.DUMMYFUNCTION("""COMPUTED_VALUE"""),2.7)</f>
        <v>2.7</v>
      </c>
      <c r="D13" s="19">
        <f>IFERROR(__xludf.DUMMYFUNCTION("""COMPUTED_VALUE"""),3.0)</f>
        <v>3</v>
      </c>
      <c r="E13" s="19">
        <f>IFERROR(__xludf.DUMMYFUNCTION("""COMPUTED_VALUE"""),3.0)</f>
        <v>3</v>
      </c>
      <c r="F13" s="19">
        <f>IFERROR(__xludf.DUMMYFUNCTION("""COMPUTED_VALUE"""),2.7)</f>
        <v>2.7</v>
      </c>
      <c r="G13" s="19">
        <f>IFERROR(__xludf.DUMMYFUNCTION("""COMPUTED_VALUE"""),2.8)</f>
        <v>2.8</v>
      </c>
      <c r="H13" s="19">
        <f>IFERROR(__xludf.DUMMYFUNCTION("""COMPUTED_VALUE"""),2.3)</f>
        <v>2.3</v>
      </c>
    </row>
    <row r="14">
      <c r="A14" s="17">
        <f>VLOOKUP(B14,map!B:C,2,false)</f>
        <v>28</v>
      </c>
      <c r="B14" s="18" t="str">
        <f>IFERROR(__xludf.DUMMYFUNCTION("""COMPUTED_VALUE"""),"Atlanta")</f>
        <v>Atlanta</v>
      </c>
      <c r="C14" s="19">
        <f>IFERROR(__xludf.DUMMYFUNCTION("""COMPUTED_VALUE"""),2.6)</f>
        <v>2.6</v>
      </c>
      <c r="D14" s="19">
        <f>IFERROR(__xludf.DUMMYFUNCTION("""COMPUTED_VALUE"""),3.3)</f>
        <v>3.3</v>
      </c>
      <c r="E14" s="19">
        <f>IFERROR(__xludf.DUMMYFUNCTION("""COMPUTED_VALUE"""),4.0)</f>
        <v>4</v>
      </c>
      <c r="F14" s="19">
        <f>IFERROR(__xludf.DUMMYFUNCTION("""COMPUTED_VALUE"""),2.2)</f>
        <v>2.2</v>
      </c>
      <c r="G14" s="19">
        <f>IFERROR(__xludf.DUMMYFUNCTION("""COMPUTED_VALUE"""),3.3)</f>
        <v>3.3</v>
      </c>
      <c r="H14" s="19">
        <f>IFERROR(__xludf.DUMMYFUNCTION("""COMPUTED_VALUE"""),1.9)</f>
        <v>1.9</v>
      </c>
    </row>
    <row r="15">
      <c r="A15" s="17">
        <f>VLOOKUP(B15,map!B:C,2,false)</f>
        <v>9</v>
      </c>
      <c r="B15" s="18" t="str">
        <f>IFERROR(__xludf.DUMMYFUNCTION("""COMPUTED_VALUE"""),"New Orleans")</f>
        <v>New Orleans</v>
      </c>
      <c r="C15" s="19">
        <f>IFERROR(__xludf.DUMMYFUNCTION("""COMPUTED_VALUE"""),2.6)</f>
        <v>2.6</v>
      </c>
      <c r="D15" s="19">
        <f>IFERROR(__xludf.DUMMYFUNCTION("""COMPUTED_VALUE"""),1.3)</f>
        <v>1.3</v>
      </c>
      <c r="E15" s="19">
        <f>IFERROR(__xludf.DUMMYFUNCTION("""COMPUTED_VALUE"""),0.0)</f>
        <v>0</v>
      </c>
      <c r="F15" s="19">
        <f>IFERROR(__xludf.DUMMYFUNCTION("""COMPUTED_VALUE"""),2.5)</f>
        <v>2.5</v>
      </c>
      <c r="G15" s="19">
        <f>IFERROR(__xludf.DUMMYFUNCTION("""COMPUTED_VALUE"""),2.8)</f>
        <v>2.8</v>
      </c>
      <c r="H15" s="19">
        <f>IFERROR(__xludf.DUMMYFUNCTION("""COMPUTED_VALUE"""),2.6)</f>
        <v>2.6</v>
      </c>
    </row>
    <row r="16">
      <c r="A16" s="17">
        <f>VLOOKUP(B16,map!B:C,2,false)</f>
        <v>25</v>
      </c>
      <c r="B16" s="18" t="str">
        <f>IFERROR(__xludf.DUMMYFUNCTION("""COMPUTED_VALUE"""),"San Francisco")</f>
        <v>San Francisco</v>
      </c>
      <c r="C16" s="19">
        <f>IFERROR(__xludf.DUMMYFUNCTION("""COMPUTED_VALUE"""),2.6)</f>
        <v>2.6</v>
      </c>
      <c r="D16" s="19">
        <f>IFERROR(__xludf.DUMMYFUNCTION("""COMPUTED_VALUE"""),3.0)</f>
        <v>3</v>
      </c>
      <c r="E16" s="19">
        <f>IFERROR(__xludf.DUMMYFUNCTION("""COMPUTED_VALUE"""),3.0)</f>
        <v>3</v>
      </c>
      <c r="F16" s="19">
        <f>IFERROR(__xludf.DUMMYFUNCTION("""COMPUTED_VALUE"""),2.4)</f>
        <v>2.4</v>
      </c>
      <c r="G16" s="19">
        <f>IFERROR(__xludf.DUMMYFUNCTION("""COMPUTED_VALUE"""),3.0)</f>
        <v>3</v>
      </c>
      <c r="H16" s="19">
        <f>IFERROR(__xludf.DUMMYFUNCTION("""COMPUTED_VALUE"""),3.5)</f>
        <v>3.5</v>
      </c>
    </row>
    <row r="17">
      <c r="A17" s="17">
        <f>VLOOKUP(B17,map!B:C,2,false)</f>
        <v>20</v>
      </c>
      <c r="B17" s="18" t="str">
        <f>IFERROR(__xludf.DUMMYFUNCTION("""COMPUTED_VALUE"""),"Indianapolis")</f>
        <v>Indianapolis</v>
      </c>
      <c r="C17" s="19">
        <f>IFERROR(__xludf.DUMMYFUNCTION("""COMPUTED_VALUE"""),2.5)</f>
        <v>2.5</v>
      </c>
      <c r="D17" s="19">
        <f>IFERROR(__xludf.DUMMYFUNCTION("""COMPUTED_VALUE"""),1.7)</f>
        <v>1.7</v>
      </c>
      <c r="E17" s="19">
        <f>IFERROR(__xludf.DUMMYFUNCTION("""COMPUTED_VALUE"""),2.0)</f>
        <v>2</v>
      </c>
      <c r="F17" s="19">
        <f>IFERROR(__xludf.DUMMYFUNCTION("""COMPUTED_VALUE"""),2.8)</f>
        <v>2.8</v>
      </c>
      <c r="G17" s="19">
        <f>IFERROR(__xludf.DUMMYFUNCTION("""COMPUTED_VALUE"""),2.3)</f>
        <v>2.3</v>
      </c>
      <c r="H17" s="19">
        <f>IFERROR(__xludf.DUMMYFUNCTION("""COMPUTED_VALUE"""),2.5)</f>
        <v>2.5</v>
      </c>
    </row>
    <row r="18">
      <c r="A18" s="17">
        <f>VLOOKUP(B18,map!B:C,2,false)</f>
        <v>18</v>
      </c>
      <c r="B18" s="18" t="str">
        <f>IFERROR(__xludf.DUMMYFUNCTION("""COMPUTED_VALUE"""),"LA Rams")</f>
        <v>LA Rams</v>
      </c>
      <c r="C18" s="19">
        <f>IFERROR(__xludf.DUMMYFUNCTION("""COMPUTED_VALUE"""),2.4)</f>
        <v>2.4</v>
      </c>
      <c r="D18" s="19">
        <f>IFERROR(__xludf.DUMMYFUNCTION("""COMPUTED_VALUE"""),3.3)</f>
        <v>3.3</v>
      </c>
      <c r="E18" s="19">
        <f>IFERROR(__xludf.DUMMYFUNCTION("""COMPUTED_VALUE"""),4.0)</f>
        <v>4</v>
      </c>
      <c r="F18" s="19">
        <f>IFERROR(__xludf.DUMMYFUNCTION("""COMPUTED_VALUE"""),3.3)</f>
        <v>3.3</v>
      </c>
      <c r="G18" s="19">
        <f>IFERROR(__xludf.DUMMYFUNCTION("""COMPUTED_VALUE"""),1.3)</f>
        <v>1.3</v>
      </c>
      <c r="H18" s="19">
        <f>IFERROR(__xludf.DUMMYFUNCTION("""COMPUTED_VALUE"""),2.6)</f>
        <v>2.6</v>
      </c>
    </row>
    <row r="19">
      <c r="A19" s="17">
        <f>VLOOKUP(B19,map!B:C,2,false)</f>
        <v>17</v>
      </c>
      <c r="B19" s="18" t="str">
        <f>IFERROR(__xludf.DUMMYFUNCTION("""COMPUTED_VALUE"""),"Houston")</f>
        <v>Houston</v>
      </c>
      <c r="C19" s="19">
        <f>IFERROR(__xludf.DUMMYFUNCTION("""COMPUTED_VALUE"""),2.4)</f>
        <v>2.4</v>
      </c>
      <c r="D19" s="19">
        <f>IFERROR(__xludf.DUMMYFUNCTION("""COMPUTED_VALUE"""),3.0)</f>
        <v>3</v>
      </c>
      <c r="E19" s="19">
        <f>IFERROR(__xludf.DUMMYFUNCTION("""COMPUTED_VALUE"""),2.0)</f>
        <v>2</v>
      </c>
      <c r="F19" s="19">
        <f>IFERROR(__xludf.DUMMYFUNCTION("""COMPUTED_VALUE"""),2.0)</f>
        <v>2</v>
      </c>
      <c r="G19" s="19">
        <f>IFERROR(__xludf.DUMMYFUNCTION("""COMPUTED_VALUE"""),2.8)</f>
        <v>2.8</v>
      </c>
      <c r="H19" s="19">
        <f>IFERROR(__xludf.DUMMYFUNCTION("""COMPUTED_VALUE"""),2.5)</f>
        <v>2.5</v>
      </c>
    </row>
    <row r="20">
      <c r="A20" s="17">
        <f>VLOOKUP(B20,map!B:C,2,false)</f>
        <v>21</v>
      </c>
      <c r="B20" s="18" t="str">
        <f>IFERROR(__xludf.DUMMYFUNCTION("""COMPUTED_VALUE"""),"Arizona")</f>
        <v>Arizona</v>
      </c>
      <c r="C20" s="19">
        <f>IFERROR(__xludf.DUMMYFUNCTION("""COMPUTED_VALUE"""),2.4)</f>
        <v>2.4</v>
      </c>
      <c r="D20" s="19">
        <f>IFERROR(__xludf.DUMMYFUNCTION("""COMPUTED_VALUE"""),2.0)</f>
        <v>2</v>
      </c>
      <c r="E20" s="19">
        <f>IFERROR(__xludf.DUMMYFUNCTION("""COMPUTED_VALUE"""),3.0)</f>
        <v>3</v>
      </c>
      <c r="F20" s="19">
        <f>IFERROR(__xludf.DUMMYFUNCTION("""COMPUTED_VALUE"""),2.5)</f>
        <v>2.5</v>
      </c>
      <c r="G20" s="19">
        <f>IFERROR(__xludf.DUMMYFUNCTION("""COMPUTED_VALUE"""),2.3)</f>
        <v>2.3</v>
      </c>
      <c r="H20" s="19">
        <f>IFERROR(__xludf.DUMMYFUNCTION("""COMPUTED_VALUE"""),2.1)</f>
        <v>2.1</v>
      </c>
    </row>
    <row r="21">
      <c r="A21" s="17">
        <f>VLOOKUP(B21,map!B:C,2,false)</f>
        <v>6</v>
      </c>
      <c r="B21" s="18" t="str">
        <f>IFERROR(__xludf.DUMMYFUNCTION("""COMPUTED_VALUE"""),"Jacksonville")</f>
        <v>Jacksonville</v>
      </c>
      <c r="C21" s="19">
        <f>IFERROR(__xludf.DUMMYFUNCTION("""COMPUTED_VALUE"""),2.4)</f>
        <v>2.4</v>
      </c>
      <c r="D21" s="19">
        <f>IFERROR(__xludf.DUMMYFUNCTION("""COMPUTED_VALUE"""),3.0)</f>
        <v>3</v>
      </c>
      <c r="E21" s="19">
        <f>IFERROR(__xludf.DUMMYFUNCTION("""COMPUTED_VALUE"""),3.0)</f>
        <v>3</v>
      </c>
      <c r="F21" s="19">
        <f>IFERROR(__xludf.DUMMYFUNCTION("""COMPUTED_VALUE"""),2.7)</f>
        <v>2.7</v>
      </c>
      <c r="G21" s="19">
        <f>IFERROR(__xludf.DUMMYFUNCTION("""COMPUTED_VALUE"""),2.2)</f>
        <v>2.2</v>
      </c>
      <c r="H21" s="19">
        <f>IFERROR(__xludf.DUMMYFUNCTION("""COMPUTED_VALUE"""),2.4)</f>
        <v>2.4</v>
      </c>
    </row>
    <row r="22">
      <c r="A22" s="17">
        <f>VLOOKUP(B22,map!B:C,2,false)</f>
        <v>19</v>
      </c>
      <c r="B22" s="18" t="str">
        <f>IFERROR(__xludf.DUMMYFUNCTION("""COMPUTED_VALUE"""),"NY Jets")</f>
        <v>NY Jets</v>
      </c>
      <c r="C22" s="19">
        <f>IFERROR(__xludf.DUMMYFUNCTION("""COMPUTED_VALUE"""),2.3)</f>
        <v>2.3</v>
      </c>
      <c r="D22" s="19">
        <f>IFERROR(__xludf.DUMMYFUNCTION("""COMPUTED_VALUE"""),2.3)</f>
        <v>2.3</v>
      </c>
      <c r="E22" s="19">
        <f>IFERROR(__xludf.DUMMYFUNCTION("""COMPUTED_VALUE"""),3.0)</f>
        <v>3</v>
      </c>
      <c r="F22" s="19">
        <f>IFERROR(__xludf.DUMMYFUNCTION("""COMPUTED_VALUE"""),1.7)</f>
        <v>1.7</v>
      </c>
      <c r="G22" s="19">
        <f>IFERROR(__xludf.DUMMYFUNCTION("""COMPUTED_VALUE"""),2.6)</f>
        <v>2.6</v>
      </c>
      <c r="H22" s="19">
        <f>IFERROR(__xludf.DUMMYFUNCTION("""COMPUTED_VALUE"""),1.3)</f>
        <v>1.3</v>
      </c>
    </row>
    <row r="23">
      <c r="A23" s="17">
        <f>VLOOKUP(B23,map!B:C,2,false)</f>
        <v>29</v>
      </c>
      <c r="B23" s="18" t="str">
        <f>IFERROR(__xludf.DUMMYFUNCTION("""COMPUTED_VALUE"""),"Pittsburgh")</f>
        <v>Pittsburgh</v>
      </c>
      <c r="C23" s="19">
        <f>IFERROR(__xludf.DUMMYFUNCTION("""COMPUTED_VALUE"""),2.1)</f>
        <v>2.1</v>
      </c>
      <c r="D23" s="19">
        <f>IFERROR(__xludf.DUMMYFUNCTION("""COMPUTED_VALUE"""),3.0)</f>
        <v>3</v>
      </c>
      <c r="E23" s="19">
        <f>IFERROR(__xludf.DUMMYFUNCTION("""COMPUTED_VALUE"""),4.0)</f>
        <v>4</v>
      </c>
      <c r="F23" s="19">
        <f>IFERROR(__xludf.DUMMYFUNCTION("""COMPUTED_VALUE"""),2.7)</f>
        <v>2.7</v>
      </c>
      <c r="G23" s="19">
        <f>IFERROR(__xludf.DUMMYFUNCTION("""COMPUTED_VALUE"""),1.8)</f>
        <v>1.8</v>
      </c>
      <c r="H23" s="19">
        <f>IFERROR(__xludf.DUMMYFUNCTION("""COMPUTED_VALUE"""),1.8)</f>
        <v>1.8</v>
      </c>
    </row>
    <row r="24">
      <c r="A24" s="17">
        <f>VLOOKUP(B24,map!B:C,2,false)</f>
        <v>27</v>
      </c>
      <c r="B24" s="18" t="str">
        <f>IFERROR(__xludf.DUMMYFUNCTION("""COMPUTED_VALUE"""),"Denver")</f>
        <v>Denver</v>
      </c>
      <c r="C24" s="19">
        <f>IFERROR(__xludf.DUMMYFUNCTION("""COMPUTED_VALUE"""),2.1)</f>
        <v>2.1</v>
      </c>
      <c r="D24" s="19">
        <f>IFERROR(__xludf.DUMMYFUNCTION("""COMPUTED_VALUE"""),3.0)</f>
        <v>3</v>
      </c>
      <c r="E24" s="19">
        <f>IFERROR(__xludf.DUMMYFUNCTION("""COMPUTED_VALUE"""),4.0)</f>
        <v>4</v>
      </c>
      <c r="F24" s="19">
        <f>IFERROR(__xludf.DUMMYFUNCTION("""COMPUTED_VALUE"""),2.5)</f>
        <v>2.5</v>
      </c>
      <c r="G24" s="19">
        <f>IFERROR(__xludf.DUMMYFUNCTION("""COMPUTED_VALUE"""),1.8)</f>
        <v>1.8</v>
      </c>
      <c r="H24" s="19">
        <f>IFERROR(__xludf.DUMMYFUNCTION("""COMPUTED_VALUE"""),2.2)</f>
        <v>2.2</v>
      </c>
    </row>
    <row r="25">
      <c r="A25" s="17">
        <f>VLOOKUP(B25,map!B:C,2,false)</f>
        <v>1</v>
      </c>
      <c r="B25" s="18" t="str">
        <f>IFERROR(__xludf.DUMMYFUNCTION("""COMPUTED_VALUE"""),"Dallas")</f>
        <v>Dallas</v>
      </c>
      <c r="C25" s="19">
        <f>IFERROR(__xludf.DUMMYFUNCTION("""COMPUTED_VALUE"""),2.0)</f>
        <v>2</v>
      </c>
      <c r="D25" s="19">
        <f>IFERROR(__xludf.DUMMYFUNCTION("""COMPUTED_VALUE"""),1.7)</f>
        <v>1.7</v>
      </c>
      <c r="E25" s="19">
        <f>IFERROR(__xludf.DUMMYFUNCTION("""COMPUTED_VALUE"""),3.0)</f>
        <v>3</v>
      </c>
      <c r="F25" s="19">
        <f>IFERROR(__xludf.DUMMYFUNCTION("""COMPUTED_VALUE"""),1.3)</f>
        <v>1.3</v>
      </c>
      <c r="G25" s="19">
        <f>IFERROR(__xludf.DUMMYFUNCTION("""COMPUTED_VALUE"""),2.5)</f>
        <v>2.5</v>
      </c>
      <c r="H25" s="19">
        <f>IFERROR(__xludf.DUMMYFUNCTION("""COMPUTED_VALUE"""),3.4)</f>
        <v>3.4</v>
      </c>
    </row>
    <row r="26">
      <c r="A26" s="17">
        <f>VLOOKUP(B26,map!B:C,2,false)</f>
        <v>32</v>
      </c>
      <c r="B26" s="18" t="str">
        <f>IFERROR(__xludf.DUMMYFUNCTION("""COMPUTED_VALUE"""),"Tennessee")</f>
        <v>Tennessee</v>
      </c>
      <c r="C26" s="19">
        <f>IFERROR(__xludf.DUMMYFUNCTION("""COMPUTED_VALUE"""),1.9)</f>
        <v>1.9</v>
      </c>
      <c r="D26" s="19">
        <f>IFERROR(__xludf.DUMMYFUNCTION("""COMPUTED_VALUE"""),1.7)</f>
        <v>1.7</v>
      </c>
      <c r="E26" s="19">
        <f>IFERROR(__xludf.DUMMYFUNCTION("""COMPUTED_VALUE"""),2.0)</f>
        <v>2</v>
      </c>
      <c r="F26" s="19">
        <f>IFERROR(__xludf.DUMMYFUNCTION("""COMPUTED_VALUE"""),2.0)</f>
        <v>2</v>
      </c>
      <c r="G26" s="19">
        <f>IFERROR(__xludf.DUMMYFUNCTION("""COMPUTED_VALUE"""),1.8)</f>
        <v>1.8</v>
      </c>
      <c r="H26" s="19">
        <f>IFERROR(__xludf.DUMMYFUNCTION("""COMPUTED_VALUE"""),1.8)</f>
        <v>1.8</v>
      </c>
    </row>
    <row r="27">
      <c r="A27" s="17">
        <f>VLOOKUP(B27,map!B:C,2,false)</f>
        <v>23</v>
      </c>
      <c r="B27" s="18" t="str">
        <f>IFERROR(__xludf.DUMMYFUNCTION("""COMPUTED_VALUE"""),"Carolina")</f>
        <v>Carolina</v>
      </c>
      <c r="C27" s="19">
        <f>IFERROR(__xludf.DUMMYFUNCTION("""COMPUTED_VALUE"""),1.8)</f>
        <v>1.8</v>
      </c>
      <c r="D27" s="19">
        <f>IFERROR(__xludf.DUMMYFUNCTION("""COMPUTED_VALUE"""),1.7)</f>
        <v>1.7</v>
      </c>
      <c r="E27" s="19">
        <f>IFERROR(__xludf.DUMMYFUNCTION("""COMPUTED_VALUE"""),2.0)</f>
        <v>2</v>
      </c>
      <c r="F27" s="19">
        <f>IFERROR(__xludf.DUMMYFUNCTION("""COMPUTED_VALUE"""),1.7)</f>
        <v>1.7</v>
      </c>
      <c r="G27" s="19">
        <f>IFERROR(__xludf.DUMMYFUNCTION("""COMPUTED_VALUE"""),1.8)</f>
        <v>1.8</v>
      </c>
      <c r="H27" s="19">
        <f>IFERROR(__xludf.DUMMYFUNCTION("""COMPUTED_VALUE"""),1.4)</f>
        <v>1.4</v>
      </c>
    </row>
    <row r="28">
      <c r="A28" s="17">
        <f>VLOOKUP(B28,map!B:C,2,false)</f>
        <v>24</v>
      </c>
      <c r="B28" s="18" t="str">
        <f>IFERROR(__xludf.DUMMYFUNCTION("""COMPUTED_VALUE"""),"Las Vegas")</f>
        <v>Las Vegas</v>
      </c>
      <c r="C28" s="19">
        <f>IFERROR(__xludf.DUMMYFUNCTION("""COMPUTED_VALUE"""),1.8)</f>
        <v>1.8</v>
      </c>
      <c r="D28" s="19">
        <f>IFERROR(__xludf.DUMMYFUNCTION("""COMPUTED_VALUE"""),1.3)</f>
        <v>1.3</v>
      </c>
      <c r="E28" s="19">
        <f>IFERROR(__xludf.DUMMYFUNCTION("""COMPUTED_VALUE"""),2.0)</f>
        <v>2</v>
      </c>
      <c r="F28" s="19">
        <f>IFERROR(__xludf.DUMMYFUNCTION("""COMPUTED_VALUE"""),2.3)</f>
        <v>2.3</v>
      </c>
      <c r="G28" s="19">
        <f>IFERROR(__xludf.DUMMYFUNCTION("""COMPUTED_VALUE"""),1.3)</f>
        <v>1.3</v>
      </c>
      <c r="H28" s="19">
        <f>IFERROR(__xludf.DUMMYFUNCTION("""COMPUTED_VALUE"""),2.1)</f>
        <v>2.1</v>
      </c>
    </row>
    <row r="29">
      <c r="A29" s="17">
        <f>VLOOKUP(B29,map!B:C,2,false)</f>
        <v>16</v>
      </c>
      <c r="B29" s="18" t="str">
        <f>IFERROR(__xludf.DUMMYFUNCTION("""COMPUTED_VALUE"""),"Cleveland")</f>
        <v>Cleveland</v>
      </c>
      <c r="C29" s="19">
        <f>IFERROR(__xludf.DUMMYFUNCTION("""COMPUTED_VALUE"""),1.8)</f>
        <v>1.8</v>
      </c>
      <c r="D29" s="19">
        <f>IFERROR(__xludf.DUMMYFUNCTION("""COMPUTED_VALUE"""),2.0)</f>
        <v>2</v>
      </c>
      <c r="E29" s="19">
        <f>IFERROR(__xludf.DUMMYFUNCTION("""COMPUTED_VALUE"""),3.0)</f>
        <v>3</v>
      </c>
      <c r="F29" s="19">
        <f>IFERROR(__xludf.DUMMYFUNCTION("""COMPUTED_VALUE"""),2.3)</f>
        <v>2.3</v>
      </c>
      <c r="G29" s="19">
        <f>IFERROR(__xludf.DUMMYFUNCTION("""COMPUTED_VALUE"""),1.3)</f>
        <v>1.3</v>
      </c>
      <c r="H29" s="19">
        <f>IFERROR(__xludf.DUMMYFUNCTION("""COMPUTED_VALUE"""),2.4)</f>
        <v>2.4</v>
      </c>
    </row>
    <row r="30">
      <c r="A30" s="17">
        <f>VLOOKUP(B30,map!B:C,2,false)</f>
        <v>7</v>
      </c>
      <c r="B30" s="18" t="str">
        <f>IFERROR(__xludf.DUMMYFUNCTION("""COMPUTED_VALUE"""),"LA Chargers")</f>
        <v>LA Chargers</v>
      </c>
      <c r="C30" s="19">
        <f>IFERROR(__xludf.DUMMYFUNCTION("""COMPUTED_VALUE"""),1.7)</f>
        <v>1.7</v>
      </c>
      <c r="D30" s="19">
        <f>IFERROR(__xludf.DUMMYFUNCTION("""COMPUTED_VALUE"""),1.7)</f>
        <v>1.7</v>
      </c>
      <c r="E30" s="19">
        <f>IFERROR(__xludf.DUMMYFUNCTION("""COMPUTED_VALUE"""),3.0)</f>
        <v>3</v>
      </c>
      <c r="F30" s="19">
        <f>IFERROR(__xludf.DUMMYFUNCTION("""COMPUTED_VALUE"""),2.0)</f>
        <v>2</v>
      </c>
      <c r="G30" s="19">
        <f>IFERROR(__xludf.DUMMYFUNCTION("""COMPUTED_VALUE"""),1.5)</f>
        <v>1.5</v>
      </c>
      <c r="H30" s="19">
        <f>IFERROR(__xludf.DUMMYFUNCTION("""COMPUTED_VALUE"""),2.1)</f>
        <v>2.1</v>
      </c>
    </row>
    <row r="31">
      <c r="A31" s="17">
        <f>VLOOKUP(B31,map!B:C,2,false)</f>
        <v>22</v>
      </c>
      <c r="B31" s="18" t="str">
        <f>IFERROR(__xludf.DUMMYFUNCTION("""COMPUTED_VALUE"""),"New England")</f>
        <v>New England</v>
      </c>
      <c r="C31" s="19">
        <f>IFERROR(__xludf.DUMMYFUNCTION("""COMPUTED_VALUE"""),1.6)</f>
        <v>1.6</v>
      </c>
      <c r="D31" s="19">
        <f>IFERROR(__xludf.DUMMYFUNCTION("""COMPUTED_VALUE"""),2.7)</f>
        <v>2.7</v>
      </c>
      <c r="E31" s="19">
        <f>IFERROR(__xludf.DUMMYFUNCTION("""COMPUTED_VALUE"""),3.0)</f>
        <v>3</v>
      </c>
      <c r="F31" s="19">
        <f>IFERROR(__xludf.DUMMYFUNCTION("""COMPUTED_VALUE"""),2.3)</f>
        <v>2.3</v>
      </c>
      <c r="G31" s="19">
        <f>IFERROR(__xludf.DUMMYFUNCTION("""COMPUTED_VALUE"""),1.0)</f>
        <v>1</v>
      </c>
      <c r="H31" s="19">
        <f>IFERROR(__xludf.DUMMYFUNCTION("""COMPUTED_VALUE"""),1.6)</f>
        <v>1.6</v>
      </c>
    </row>
    <row r="32">
      <c r="A32" s="17">
        <f>VLOOKUP(B32,map!B:C,2,false)</f>
        <v>26</v>
      </c>
      <c r="B32" s="18" t="str">
        <f>IFERROR(__xludf.DUMMYFUNCTION("""COMPUTED_VALUE"""),"NY Giants")</f>
        <v>NY Giants</v>
      </c>
      <c r="C32" s="19">
        <f>IFERROR(__xludf.DUMMYFUNCTION("""COMPUTED_VALUE"""),1.4)</f>
        <v>1.4</v>
      </c>
      <c r="D32" s="19">
        <f>IFERROR(__xludf.DUMMYFUNCTION("""COMPUTED_VALUE"""),1.3)</f>
        <v>1.3</v>
      </c>
      <c r="E32" s="19">
        <f>IFERROR(__xludf.DUMMYFUNCTION("""COMPUTED_VALUE"""),0.0)</f>
        <v>0</v>
      </c>
      <c r="F32" s="19">
        <f>IFERROR(__xludf.DUMMYFUNCTION("""COMPUTED_VALUE"""),0.3)</f>
        <v>0.3</v>
      </c>
      <c r="G32" s="19">
        <f>IFERROR(__xludf.DUMMYFUNCTION("""COMPUTED_VALUE"""),3.0)</f>
        <v>3</v>
      </c>
      <c r="H32" s="19">
        <f>IFERROR(__xludf.DUMMYFUNCTION("""COMPUTED_VALUE"""),1.7)</f>
        <v>1.7</v>
      </c>
    </row>
    <row r="33">
      <c r="A33" s="17">
        <f>VLOOKUP(B33,map!B:C,2,false)</f>
        <v>10</v>
      </c>
      <c r="B33" s="18" t="str">
        <f>IFERROR(__xludf.DUMMYFUNCTION("""COMPUTED_VALUE"""),"Miami")</f>
        <v>Miami</v>
      </c>
      <c r="C33" s="19">
        <f>IFERROR(__xludf.DUMMYFUNCTION("""COMPUTED_VALUE"""),1.3)</f>
        <v>1.3</v>
      </c>
      <c r="D33" s="19">
        <f>IFERROR(__xludf.DUMMYFUNCTION("""COMPUTED_VALUE"""),1.7)</f>
        <v>1.7</v>
      </c>
      <c r="E33" s="19">
        <f>IFERROR(__xludf.DUMMYFUNCTION("""COMPUTED_VALUE"""),3.0)</f>
        <v>3</v>
      </c>
      <c r="F33" s="19">
        <f>IFERROR(__xludf.DUMMYFUNCTION("""COMPUTED_VALUE"""),1.8)</f>
        <v>1.8</v>
      </c>
      <c r="G33" s="19">
        <f>IFERROR(__xludf.DUMMYFUNCTION("""COMPUTED_VALUE"""),0.7)</f>
        <v>0.7</v>
      </c>
      <c r="H33" s="19">
        <f>IFERROR(__xludf.DUMMYFUNCTION("""COMPUTED_VALUE"""),3.4)</f>
        <v>3.4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">
        <v>16</v>
      </c>
      <c r="C1" s="15">
        <v>2024.0</v>
      </c>
      <c r="D1" s="16" t="s">
        <v>27</v>
      </c>
      <c r="E1" s="16" t="s">
        <v>28</v>
      </c>
      <c r="F1" s="15" t="s">
        <v>3</v>
      </c>
      <c r="G1" s="15" t="s">
        <v>4</v>
      </c>
      <c r="H1" s="15">
        <v>2023.0</v>
      </c>
    </row>
    <row r="2">
      <c r="A2" s="17">
        <f>VLOOKUP(B2,map!B:C,2,false)</f>
        <v>15</v>
      </c>
      <c r="B2" s="21" t="s">
        <v>29</v>
      </c>
      <c r="C2" s="22">
        <f>+1.5</f>
        <v>1.5</v>
      </c>
      <c r="D2" s="22">
        <f>+1.3</f>
        <v>1.3</v>
      </c>
      <c r="E2" s="19">
        <v>-1.0</v>
      </c>
      <c r="F2" s="22">
        <f>+0.5</f>
        <v>0.5</v>
      </c>
      <c r="G2" s="22">
        <f>+2.5</f>
        <v>2.5</v>
      </c>
      <c r="H2" s="19">
        <v>0.0</v>
      </c>
    </row>
    <row r="3">
      <c r="A3" s="17">
        <f>VLOOKUP(B3,map!B:C,2,false)</f>
        <v>11</v>
      </c>
      <c r="B3" s="21" t="s">
        <v>30</v>
      </c>
      <c r="C3" s="22">
        <f t="shared" ref="C3:C4" si="1">+1.3</f>
        <v>1.3</v>
      </c>
      <c r="D3" s="22">
        <f>+1.7</f>
        <v>1.7</v>
      </c>
      <c r="E3" s="19">
        <v>0.0</v>
      </c>
      <c r="F3" s="22">
        <f>+1</f>
        <v>1</v>
      </c>
      <c r="G3" s="22">
        <f>+1.5</f>
        <v>1.5</v>
      </c>
      <c r="H3" s="22">
        <f>+0.3</f>
        <v>0.3</v>
      </c>
    </row>
    <row r="4">
      <c r="A4" s="17">
        <f>VLOOKUP(B4,map!B:C,2,false)</f>
        <v>7</v>
      </c>
      <c r="B4" s="21" t="s">
        <v>31</v>
      </c>
      <c r="C4" s="22">
        <f t="shared" si="1"/>
        <v>1.3</v>
      </c>
      <c r="D4" s="22">
        <f>+0.7</f>
        <v>0.7</v>
      </c>
      <c r="E4" s="22">
        <f>+2</f>
        <v>2</v>
      </c>
      <c r="F4" s="22">
        <f>+2.5</f>
        <v>2.5</v>
      </c>
      <c r="G4" s="19">
        <v>0.0</v>
      </c>
      <c r="H4" s="19">
        <v>0.0</v>
      </c>
    </row>
    <row r="5">
      <c r="A5" s="17">
        <f>VLOOKUP(B5,map!B:C,2,false)</f>
        <v>3</v>
      </c>
      <c r="B5" s="21" t="s">
        <v>32</v>
      </c>
      <c r="C5" s="22">
        <f t="shared" ref="C5:C6" si="3">+0.8</f>
        <v>0.8</v>
      </c>
      <c r="D5" s="22">
        <f t="shared" ref="D5:F5" si="2">+1</f>
        <v>1</v>
      </c>
      <c r="E5" s="22">
        <f t="shared" si="2"/>
        <v>1</v>
      </c>
      <c r="F5" s="22">
        <f t="shared" si="2"/>
        <v>1</v>
      </c>
      <c r="G5" s="22">
        <f>+0.5</f>
        <v>0.5</v>
      </c>
      <c r="H5" s="19">
        <v>-0.7</v>
      </c>
    </row>
    <row r="6">
      <c r="A6" s="17">
        <f>VLOOKUP(B6,map!B:C,2,false)</f>
        <v>9</v>
      </c>
      <c r="B6" s="21" t="s">
        <v>33</v>
      </c>
      <c r="C6" s="22">
        <f t="shared" si="3"/>
        <v>0.8</v>
      </c>
      <c r="D6" s="22">
        <f>+0.3</f>
        <v>0.3</v>
      </c>
      <c r="E6" s="19">
        <v>-1.0</v>
      </c>
      <c r="F6" s="22">
        <f>+1.5</f>
        <v>1.5</v>
      </c>
      <c r="G6" s="19">
        <v>0.0</v>
      </c>
      <c r="H6" s="22">
        <f>+0.6</f>
        <v>0.6</v>
      </c>
    </row>
    <row r="7">
      <c r="A7" s="17">
        <f>VLOOKUP(B7,map!B:C,2,false)</f>
        <v>31</v>
      </c>
      <c r="B7" s="21" t="s">
        <v>34</v>
      </c>
      <c r="C7" s="22">
        <f t="shared" ref="C7:C10" si="5">+0.5</f>
        <v>0.5</v>
      </c>
      <c r="D7" s="19">
        <v>0.0</v>
      </c>
      <c r="E7" s="22">
        <f t="shared" ref="E7:F7" si="4">+2</f>
        <v>2</v>
      </c>
      <c r="F7" s="22">
        <f t="shared" si="4"/>
        <v>2</v>
      </c>
      <c r="G7" s="19">
        <v>-1.0</v>
      </c>
      <c r="H7" s="22">
        <f>+0.2</f>
        <v>0.2</v>
      </c>
    </row>
    <row r="8">
      <c r="A8" s="17">
        <f>VLOOKUP(B8,map!B:C,2,false)</f>
        <v>25</v>
      </c>
      <c r="B8" s="21" t="s">
        <v>35</v>
      </c>
      <c r="C8" s="22">
        <f t="shared" si="5"/>
        <v>0.5</v>
      </c>
      <c r="D8" s="19">
        <v>0.0</v>
      </c>
      <c r="E8" s="22">
        <f>+1</f>
        <v>1</v>
      </c>
      <c r="F8" s="22">
        <f>+1.5</f>
        <v>1.5</v>
      </c>
      <c r="G8" s="19">
        <v>-0.5</v>
      </c>
      <c r="H8" s="22">
        <f>+0.6</f>
        <v>0.6</v>
      </c>
    </row>
    <row r="9">
      <c r="A9" s="17">
        <f>VLOOKUP(B9,map!B:C,2,false)</f>
        <v>14</v>
      </c>
      <c r="B9" s="21" t="s">
        <v>36</v>
      </c>
      <c r="C9" s="22">
        <f t="shared" si="5"/>
        <v>0.5</v>
      </c>
      <c r="D9" s="22">
        <f>+0.7</f>
        <v>0.7</v>
      </c>
      <c r="E9" s="22">
        <f>+2</f>
        <v>2</v>
      </c>
      <c r="F9" s="22">
        <f>+0.3</f>
        <v>0.3</v>
      </c>
      <c r="G9" s="22">
        <f t="shared" ref="G9:G10" si="6">+1</f>
        <v>1</v>
      </c>
      <c r="H9" s="22">
        <f>+0.3</f>
        <v>0.3</v>
      </c>
    </row>
    <row r="10">
      <c r="A10" s="17">
        <f>VLOOKUP(B10,map!B:C,2,false)</f>
        <v>29</v>
      </c>
      <c r="B10" s="21" t="s">
        <v>37</v>
      </c>
      <c r="C10" s="22">
        <f t="shared" si="5"/>
        <v>0.5</v>
      </c>
      <c r="D10" s="19">
        <v>-0.3</v>
      </c>
      <c r="E10" s="19">
        <v>-2.0</v>
      </c>
      <c r="F10" s="19">
        <v>-1.0</v>
      </c>
      <c r="G10" s="22">
        <f t="shared" si="6"/>
        <v>1</v>
      </c>
      <c r="H10" s="22">
        <f>+0.5</f>
        <v>0.5</v>
      </c>
    </row>
    <row r="11">
      <c r="A11" s="17">
        <f>VLOOKUP(B11,map!B:C,2,false)</f>
        <v>5</v>
      </c>
      <c r="B11" s="21" t="s">
        <v>38</v>
      </c>
      <c r="C11" s="22">
        <f t="shared" ref="C11:D11" si="7">+0.3</f>
        <v>0.3</v>
      </c>
      <c r="D11" s="22">
        <f t="shared" si="7"/>
        <v>0.3</v>
      </c>
      <c r="E11" s="22">
        <f>+2</f>
        <v>2</v>
      </c>
      <c r="F11" s="22">
        <f>+0.3</f>
        <v>0.3</v>
      </c>
      <c r="G11" s="19">
        <v>0.0</v>
      </c>
      <c r="H11" s="22">
        <f>+0.1</f>
        <v>0.1</v>
      </c>
    </row>
    <row r="12">
      <c r="A12" s="17">
        <f>VLOOKUP(B12,map!B:C,2,false)</f>
        <v>19</v>
      </c>
      <c r="B12" s="21" t="s">
        <v>39</v>
      </c>
      <c r="C12" s="22">
        <f t="shared" ref="C12:C15" si="8">+0.3</f>
        <v>0.3</v>
      </c>
      <c r="D12" s="22">
        <f>+1</f>
        <v>1</v>
      </c>
      <c r="E12" s="19">
        <v>0.0</v>
      </c>
      <c r="F12" s="22">
        <f>+0.5</f>
        <v>0.5</v>
      </c>
      <c r="G12" s="19">
        <v>0.0</v>
      </c>
      <c r="H12" s="19">
        <v>-0.4</v>
      </c>
    </row>
    <row r="13">
      <c r="A13" s="17">
        <f>VLOOKUP(B13,map!B:C,2,false)</f>
        <v>30</v>
      </c>
      <c r="B13" s="21" t="s">
        <v>40</v>
      </c>
      <c r="C13" s="22">
        <f t="shared" si="8"/>
        <v>0.3</v>
      </c>
      <c r="D13" s="22">
        <f>+0.3</f>
        <v>0.3</v>
      </c>
      <c r="E13" s="19">
        <v>0.0</v>
      </c>
      <c r="F13" s="19">
        <v>0.0</v>
      </c>
      <c r="G13" s="22">
        <f t="shared" ref="G13:H13" si="9">+0.5</f>
        <v>0.5</v>
      </c>
      <c r="H13" s="22">
        <f t="shared" si="9"/>
        <v>0.5</v>
      </c>
    </row>
    <row r="14">
      <c r="A14" s="17">
        <f>VLOOKUP(B14,map!B:C,2,false)</f>
        <v>1</v>
      </c>
      <c r="B14" s="21" t="s">
        <v>41</v>
      </c>
      <c r="C14" s="22">
        <f t="shared" si="8"/>
        <v>0.3</v>
      </c>
      <c r="D14" s="19">
        <v>-0.3</v>
      </c>
      <c r="E14" s="22">
        <f>+1</f>
        <v>1</v>
      </c>
      <c r="F14" s="19">
        <v>-1.0</v>
      </c>
      <c r="G14" s="22">
        <f>+1.5</f>
        <v>1.5</v>
      </c>
      <c r="H14" s="22">
        <f>+0.4</f>
        <v>0.4</v>
      </c>
    </row>
    <row r="15">
      <c r="A15" s="17">
        <f>VLOOKUP(B15,map!B:C,2,false)</f>
        <v>8</v>
      </c>
      <c r="B15" s="21" t="s">
        <v>42</v>
      </c>
      <c r="C15" s="22">
        <f t="shared" si="8"/>
        <v>0.3</v>
      </c>
      <c r="D15" s="22">
        <f>+0.3</f>
        <v>0.3</v>
      </c>
      <c r="E15" s="19">
        <v>0.0</v>
      </c>
      <c r="F15" s="22">
        <f>+1</f>
        <v>1</v>
      </c>
      <c r="G15" s="19">
        <v>0.0</v>
      </c>
      <c r="H15" s="19">
        <v>-0.8</v>
      </c>
    </row>
    <row r="16">
      <c r="A16" s="17">
        <f>VLOOKUP(B16,map!B:C,2,false)</f>
        <v>10</v>
      </c>
      <c r="B16" s="21" t="s">
        <v>43</v>
      </c>
      <c r="C16" s="19">
        <v>0.0</v>
      </c>
      <c r="D16" s="19">
        <v>-0.3</v>
      </c>
      <c r="E16" s="19">
        <v>0.0</v>
      </c>
      <c r="F16" s="19">
        <v>-0.7</v>
      </c>
      <c r="G16" s="22">
        <f>+2</f>
        <v>2</v>
      </c>
      <c r="H16" s="22">
        <f>+0.1</f>
        <v>0.1</v>
      </c>
    </row>
    <row r="17">
      <c r="A17" s="17">
        <f>VLOOKUP(B17,map!B:C,2,false)</f>
        <v>21</v>
      </c>
      <c r="B17" s="21" t="s">
        <v>44</v>
      </c>
      <c r="C17" s="19">
        <v>0.0</v>
      </c>
      <c r="D17" s="19">
        <v>0.0</v>
      </c>
      <c r="E17" s="19">
        <v>0.0</v>
      </c>
      <c r="F17" s="19">
        <v>0.0</v>
      </c>
      <c r="G17" s="19">
        <v>0.0</v>
      </c>
      <c r="H17" s="19">
        <v>-0.1</v>
      </c>
    </row>
    <row r="18">
      <c r="A18" s="17">
        <f>VLOOKUP(B18,map!B:C,2,false)</f>
        <v>22</v>
      </c>
      <c r="B18" s="21" t="s">
        <v>45</v>
      </c>
      <c r="C18" s="19">
        <v>0.0</v>
      </c>
      <c r="D18" s="19">
        <v>-0.7</v>
      </c>
      <c r="E18" s="19">
        <v>-1.0</v>
      </c>
      <c r="F18" s="19">
        <v>0.0</v>
      </c>
      <c r="G18" s="19">
        <v>0.0</v>
      </c>
      <c r="H18" s="19">
        <v>-0.6</v>
      </c>
    </row>
    <row r="19">
      <c r="A19" s="17">
        <f>VLOOKUP(B19,map!B:C,2,false)</f>
        <v>23</v>
      </c>
      <c r="B19" s="21" t="s">
        <v>46</v>
      </c>
      <c r="C19" s="19">
        <v>0.0</v>
      </c>
      <c r="D19" s="22">
        <f t="shared" ref="D19:D20" si="10">+0.7</f>
        <v>0.7</v>
      </c>
      <c r="E19" s="19">
        <v>0.0</v>
      </c>
      <c r="F19" s="22">
        <f>+0.5</f>
        <v>0.5</v>
      </c>
      <c r="G19" s="19">
        <v>-0.5</v>
      </c>
      <c r="H19" s="19">
        <v>-0.5</v>
      </c>
    </row>
    <row r="20">
      <c r="A20" s="17">
        <f>VLOOKUP(B20,map!B:C,2,false)</f>
        <v>4</v>
      </c>
      <c r="B20" s="21" t="s">
        <v>47</v>
      </c>
      <c r="C20" s="19">
        <v>0.0</v>
      </c>
      <c r="D20" s="22">
        <f t="shared" si="10"/>
        <v>0.7</v>
      </c>
      <c r="E20" s="19">
        <v>0.0</v>
      </c>
      <c r="F20" s="19">
        <v>-1.0</v>
      </c>
      <c r="G20" s="22">
        <f>+1</f>
        <v>1</v>
      </c>
      <c r="H20" s="22">
        <f>+0.6</f>
        <v>0.6</v>
      </c>
    </row>
    <row r="21">
      <c r="A21" s="17">
        <f>VLOOKUP(B21,map!B:C,2,false)</f>
        <v>20</v>
      </c>
      <c r="B21" s="21" t="s">
        <v>48</v>
      </c>
      <c r="C21" s="19">
        <v>0.0</v>
      </c>
      <c r="D21" s="22">
        <f>+0.3</f>
        <v>0.3</v>
      </c>
      <c r="E21" s="22">
        <f>+2</f>
        <v>2</v>
      </c>
      <c r="F21" s="22">
        <f>+0.7</f>
        <v>0.7</v>
      </c>
      <c r="G21" s="19">
        <v>-2.0</v>
      </c>
      <c r="H21" s="22">
        <f>+0.1</f>
        <v>0.1</v>
      </c>
    </row>
    <row r="22">
      <c r="A22" s="17">
        <f>VLOOKUP(B22,map!B:C,2,false)</f>
        <v>17</v>
      </c>
      <c r="B22" s="21" t="s">
        <v>49</v>
      </c>
      <c r="C22" s="19">
        <v>-0.3</v>
      </c>
      <c r="D22" s="19">
        <v>-0.7</v>
      </c>
      <c r="E22" s="19">
        <v>-1.0</v>
      </c>
      <c r="F22" s="19">
        <v>0.0</v>
      </c>
      <c r="G22" s="19">
        <v>-0.5</v>
      </c>
      <c r="H22" s="22">
        <f>+0.6</f>
        <v>0.6</v>
      </c>
    </row>
    <row r="23">
      <c r="A23" s="17">
        <f>VLOOKUP(B23,map!B:C,2,false)</f>
        <v>18</v>
      </c>
      <c r="B23" s="21" t="s">
        <v>50</v>
      </c>
      <c r="C23" s="19">
        <v>-0.3</v>
      </c>
      <c r="D23" s="19">
        <v>-0.3</v>
      </c>
      <c r="E23" s="19">
        <v>-2.0</v>
      </c>
      <c r="F23" s="22">
        <f>+1</f>
        <v>1</v>
      </c>
      <c r="G23" s="19">
        <v>-0.7</v>
      </c>
      <c r="H23" s="19">
        <v>-0.2</v>
      </c>
    </row>
    <row r="24">
      <c r="A24" s="17">
        <f>VLOOKUP(B24,map!B:C,2,false)</f>
        <v>28</v>
      </c>
      <c r="B24" s="21" t="s">
        <v>51</v>
      </c>
      <c r="C24" s="19">
        <v>-0.3</v>
      </c>
      <c r="D24" s="22">
        <f>+0.7</f>
        <v>0.7</v>
      </c>
      <c r="E24" s="22">
        <f t="shared" ref="E24:E25" si="11">+1</f>
        <v>1</v>
      </c>
      <c r="F24" s="19">
        <v>-0.7</v>
      </c>
      <c r="G24" s="22">
        <f>+1</f>
        <v>1</v>
      </c>
      <c r="H24" s="19">
        <v>-0.7</v>
      </c>
    </row>
    <row r="25">
      <c r="A25" s="17">
        <f>VLOOKUP(B25,map!B:C,2,false)</f>
        <v>6</v>
      </c>
      <c r="B25" s="21" t="s">
        <v>52</v>
      </c>
      <c r="C25" s="19">
        <v>-0.5</v>
      </c>
      <c r="D25" s="19">
        <v>-0.3</v>
      </c>
      <c r="E25" s="22">
        <f t="shared" si="11"/>
        <v>1</v>
      </c>
      <c r="F25" s="19">
        <v>0.0</v>
      </c>
      <c r="G25" s="19">
        <v>-0.7</v>
      </c>
      <c r="H25" s="19">
        <v>-0.2</v>
      </c>
    </row>
    <row r="26">
      <c r="A26" s="17">
        <f>VLOOKUP(B26,map!B:C,2,false)</f>
        <v>16</v>
      </c>
      <c r="B26" s="21" t="s">
        <v>53</v>
      </c>
      <c r="C26" s="19">
        <v>-0.5</v>
      </c>
      <c r="D26" s="19">
        <v>0.0</v>
      </c>
      <c r="E26" s="19">
        <v>0.0</v>
      </c>
      <c r="F26" s="19">
        <v>-1.0</v>
      </c>
      <c r="G26" s="19">
        <v>0.0</v>
      </c>
      <c r="H26" s="19">
        <v>-0.6</v>
      </c>
    </row>
    <row r="27">
      <c r="A27" s="17">
        <f>VLOOKUP(B27,map!B:C,2,false)</f>
        <v>27</v>
      </c>
      <c r="B27" s="21" t="s">
        <v>54</v>
      </c>
      <c r="C27" s="19">
        <v>-0.5</v>
      </c>
      <c r="D27" s="19">
        <v>-0.3</v>
      </c>
      <c r="E27" s="19">
        <v>0.0</v>
      </c>
      <c r="F27" s="19">
        <v>-2.0</v>
      </c>
      <c r="G27" s="19">
        <v>0.0</v>
      </c>
      <c r="H27" s="22">
        <f>+0.2</f>
        <v>0.2</v>
      </c>
    </row>
    <row r="28">
      <c r="A28" s="17">
        <f>VLOOKUP(B28,map!B:C,2,false)</f>
        <v>26</v>
      </c>
      <c r="B28" s="21" t="s">
        <v>55</v>
      </c>
      <c r="C28" s="19">
        <v>-0.5</v>
      </c>
      <c r="D28" s="19">
        <v>-0.7</v>
      </c>
      <c r="E28" s="19">
        <v>-1.0</v>
      </c>
      <c r="F28" s="19">
        <v>-0.5</v>
      </c>
      <c r="G28" s="19">
        <v>-0.5</v>
      </c>
      <c r="H28" s="22">
        <f>+0.7</f>
        <v>0.7</v>
      </c>
    </row>
    <row r="29">
      <c r="A29" s="17">
        <f>VLOOKUP(B29,map!B:C,2,false)</f>
        <v>13</v>
      </c>
      <c r="B29" s="21" t="s">
        <v>56</v>
      </c>
      <c r="C29" s="19">
        <v>-0.8</v>
      </c>
      <c r="D29" s="19">
        <v>-1.3</v>
      </c>
      <c r="E29" s="19">
        <v>-2.0</v>
      </c>
      <c r="F29" s="19">
        <v>-0.5</v>
      </c>
      <c r="G29" s="19">
        <v>-1.0</v>
      </c>
      <c r="H29" s="22">
        <f>+0.1</f>
        <v>0.1</v>
      </c>
    </row>
    <row r="30">
      <c r="A30" s="17">
        <f>VLOOKUP(B30,map!B:C,2,false)</f>
        <v>2</v>
      </c>
      <c r="B30" s="21" t="s">
        <v>57</v>
      </c>
      <c r="C30" s="19">
        <v>-1.0</v>
      </c>
      <c r="D30" s="19">
        <v>-1.3</v>
      </c>
      <c r="E30" s="19">
        <v>-2.0</v>
      </c>
      <c r="F30" s="19">
        <v>-1.0</v>
      </c>
      <c r="G30" s="19">
        <v>-1.0</v>
      </c>
      <c r="H30" s="19">
        <v>-0.4</v>
      </c>
    </row>
    <row r="31">
      <c r="A31" s="17">
        <f>VLOOKUP(B31,map!B:C,2,false)</f>
        <v>24</v>
      </c>
      <c r="B31" s="21" t="s">
        <v>58</v>
      </c>
      <c r="C31" s="19">
        <v>-1.0</v>
      </c>
      <c r="D31" s="19">
        <v>-0.3</v>
      </c>
      <c r="E31" s="19">
        <v>0.0</v>
      </c>
      <c r="F31" s="19">
        <v>-0.5</v>
      </c>
      <c r="G31" s="19">
        <v>-1.5</v>
      </c>
      <c r="H31" s="19">
        <v>-0.1</v>
      </c>
    </row>
    <row r="32">
      <c r="A32" s="17">
        <f>VLOOKUP(B32,map!B:C,2,false)</f>
        <v>12</v>
      </c>
      <c r="B32" s="21" t="s">
        <v>59</v>
      </c>
      <c r="C32" s="19">
        <v>-1.5</v>
      </c>
      <c r="D32" s="19">
        <v>-1.3</v>
      </c>
      <c r="E32" s="19">
        <v>-2.0</v>
      </c>
      <c r="F32" s="19">
        <v>-1.0</v>
      </c>
      <c r="G32" s="19">
        <v>-1.7</v>
      </c>
      <c r="H32" s="19">
        <v>-0.6</v>
      </c>
    </row>
    <row r="33">
      <c r="A33" s="17">
        <f>VLOOKUP(B33,map!B:C,2,false)</f>
        <v>32</v>
      </c>
      <c r="B33" s="21" t="s">
        <v>60</v>
      </c>
      <c r="C33" s="19">
        <v>-1.8</v>
      </c>
      <c r="D33" s="19">
        <v>-1.7</v>
      </c>
      <c r="E33" s="19">
        <v>0.0</v>
      </c>
      <c r="F33" s="19">
        <v>-2.5</v>
      </c>
      <c r="G33" s="19">
        <v>-1.0</v>
      </c>
      <c r="H33" s="19">
        <v>-0.4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IFERROR(__xludf.DUMMYFUNCTION("QUERY(IMPORTHTML(""https://www.teamrankings.com/nfl/stat/completion-pct?date=""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5</v>
      </c>
      <c r="B2" s="18" t="str">
        <f>IFERROR(__xludf.DUMMYFUNCTION("""COMPUTED_VALUE"""),"Detroit")</f>
        <v>Detroit</v>
      </c>
      <c r="C2" s="20">
        <f>IFERROR(__xludf.DUMMYFUNCTION("""COMPUTED_VALUE"""),0.7411)</f>
        <v>0.7411</v>
      </c>
      <c r="D2" s="20">
        <f>IFERROR(__xludf.DUMMYFUNCTION("""COMPUTED_VALUE"""),0.7887)</f>
        <v>0.7887</v>
      </c>
      <c r="E2" s="20">
        <f>IFERROR(__xludf.DUMMYFUNCTION("""COMPUTED_VALUE"""),0.7895)</f>
        <v>0.7895</v>
      </c>
      <c r="F2" s="20">
        <f>IFERROR(__xludf.DUMMYFUNCTION("""COMPUTED_VALUE"""),0.7131)</f>
        <v>0.7131</v>
      </c>
      <c r="G2" s="20">
        <f>IFERROR(__xludf.DUMMYFUNCTION("""COMPUTED_VALUE"""),0.7867)</f>
        <v>0.7867</v>
      </c>
      <c r="H2" s="20">
        <f>IFERROR(__xludf.DUMMYFUNCTION("""COMPUTED_VALUE"""),0.6764)</f>
        <v>0.6764</v>
      </c>
    </row>
    <row r="3">
      <c r="A3" s="17">
        <f>VLOOKUP(B3,map!B:C,2,false)</f>
        <v>8</v>
      </c>
      <c r="B3" s="18" t="str">
        <f>IFERROR(__xludf.DUMMYFUNCTION("""COMPUTED_VALUE"""),"Washington")</f>
        <v>Washington</v>
      </c>
      <c r="C3" s="20">
        <f>IFERROR(__xludf.DUMMYFUNCTION("""COMPUTED_VALUE"""),0.7198)</f>
        <v>0.7198</v>
      </c>
      <c r="D3" s="20">
        <f>IFERROR(__xludf.DUMMYFUNCTION("""COMPUTED_VALUE"""),0.6633)</f>
        <v>0.6633</v>
      </c>
      <c r="E3" s="20">
        <f>IFERROR(__xludf.DUMMYFUNCTION("""COMPUTED_VALUE"""),0.5526)</f>
        <v>0.5526</v>
      </c>
      <c r="F3" s="20">
        <f>IFERROR(__xludf.DUMMYFUNCTION("""COMPUTED_VALUE"""),0.6583)</f>
        <v>0.6583</v>
      </c>
      <c r="G3" s="20">
        <f>IFERROR(__xludf.DUMMYFUNCTION("""COMPUTED_VALUE"""),0.7857)</f>
        <v>0.7857</v>
      </c>
      <c r="H3" s="20">
        <f>IFERROR(__xludf.DUMMYFUNCTION("""COMPUTED_VALUE"""),0.6399)</f>
        <v>0.6399</v>
      </c>
    </row>
    <row r="4">
      <c r="A4" s="17">
        <f>VLOOKUP(B4,map!B:C,2,false)</f>
        <v>14</v>
      </c>
      <c r="B4" s="18" t="str">
        <f>IFERROR(__xludf.DUMMYFUNCTION("""COMPUTED_VALUE"""),"Tampa Bay")</f>
        <v>Tampa Bay</v>
      </c>
      <c r="C4" s="20">
        <f>IFERROR(__xludf.DUMMYFUNCTION("""COMPUTED_VALUE"""),0.7113)</f>
        <v>0.7113</v>
      </c>
      <c r="D4" s="20">
        <f>IFERROR(__xludf.DUMMYFUNCTION("""COMPUTED_VALUE"""),0.7023)</f>
        <v>0.7023</v>
      </c>
      <c r="E4" s="20">
        <f>IFERROR(__xludf.DUMMYFUNCTION("""COMPUTED_VALUE"""),0.74)</f>
        <v>0.74</v>
      </c>
      <c r="F4" s="20">
        <f>IFERROR(__xludf.DUMMYFUNCTION("""COMPUTED_VALUE"""),0.7171)</f>
        <v>0.7171</v>
      </c>
      <c r="G4" s="20">
        <f>IFERROR(__xludf.DUMMYFUNCTION("""COMPUTED_VALUE"""),0.6962)</f>
        <v>0.6962</v>
      </c>
      <c r="H4" s="20">
        <f>IFERROR(__xludf.DUMMYFUNCTION("""COMPUTED_VALUE"""),0.6388)</f>
        <v>0.6388</v>
      </c>
    </row>
    <row r="5">
      <c r="A5" s="17">
        <f>VLOOKUP(B5,map!B:C,2,false)</f>
        <v>4</v>
      </c>
      <c r="B5" s="18" t="str">
        <f>IFERROR(__xludf.DUMMYFUNCTION("""COMPUTED_VALUE"""),"Cincinnati")</f>
        <v>Cincinnati</v>
      </c>
      <c r="C5" s="20">
        <f>IFERROR(__xludf.DUMMYFUNCTION("""COMPUTED_VALUE"""),0.7034)</f>
        <v>0.7034</v>
      </c>
      <c r="D5" s="20">
        <f>IFERROR(__xludf.DUMMYFUNCTION("""COMPUTED_VALUE"""),0.6667)</f>
        <v>0.6667</v>
      </c>
      <c r="E5" s="20">
        <f>IFERROR(__xludf.DUMMYFUNCTION("""COMPUTED_VALUE"""),0.7027)</f>
        <v>0.7027</v>
      </c>
      <c r="F5" s="20">
        <f>IFERROR(__xludf.DUMMYFUNCTION("""COMPUTED_VALUE"""),0.7413)</f>
        <v>0.7413</v>
      </c>
      <c r="G5" s="20">
        <f>IFERROR(__xludf.DUMMYFUNCTION("""COMPUTED_VALUE"""),0.6583)</f>
        <v>0.6583</v>
      </c>
      <c r="H5" s="20">
        <f>IFERROR(__xludf.DUMMYFUNCTION("""COMPUTED_VALUE"""),0.6829)</f>
        <v>0.6829</v>
      </c>
    </row>
    <row r="6">
      <c r="A6" s="17">
        <f>VLOOKUP(B6,map!B:C,2,false)</f>
        <v>13</v>
      </c>
      <c r="B6" s="18" t="str">
        <f>IFERROR(__xludf.DUMMYFUNCTION("""COMPUTED_VALUE"""),"Seattle")</f>
        <v>Seattle</v>
      </c>
      <c r="C6" s="20">
        <f>IFERROR(__xludf.DUMMYFUNCTION("""COMPUTED_VALUE"""),0.6893)</f>
        <v>0.6893</v>
      </c>
      <c r="D6" s="20">
        <f>IFERROR(__xludf.DUMMYFUNCTION("""COMPUTED_VALUE"""),0.6364)</f>
        <v>0.6364</v>
      </c>
      <c r="E6" s="20">
        <f>IFERROR(__xludf.DUMMYFUNCTION("""COMPUTED_VALUE"""),0.7241)</f>
        <v>0.7241</v>
      </c>
      <c r="F6" s="20">
        <f>IFERROR(__xludf.DUMMYFUNCTION("""COMPUTED_VALUE"""),0.6833)</f>
        <v>0.6833</v>
      </c>
      <c r="G6" s="20">
        <f>IFERROR(__xludf.DUMMYFUNCTION("""COMPUTED_VALUE"""),0.6977)</f>
        <v>0.6977</v>
      </c>
      <c r="H6" s="20">
        <f>IFERROR(__xludf.DUMMYFUNCTION("""COMPUTED_VALUE"""),0.6452)</f>
        <v>0.6452</v>
      </c>
    </row>
    <row r="7">
      <c r="A7" s="17">
        <f>VLOOKUP(B7,map!B:C,2,false)</f>
        <v>12</v>
      </c>
      <c r="B7" s="18" t="str">
        <f>IFERROR(__xludf.DUMMYFUNCTION("""COMPUTED_VALUE"""),"Philadelphia")</f>
        <v>Philadelphia</v>
      </c>
      <c r="C7" s="20">
        <f>IFERROR(__xludf.DUMMYFUNCTION("""COMPUTED_VALUE"""),0.6875)</f>
        <v>0.6875</v>
      </c>
      <c r="D7" s="20">
        <f>IFERROR(__xludf.DUMMYFUNCTION("""COMPUTED_VALUE"""),0.7)</f>
        <v>0.7</v>
      </c>
      <c r="E7" s="20">
        <f>IFERROR(__xludf.DUMMYFUNCTION("""COMPUTED_VALUE"""),0.8)</f>
        <v>0.8</v>
      </c>
      <c r="F7" s="20">
        <f>IFERROR(__xludf.DUMMYFUNCTION("""COMPUTED_VALUE"""),0.7091)</f>
        <v>0.7091</v>
      </c>
      <c r="G7" s="20">
        <f>IFERROR(__xludf.DUMMYFUNCTION("""COMPUTED_VALUE"""),0.6788)</f>
        <v>0.6788</v>
      </c>
      <c r="H7" s="20">
        <f>IFERROR(__xludf.DUMMYFUNCTION("""COMPUTED_VALUE"""),0.6589)</f>
        <v>0.6589</v>
      </c>
    </row>
    <row r="8">
      <c r="A8" s="17">
        <f>VLOOKUP(B8,map!B:C,2,false)</f>
        <v>2</v>
      </c>
      <c r="B8" s="18" t="str">
        <f>IFERROR(__xludf.DUMMYFUNCTION("""COMPUTED_VALUE"""),"Kansas City")</f>
        <v>Kansas City</v>
      </c>
      <c r="C8" s="20">
        <f>IFERROR(__xludf.DUMMYFUNCTION("""COMPUTED_VALUE"""),0.6844)</f>
        <v>0.6844</v>
      </c>
      <c r="D8" s="20">
        <f>IFERROR(__xludf.DUMMYFUNCTION("""COMPUTED_VALUE"""),0.6827)</f>
        <v>0.6827</v>
      </c>
      <c r="E8" s="20">
        <f>IFERROR(__xludf.DUMMYFUNCTION("""COMPUTED_VALUE"""),0.7105)</f>
        <v>0.7105</v>
      </c>
      <c r="F8" s="20">
        <f>IFERROR(__xludf.DUMMYFUNCTION("""COMPUTED_VALUE"""),0.7174)</f>
        <v>0.7174</v>
      </c>
      <c r="G8" s="20">
        <f>IFERROR(__xludf.DUMMYFUNCTION("""COMPUTED_VALUE"""),0.6617)</f>
        <v>0.6617</v>
      </c>
      <c r="H8" s="20">
        <f>IFERROR(__xludf.DUMMYFUNCTION("""COMPUTED_VALUE"""),0.6696)</f>
        <v>0.6696</v>
      </c>
    </row>
    <row r="9">
      <c r="A9" s="17">
        <f>VLOOKUP(B9,map!B:C,2,false)</f>
        <v>28</v>
      </c>
      <c r="B9" s="18" t="str">
        <f>IFERROR(__xludf.DUMMYFUNCTION("""COMPUTED_VALUE"""),"Atlanta")</f>
        <v>Atlanta</v>
      </c>
      <c r="C9" s="20">
        <f>IFERROR(__xludf.DUMMYFUNCTION("""COMPUTED_VALUE"""),0.6813)</f>
        <v>0.6813</v>
      </c>
      <c r="D9" s="20">
        <f>IFERROR(__xludf.DUMMYFUNCTION("""COMPUTED_VALUE"""),0.7053)</f>
        <v>0.7053</v>
      </c>
      <c r="E9" s="20">
        <f>IFERROR(__xludf.DUMMYFUNCTION("""COMPUTED_VALUE"""),0.7931)</f>
        <v>0.7931</v>
      </c>
      <c r="F9" s="20">
        <f>IFERROR(__xludf.DUMMYFUNCTION("""COMPUTED_VALUE"""),0.6703)</f>
        <v>0.6703</v>
      </c>
      <c r="G9" s="20">
        <f>IFERROR(__xludf.DUMMYFUNCTION("""COMPUTED_VALUE"""),0.7045)</f>
        <v>0.7045</v>
      </c>
      <c r="H9" s="20">
        <f>IFERROR(__xludf.DUMMYFUNCTION("""COMPUTED_VALUE"""),0.617)</f>
        <v>0.617</v>
      </c>
    </row>
    <row r="10">
      <c r="A10" s="17">
        <f>VLOOKUP(B10,map!B:C,2,false)</f>
        <v>18</v>
      </c>
      <c r="B10" s="18" t="str">
        <f>IFERROR(__xludf.DUMMYFUNCTION("""COMPUTED_VALUE"""),"LA Rams")</f>
        <v>LA Rams</v>
      </c>
      <c r="C10" s="20">
        <f>IFERROR(__xludf.DUMMYFUNCTION("""COMPUTED_VALUE"""),0.6738)</f>
        <v>0.6738</v>
      </c>
      <c r="D10" s="20">
        <f>IFERROR(__xludf.DUMMYFUNCTION("""COMPUTED_VALUE"""),0.6667)</f>
        <v>0.6667</v>
      </c>
      <c r="E10" s="20">
        <f>IFERROR(__xludf.DUMMYFUNCTION("""COMPUTED_VALUE"""),0.7353)</f>
        <v>0.7353</v>
      </c>
      <c r="F10" s="20">
        <f>IFERROR(__xludf.DUMMYFUNCTION("""COMPUTED_VALUE"""),0.6563)</f>
        <v>0.6563</v>
      </c>
      <c r="G10" s="20">
        <f>IFERROR(__xludf.DUMMYFUNCTION("""COMPUTED_VALUE"""),0.6952)</f>
        <v>0.6952</v>
      </c>
      <c r="H10" s="20">
        <f>IFERROR(__xludf.DUMMYFUNCTION("""COMPUTED_VALUE"""),0.6236)</f>
        <v>0.6236</v>
      </c>
    </row>
    <row r="11">
      <c r="A11" s="17">
        <f>VLOOKUP(B11,map!B:C,2,false)</f>
        <v>3</v>
      </c>
      <c r="B11" s="18" t="str">
        <f>IFERROR(__xludf.DUMMYFUNCTION("""COMPUTED_VALUE"""),"Minnesota")</f>
        <v>Minnesota</v>
      </c>
      <c r="C11" s="20">
        <f>IFERROR(__xludf.DUMMYFUNCTION("""COMPUTED_VALUE"""),0.6737)</f>
        <v>0.6737</v>
      </c>
      <c r="D11" s="20">
        <f>IFERROR(__xludf.DUMMYFUNCTION("""COMPUTED_VALUE"""),0.6548)</f>
        <v>0.6548</v>
      </c>
      <c r="E11" s="20">
        <f>IFERROR(__xludf.DUMMYFUNCTION("""COMPUTED_VALUE"""),0.72)</f>
        <v>0.72</v>
      </c>
      <c r="F11" s="20">
        <f>IFERROR(__xludf.DUMMYFUNCTION("""COMPUTED_VALUE"""),0.6914)</f>
        <v>0.6914</v>
      </c>
      <c r="G11" s="20">
        <f>IFERROR(__xludf.DUMMYFUNCTION("""COMPUTED_VALUE"""),0.6606)</f>
        <v>0.6606</v>
      </c>
      <c r="H11" s="20">
        <f>IFERROR(__xludf.DUMMYFUNCTION("""COMPUTED_VALUE"""),0.6719)</f>
        <v>0.6719</v>
      </c>
    </row>
    <row r="12">
      <c r="A12" s="17">
        <f>VLOOKUP(B12,map!B:C,2,false)</f>
        <v>21</v>
      </c>
      <c r="B12" s="18" t="str">
        <f>IFERROR(__xludf.DUMMYFUNCTION("""COMPUTED_VALUE"""),"Arizona")</f>
        <v>Arizona</v>
      </c>
      <c r="C12" s="20">
        <f>IFERROR(__xludf.DUMMYFUNCTION("""COMPUTED_VALUE"""),0.6724)</f>
        <v>0.6724</v>
      </c>
      <c r="D12" s="20">
        <f>IFERROR(__xludf.DUMMYFUNCTION("""COMPUTED_VALUE"""),0.6596)</f>
        <v>0.6596</v>
      </c>
      <c r="E12" s="20">
        <f>IFERROR(__xludf.DUMMYFUNCTION("""COMPUTED_VALUE"""),0.7222)</f>
        <v>0.7222</v>
      </c>
      <c r="F12" s="20">
        <f>IFERROR(__xludf.DUMMYFUNCTION("""COMPUTED_VALUE"""),0.6602)</f>
        <v>0.6602</v>
      </c>
      <c r="G12" s="20">
        <f>IFERROR(__xludf.DUMMYFUNCTION("""COMPUTED_VALUE"""),0.6822)</f>
        <v>0.6822</v>
      </c>
      <c r="H12" s="20">
        <f>IFERROR(__xludf.DUMMYFUNCTION("""COMPUTED_VALUE"""),0.6396)</f>
        <v>0.6396</v>
      </c>
    </row>
    <row r="13">
      <c r="A13" s="17">
        <f>VLOOKUP(B13,map!B:C,2,false)</f>
        <v>30</v>
      </c>
      <c r="B13" s="18" t="str">
        <f>IFERROR(__xludf.DUMMYFUNCTION("""COMPUTED_VALUE"""),"Baltimore")</f>
        <v>Baltimore</v>
      </c>
      <c r="C13" s="20">
        <f>IFERROR(__xludf.DUMMYFUNCTION("""COMPUTED_VALUE"""),0.6709)</f>
        <v>0.6709</v>
      </c>
      <c r="D13" s="20">
        <f>IFERROR(__xludf.DUMMYFUNCTION("""COMPUTED_VALUE"""),0.6977)</f>
        <v>0.6977</v>
      </c>
      <c r="E13" s="20">
        <f>IFERROR(__xludf.DUMMYFUNCTION("""COMPUTED_VALUE"""),0.6053)</f>
        <v>0.6053</v>
      </c>
      <c r="F13" s="20">
        <f>IFERROR(__xludf.DUMMYFUNCTION("""COMPUTED_VALUE"""),0.6962)</f>
        <v>0.6962</v>
      </c>
      <c r="G13" s="20">
        <f>IFERROR(__xludf.DUMMYFUNCTION("""COMPUTED_VALUE"""),0.6582)</f>
        <v>0.6582</v>
      </c>
      <c r="H13" s="20">
        <f>IFERROR(__xludf.DUMMYFUNCTION("""COMPUTED_VALUE"""),0.6582)</f>
        <v>0.6582</v>
      </c>
    </row>
    <row r="14">
      <c r="A14" s="17">
        <f>VLOOKUP(B14,map!B:C,2,false)</f>
        <v>24</v>
      </c>
      <c r="B14" s="18" t="str">
        <f>IFERROR(__xludf.DUMMYFUNCTION("""COMPUTED_VALUE"""),"Las Vegas")</f>
        <v>Las Vegas</v>
      </c>
      <c r="C14" s="20">
        <f>IFERROR(__xludf.DUMMYFUNCTION("""COMPUTED_VALUE"""),0.6643)</f>
        <v>0.6643</v>
      </c>
      <c r="D14" s="20">
        <f>IFERROR(__xludf.DUMMYFUNCTION("""COMPUTED_VALUE"""),0.6316)</f>
        <v>0.6316</v>
      </c>
      <c r="E14" s="20">
        <f>IFERROR(__xludf.DUMMYFUNCTION("""COMPUTED_VALUE"""),0.8)</f>
        <v>0.8</v>
      </c>
      <c r="F14" s="20">
        <f>IFERROR(__xludf.DUMMYFUNCTION("""COMPUTED_VALUE"""),0.6866)</f>
        <v>0.6866</v>
      </c>
      <c r="G14" s="20">
        <f>IFERROR(__xludf.DUMMYFUNCTION("""COMPUTED_VALUE"""),0.6447)</f>
        <v>0.6447</v>
      </c>
      <c r="H14" s="20">
        <f>IFERROR(__xludf.DUMMYFUNCTION("""COMPUTED_VALUE"""),0.6248)</f>
        <v>0.6248</v>
      </c>
    </row>
    <row r="15">
      <c r="A15" s="17">
        <f>VLOOKUP(B15,map!B:C,2,false)</f>
        <v>17</v>
      </c>
      <c r="B15" s="18" t="str">
        <f>IFERROR(__xludf.DUMMYFUNCTION("""COMPUTED_VALUE"""),"Houston")</f>
        <v>Houston</v>
      </c>
      <c r="C15" s="20">
        <f>IFERROR(__xludf.DUMMYFUNCTION("""COMPUTED_VALUE"""),0.6607)</f>
        <v>0.6607</v>
      </c>
      <c r="D15" s="20">
        <f>IFERROR(__xludf.DUMMYFUNCTION("""COMPUTED_VALUE"""),0.6111)</f>
        <v>0.6111</v>
      </c>
      <c r="E15" s="20">
        <f>IFERROR(__xludf.DUMMYFUNCTION("""COMPUTED_VALUE"""),0.6757)</f>
        <v>0.6757</v>
      </c>
      <c r="F15" s="20">
        <f>IFERROR(__xludf.DUMMYFUNCTION("""COMPUTED_VALUE"""),0.6821)</f>
        <v>0.6821</v>
      </c>
      <c r="G15" s="20">
        <f>IFERROR(__xludf.DUMMYFUNCTION("""COMPUTED_VALUE"""),0.6357)</f>
        <v>0.6357</v>
      </c>
      <c r="H15" s="20">
        <f>IFERROR(__xludf.DUMMYFUNCTION("""COMPUTED_VALUE"""),0.6306)</f>
        <v>0.6306</v>
      </c>
    </row>
    <row r="16">
      <c r="A16" s="17">
        <f>VLOOKUP(B16,map!B:C,2,false)</f>
        <v>7</v>
      </c>
      <c r="B16" s="18" t="str">
        <f>IFERROR(__xludf.DUMMYFUNCTION("""COMPUTED_VALUE"""),"LA Chargers")</f>
        <v>LA Chargers</v>
      </c>
      <c r="C16" s="20">
        <f>IFERROR(__xludf.DUMMYFUNCTION("""COMPUTED_VALUE"""),0.6515)</f>
        <v>0.6515</v>
      </c>
      <c r="D16" s="20">
        <f>IFERROR(__xludf.DUMMYFUNCTION("""COMPUTED_VALUE"""),0.6476)</f>
        <v>0.6476</v>
      </c>
      <c r="E16" s="20">
        <f>IFERROR(__xludf.DUMMYFUNCTION("""COMPUTED_VALUE"""),0.625)</f>
        <v>0.625</v>
      </c>
      <c r="F16" s="20">
        <f>IFERROR(__xludf.DUMMYFUNCTION("""COMPUTED_VALUE"""),0.6235)</f>
        <v>0.6235</v>
      </c>
      <c r="G16" s="20">
        <f>IFERROR(__xludf.DUMMYFUNCTION("""COMPUTED_VALUE"""),0.6726)</f>
        <v>0.6726</v>
      </c>
      <c r="H16" s="20">
        <f>IFERROR(__xludf.DUMMYFUNCTION("""COMPUTED_VALUE"""),0.6472)</f>
        <v>0.6472</v>
      </c>
    </row>
    <row r="17">
      <c r="A17" s="17">
        <f>VLOOKUP(B17,map!B:C,2,false)</f>
        <v>29</v>
      </c>
      <c r="B17" s="18" t="str">
        <f>IFERROR(__xludf.DUMMYFUNCTION("""COMPUTED_VALUE"""),"Pittsburgh")</f>
        <v>Pittsburgh</v>
      </c>
      <c r="C17" s="20">
        <f>IFERROR(__xludf.DUMMYFUNCTION("""COMPUTED_VALUE"""),0.6474)</f>
        <v>0.6474</v>
      </c>
      <c r="D17" s="20">
        <f>IFERROR(__xludf.DUMMYFUNCTION("""COMPUTED_VALUE"""),0.5679)</f>
        <v>0.5679</v>
      </c>
      <c r="E17" s="20">
        <f>IFERROR(__xludf.DUMMYFUNCTION("""COMPUTED_VALUE"""),0.5517)</f>
        <v>0.5517</v>
      </c>
      <c r="F17" s="20">
        <f>IFERROR(__xludf.DUMMYFUNCTION("""COMPUTED_VALUE"""),0.6404)</f>
        <v>0.6404</v>
      </c>
      <c r="G17" s="20">
        <f>IFERROR(__xludf.DUMMYFUNCTION("""COMPUTED_VALUE"""),0.6535)</f>
        <v>0.6535</v>
      </c>
      <c r="H17" s="20">
        <f>IFERROR(__xludf.DUMMYFUNCTION("""COMPUTED_VALUE"""),0.633)</f>
        <v>0.633</v>
      </c>
    </row>
    <row r="18">
      <c r="A18" s="17">
        <f>VLOOKUP(B18,map!B:C,2,false)</f>
        <v>25</v>
      </c>
      <c r="B18" s="18" t="str">
        <f>IFERROR(__xludf.DUMMYFUNCTION("""COMPUTED_VALUE"""),"San Francisco")</f>
        <v>San Francisco</v>
      </c>
      <c r="C18" s="20">
        <f>IFERROR(__xludf.DUMMYFUNCTION("""COMPUTED_VALUE"""),0.6446)</f>
        <v>0.6446</v>
      </c>
      <c r="D18" s="20">
        <f>IFERROR(__xludf.DUMMYFUNCTION("""COMPUTED_VALUE"""),0.6235)</f>
        <v>0.6235</v>
      </c>
      <c r="E18" s="20">
        <f>IFERROR(__xludf.DUMMYFUNCTION("""COMPUTED_VALUE"""),0.6923)</f>
        <v>0.6923</v>
      </c>
      <c r="F18" s="20">
        <f>IFERROR(__xludf.DUMMYFUNCTION("""COMPUTED_VALUE"""),0.5946)</f>
        <v>0.5946</v>
      </c>
      <c r="G18" s="20">
        <f>IFERROR(__xludf.DUMMYFUNCTION("""COMPUTED_VALUE"""),0.7234)</f>
        <v>0.7234</v>
      </c>
      <c r="H18" s="20">
        <f>IFERROR(__xludf.DUMMYFUNCTION("""COMPUTED_VALUE"""),0.6717)</f>
        <v>0.6717</v>
      </c>
    </row>
    <row r="19">
      <c r="A19" s="17">
        <f>VLOOKUP(B19,map!B:C,2,false)</f>
        <v>11</v>
      </c>
      <c r="B19" s="18" t="str">
        <f>IFERROR(__xludf.DUMMYFUNCTION("""COMPUTED_VALUE"""),"Buffalo")</f>
        <v>Buffalo</v>
      </c>
      <c r="C19" s="20">
        <f>IFERROR(__xludf.DUMMYFUNCTION("""COMPUTED_VALUE"""),0.6416)</f>
        <v>0.6416</v>
      </c>
      <c r="D19" s="20">
        <f>IFERROR(__xludf.DUMMYFUNCTION("""COMPUTED_VALUE"""),0.6957)</f>
        <v>0.6957</v>
      </c>
      <c r="E19" s="20">
        <f>IFERROR(__xludf.DUMMYFUNCTION("""COMPUTED_VALUE"""),0.7059)</f>
        <v>0.7059</v>
      </c>
      <c r="F19" s="20">
        <f>IFERROR(__xludf.DUMMYFUNCTION("""COMPUTED_VALUE"""),0.7241)</f>
        <v>0.7241</v>
      </c>
      <c r="G19" s="20">
        <f>IFERROR(__xludf.DUMMYFUNCTION("""COMPUTED_VALUE"""),0.5899)</f>
        <v>0.5899</v>
      </c>
      <c r="H19" s="20">
        <f>IFERROR(__xludf.DUMMYFUNCTION("""COMPUTED_VALUE"""),0.6667)</f>
        <v>0.6667</v>
      </c>
    </row>
    <row r="20">
      <c r="A20" s="17">
        <f>VLOOKUP(B20,map!B:C,2,false)</f>
        <v>9</v>
      </c>
      <c r="B20" s="18" t="str">
        <f>IFERROR(__xludf.DUMMYFUNCTION("""COMPUTED_VALUE"""),"New Orleans")</f>
        <v>New Orleans</v>
      </c>
      <c r="C20" s="20">
        <f>IFERROR(__xludf.DUMMYFUNCTION("""COMPUTED_VALUE"""),0.6381)</f>
        <v>0.6381</v>
      </c>
      <c r="D20" s="20">
        <f>IFERROR(__xludf.DUMMYFUNCTION("""COMPUTED_VALUE"""),0.595)</f>
        <v>0.595</v>
      </c>
      <c r="E20" s="20">
        <f>IFERROR(__xludf.DUMMYFUNCTION("""COMPUTED_VALUE"""),0.5238)</f>
        <v>0.5238</v>
      </c>
      <c r="F20" s="20">
        <f>IFERROR(__xludf.DUMMYFUNCTION("""COMPUTED_VALUE"""),0.6484)</f>
        <v>0.6484</v>
      </c>
      <c r="G20" s="20">
        <f>IFERROR(__xludf.DUMMYFUNCTION("""COMPUTED_VALUE"""),0.6279)</f>
        <v>0.6279</v>
      </c>
      <c r="H20" s="20">
        <f>IFERROR(__xludf.DUMMYFUNCTION("""COMPUTED_VALUE"""),0.67)</f>
        <v>0.67</v>
      </c>
    </row>
    <row r="21">
      <c r="A21" s="17">
        <f>VLOOKUP(B21,map!B:C,2,false)</f>
        <v>1</v>
      </c>
      <c r="B21" s="18" t="str">
        <f>IFERROR(__xludf.DUMMYFUNCTION("""COMPUTED_VALUE"""),"Dallas")</f>
        <v>Dallas</v>
      </c>
      <c r="C21" s="20">
        <f>IFERROR(__xludf.DUMMYFUNCTION("""COMPUTED_VALUE"""),0.6377)</f>
        <v>0.6377</v>
      </c>
      <c r="D21" s="20">
        <f>IFERROR(__xludf.DUMMYFUNCTION("""COMPUTED_VALUE"""),0.6371)</f>
        <v>0.6371</v>
      </c>
      <c r="E21" s="20">
        <f>IFERROR(__xludf.DUMMYFUNCTION("""COMPUTED_VALUE"""),0.6579)</f>
        <v>0.6579</v>
      </c>
      <c r="F21" s="20">
        <f>IFERROR(__xludf.DUMMYFUNCTION("""COMPUTED_VALUE"""),0.5912)</f>
        <v>0.5912</v>
      </c>
      <c r="G21" s="20">
        <f>IFERROR(__xludf.DUMMYFUNCTION("""COMPUTED_VALUE"""),0.6835)</f>
        <v>0.6835</v>
      </c>
      <c r="H21" s="20">
        <f>IFERROR(__xludf.DUMMYFUNCTION("""COMPUTED_VALUE"""),0.6958)</f>
        <v>0.6958</v>
      </c>
    </row>
    <row r="22">
      <c r="A22" s="17">
        <f>VLOOKUP(B22,map!B:C,2,false)</f>
        <v>15</v>
      </c>
      <c r="B22" s="18" t="str">
        <f>IFERROR(__xludf.DUMMYFUNCTION("""COMPUTED_VALUE"""),"Green Bay")</f>
        <v>Green Bay</v>
      </c>
      <c r="C22" s="20">
        <f>IFERROR(__xludf.DUMMYFUNCTION("""COMPUTED_VALUE"""),0.6375)</f>
        <v>0.6375</v>
      </c>
      <c r="D22" s="20">
        <f>IFERROR(__xludf.DUMMYFUNCTION("""COMPUTED_VALUE"""),0.6957)</f>
        <v>0.6957</v>
      </c>
      <c r="E22" s="20">
        <f>IFERROR(__xludf.DUMMYFUNCTION("""COMPUTED_VALUE"""),0.6667)</f>
        <v>0.6667</v>
      </c>
      <c r="F22" s="20">
        <f>IFERROR(__xludf.DUMMYFUNCTION("""COMPUTED_VALUE"""),0.6767)</f>
        <v>0.6767</v>
      </c>
      <c r="G22" s="20">
        <f>IFERROR(__xludf.DUMMYFUNCTION("""COMPUTED_VALUE"""),0.5888)</f>
        <v>0.5888</v>
      </c>
      <c r="H22" s="20">
        <f>IFERROR(__xludf.DUMMYFUNCTION("""COMPUTED_VALUE"""),0.6462)</f>
        <v>0.6462</v>
      </c>
    </row>
    <row r="23">
      <c r="A23" s="17">
        <f>VLOOKUP(B23,map!B:C,2,false)</f>
        <v>10</v>
      </c>
      <c r="B23" s="18" t="str">
        <f>IFERROR(__xludf.DUMMYFUNCTION("""COMPUTED_VALUE"""),"Miami")</f>
        <v>Miami</v>
      </c>
      <c r="C23" s="20">
        <f>IFERROR(__xludf.DUMMYFUNCTION("""COMPUTED_VALUE"""),0.6356)</f>
        <v>0.6356</v>
      </c>
      <c r="D23" s="20">
        <f>IFERROR(__xludf.DUMMYFUNCTION("""COMPUTED_VALUE"""),0.6421)</f>
        <v>0.6421</v>
      </c>
      <c r="E23" s="20">
        <f>IFERROR(__xludf.DUMMYFUNCTION("""COMPUTED_VALUE"""),0.7368)</f>
        <v>0.7368</v>
      </c>
      <c r="F23" s="20">
        <f>IFERROR(__xludf.DUMMYFUNCTION("""COMPUTED_VALUE"""),0.6618)</f>
        <v>0.6618</v>
      </c>
      <c r="G23" s="20">
        <f>IFERROR(__xludf.DUMMYFUNCTION("""COMPUTED_VALUE"""),0.5955)</f>
        <v>0.5955</v>
      </c>
      <c r="H23" s="20">
        <f>IFERROR(__xludf.DUMMYFUNCTION("""COMPUTED_VALUE"""),0.6826)</f>
        <v>0.6826</v>
      </c>
    </row>
    <row r="24">
      <c r="A24" s="17">
        <f>VLOOKUP(B24,map!B:C,2,false)</f>
        <v>27</v>
      </c>
      <c r="B24" s="18" t="str">
        <f>IFERROR(__xludf.DUMMYFUNCTION("""COMPUTED_VALUE"""),"Denver")</f>
        <v>Denver</v>
      </c>
      <c r="C24" s="20">
        <f>IFERROR(__xludf.DUMMYFUNCTION("""COMPUTED_VALUE"""),0.635)</f>
        <v>0.635</v>
      </c>
      <c r="D24" s="20">
        <f>IFERROR(__xludf.DUMMYFUNCTION("""COMPUTED_VALUE"""),0.6633)</f>
        <v>0.6633</v>
      </c>
      <c r="E24" s="20">
        <f>IFERROR(__xludf.DUMMYFUNCTION("""COMPUTED_VALUE"""),0.7692)</f>
        <v>0.7692</v>
      </c>
      <c r="F24" s="20">
        <f>IFERROR(__xludf.DUMMYFUNCTION("""COMPUTED_VALUE"""),0.6567)</f>
        <v>0.6567</v>
      </c>
      <c r="G24" s="20">
        <f>IFERROR(__xludf.DUMMYFUNCTION("""COMPUTED_VALUE"""),0.6124)</f>
        <v>0.6124</v>
      </c>
      <c r="H24" s="20">
        <f>IFERROR(__xludf.DUMMYFUNCTION("""COMPUTED_VALUE"""),0.6569)</f>
        <v>0.6569</v>
      </c>
    </row>
    <row r="25">
      <c r="A25" s="17">
        <f>VLOOKUP(B25,map!B:C,2,false)</f>
        <v>23</v>
      </c>
      <c r="B25" s="18" t="str">
        <f>IFERROR(__xludf.DUMMYFUNCTION("""COMPUTED_VALUE"""),"Carolina")</f>
        <v>Carolina</v>
      </c>
      <c r="C25" s="20">
        <f>IFERROR(__xludf.DUMMYFUNCTION("""COMPUTED_VALUE"""),0.6326)</f>
        <v>0.6326</v>
      </c>
      <c r="D25" s="20">
        <f>IFERROR(__xludf.DUMMYFUNCTION("""COMPUTED_VALUE"""),0.6702)</f>
        <v>0.6702</v>
      </c>
      <c r="E25" s="20">
        <f>IFERROR(__xludf.DUMMYFUNCTION("""COMPUTED_VALUE"""),0.6316)</f>
        <v>0.6316</v>
      </c>
      <c r="F25" s="20">
        <f>IFERROR(__xludf.DUMMYFUNCTION("""COMPUTED_VALUE"""),0.6571)</f>
        <v>0.6571</v>
      </c>
      <c r="G25" s="20">
        <f>IFERROR(__xludf.DUMMYFUNCTION("""COMPUTED_VALUE"""),0.6164)</f>
        <v>0.6164</v>
      </c>
      <c r="H25" s="20">
        <f>IFERROR(__xludf.DUMMYFUNCTION("""COMPUTED_VALUE"""),0.5973)</f>
        <v>0.5973</v>
      </c>
    </row>
    <row r="26">
      <c r="A26" s="17">
        <f>VLOOKUP(B26,map!B:C,2,false)</f>
        <v>32</v>
      </c>
      <c r="B26" s="18" t="str">
        <f>IFERROR(__xludf.DUMMYFUNCTION("""COMPUTED_VALUE"""),"Tennessee")</f>
        <v>Tennessee</v>
      </c>
      <c r="C26" s="20">
        <f>IFERROR(__xludf.DUMMYFUNCTION("""COMPUTED_VALUE"""),0.6318)</f>
        <v>0.6318</v>
      </c>
      <c r="D26" s="20">
        <f>IFERROR(__xludf.DUMMYFUNCTION("""COMPUTED_VALUE"""),0.6)</f>
        <v>0.6</v>
      </c>
      <c r="E26" s="20">
        <f>IFERROR(__xludf.DUMMYFUNCTION("""COMPUTED_VALUE"""),0.5789)</f>
        <v>0.5789</v>
      </c>
      <c r="F26" s="20">
        <f>IFERROR(__xludf.DUMMYFUNCTION("""COMPUTED_VALUE"""),0.6854)</f>
        <v>0.6854</v>
      </c>
      <c r="G26" s="20">
        <f>IFERROR(__xludf.DUMMYFUNCTION("""COMPUTED_VALUE"""),0.5954)</f>
        <v>0.5954</v>
      </c>
      <c r="H26" s="20">
        <f>IFERROR(__xludf.DUMMYFUNCTION("""COMPUTED_VALUE"""),0.6154)</f>
        <v>0.6154</v>
      </c>
    </row>
    <row r="27">
      <c r="A27" s="17">
        <f>VLOOKUP(B27,map!B:C,2,false)</f>
        <v>31</v>
      </c>
      <c r="B27" s="18" t="str">
        <f>IFERROR(__xludf.DUMMYFUNCTION("""COMPUTED_VALUE"""),"Chicago")</f>
        <v>Chicago</v>
      </c>
      <c r="C27" s="20">
        <f>IFERROR(__xludf.DUMMYFUNCTION("""COMPUTED_VALUE"""),0.6278)</f>
        <v>0.6278</v>
      </c>
      <c r="D27" s="20">
        <f>IFERROR(__xludf.DUMMYFUNCTION("""COMPUTED_VALUE"""),0.6463)</f>
        <v>0.6463</v>
      </c>
      <c r="E27" s="20">
        <f>IFERROR(__xludf.DUMMYFUNCTION("""COMPUTED_VALUE"""),0.4167)</f>
        <v>0.4167</v>
      </c>
      <c r="F27" s="20">
        <f>IFERROR(__xludf.DUMMYFUNCTION("""COMPUTED_VALUE"""),0.6296)</f>
        <v>0.6296</v>
      </c>
      <c r="G27" s="20">
        <f>IFERROR(__xludf.DUMMYFUNCTION("""COMPUTED_VALUE"""),0.6268)</f>
        <v>0.6268</v>
      </c>
      <c r="H27" s="20">
        <f>IFERROR(__xludf.DUMMYFUNCTION("""COMPUTED_VALUE"""),0.6257)</f>
        <v>0.6257</v>
      </c>
    </row>
    <row r="28">
      <c r="A28" s="17">
        <f>VLOOKUP(B28,map!B:C,2,false)</f>
        <v>6</v>
      </c>
      <c r="B28" s="18" t="str">
        <f>IFERROR(__xludf.DUMMYFUNCTION("""COMPUTED_VALUE"""),"Jacksonville")</f>
        <v>Jacksonville</v>
      </c>
      <c r="C28" s="20">
        <f>IFERROR(__xludf.DUMMYFUNCTION("""COMPUTED_VALUE"""),0.627)</f>
        <v>0.627</v>
      </c>
      <c r="D28" s="20">
        <f>IFERROR(__xludf.DUMMYFUNCTION("""COMPUTED_VALUE"""),0.6818)</f>
        <v>0.6818</v>
      </c>
      <c r="E28" s="20">
        <f>IFERROR(__xludf.DUMMYFUNCTION("""COMPUTED_VALUE"""),0.6563)</f>
        <v>0.6563</v>
      </c>
      <c r="F28" s="20">
        <f>IFERROR(__xludf.DUMMYFUNCTION("""COMPUTED_VALUE"""),0.6563)</f>
        <v>0.6563</v>
      </c>
      <c r="G28" s="20">
        <f>IFERROR(__xludf.DUMMYFUNCTION("""COMPUTED_VALUE"""),0.609)</f>
        <v>0.609</v>
      </c>
      <c r="H28" s="20">
        <f>IFERROR(__xludf.DUMMYFUNCTION("""COMPUTED_VALUE"""),0.6645)</f>
        <v>0.6645</v>
      </c>
    </row>
    <row r="29">
      <c r="A29" s="17">
        <f>VLOOKUP(B29,map!B:C,2,false)</f>
        <v>19</v>
      </c>
      <c r="B29" s="18" t="str">
        <f>IFERROR(__xludf.DUMMYFUNCTION("""COMPUTED_VALUE"""),"NY Jets")</f>
        <v>NY Jets</v>
      </c>
      <c r="C29" s="20">
        <f>IFERROR(__xludf.DUMMYFUNCTION("""COMPUTED_VALUE"""),0.6199)</f>
        <v>0.6199</v>
      </c>
      <c r="D29" s="20">
        <f>IFERROR(__xludf.DUMMYFUNCTION("""COMPUTED_VALUE"""),0.6275)</f>
        <v>0.6275</v>
      </c>
      <c r="E29" s="20">
        <f>IFERROR(__xludf.DUMMYFUNCTION("""COMPUTED_VALUE"""),0.6071)</f>
        <v>0.6071</v>
      </c>
      <c r="F29" s="20">
        <f>IFERROR(__xludf.DUMMYFUNCTION("""COMPUTED_VALUE"""),0.6607)</f>
        <v>0.6607</v>
      </c>
      <c r="G29" s="20">
        <f>IFERROR(__xludf.DUMMYFUNCTION("""COMPUTED_VALUE"""),0.5944)</f>
        <v>0.5944</v>
      </c>
      <c r="H29" s="20">
        <f>IFERROR(__xludf.DUMMYFUNCTION("""COMPUTED_VALUE"""),0.5923)</f>
        <v>0.5923</v>
      </c>
    </row>
    <row r="30">
      <c r="A30" s="17">
        <f>VLOOKUP(B30,map!B:C,2,false)</f>
        <v>16</v>
      </c>
      <c r="B30" s="18" t="str">
        <f>IFERROR(__xludf.DUMMYFUNCTION("""COMPUTED_VALUE"""),"Cleveland")</f>
        <v>Cleveland</v>
      </c>
      <c r="C30" s="20">
        <f>IFERROR(__xludf.DUMMYFUNCTION("""COMPUTED_VALUE"""),0.6177)</f>
        <v>0.6177</v>
      </c>
      <c r="D30" s="20">
        <f>IFERROR(__xludf.DUMMYFUNCTION("""COMPUTED_VALUE"""),0.6379)</f>
        <v>0.6379</v>
      </c>
      <c r="E30" s="20">
        <f>IFERROR(__xludf.DUMMYFUNCTION("""COMPUTED_VALUE"""),0.6585)</f>
        <v>0.6585</v>
      </c>
      <c r="F30" s="20">
        <f>IFERROR(__xludf.DUMMYFUNCTION("""COMPUTED_VALUE"""),0.5886)</f>
        <v>0.5886</v>
      </c>
      <c r="G30" s="20">
        <f>IFERROR(__xludf.DUMMYFUNCTION("""COMPUTED_VALUE"""),0.661)</f>
        <v>0.661</v>
      </c>
      <c r="H30" s="20">
        <f>IFERROR(__xludf.DUMMYFUNCTION("""COMPUTED_VALUE"""),0.5806)</f>
        <v>0.5806</v>
      </c>
    </row>
    <row r="31">
      <c r="A31" s="17">
        <f>VLOOKUP(B31,map!B:C,2,false)</f>
        <v>26</v>
      </c>
      <c r="B31" s="18" t="str">
        <f>IFERROR(__xludf.DUMMYFUNCTION("""COMPUTED_VALUE"""),"NY Giants")</f>
        <v>NY Giants</v>
      </c>
      <c r="C31" s="20">
        <f>IFERROR(__xludf.DUMMYFUNCTION("""COMPUTED_VALUE"""),0.6145)</f>
        <v>0.6145</v>
      </c>
      <c r="D31" s="20">
        <f>IFERROR(__xludf.DUMMYFUNCTION("""COMPUTED_VALUE"""),0.5962)</f>
        <v>0.5962</v>
      </c>
      <c r="E31" s="20">
        <f>IFERROR(__xludf.DUMMYFUNCTION("""COMPUTED_VALUE"""),0.5862)</f>
        <v>0.5862</v>
      </c>
      <c r="F31" s="20">
        <f>IFERROR(__xludf.DUMMYFUNCTION("""COMPUTED_VALUE"""),0.5921)</f>
        <v>0.5921</v>
      </c>
      <c r="G31" s="20">
        <f>IFERROR(__xludf.DUMMYFUNCTION("""COMPUTED_VALUE"""),0.6495)</f>
        <v>0.6495</v>
      </c>
      <c r="H31" s="20">
        <f>IFERROR(__xludf.DUMMYFUNCTION("""COMPUTED_VALUE"""),0.6525)</f>
        <v>0.6525</v>
      </c>
    </row>
    <row r="32">
      <c r="A32" s="17">
        <f>VLOOKUP(B32,map!B:C,2,false)</f>
        <v>22</v>
      </c>
      <c r="B32" s="18" t="str">
        <f>IFERROR(__xludf.DUMMYFUNCTION("""COMPUTED_VALUE"""),"New England")</f>
        <v>New England</v>
      </c>
      <c r="C32" s="20">
        <f>IFERROR(__xludf.DUMMYFUNCTION("""COMPUTED_VALUE"""),0.6049)</f>
        <v>0.6049</v>
      </c>
      <c r="D32" s="20">
        <f>IFERROR(__xludf.DUMMYFUNCTION("""COMPUTED_VALUE"""),0.64)</f>
        <v>0.64</v>
      </c>
      <c r="E32" s="20">
        <f>IFERROR(__xludf.DUMMYFUNCTION("""COMPUTED_VALUE"""),0.6)</f>
        <v>0.6</v>
      </c>
      <c r="F32" s="20">
        <f>IFERROR(__xludf.DUMMYFUNCTION("""COMPUTED_VALUE"""),0.5726)</f>
        <v>0.5726</v>
      </c>
      <c r="G32" s="20">
        <f>IFERROR(__xludf.DUMMYFUNCTION("""COMPUTED_VALUE"""),0.6387)</f>
        <v>0.6387</v>
      </c>
      <c r="H32" s="20">
        <f>IFERROR(__xludf.DUMMYFUNCTION("""COMPUTED_VALUE"""),0.6302)</f>
        <v>0.6302</v>
      </c>
    </row>
    <row r="33">
      <c r="A33" s="17">
        <f>VLOOKUP(B33,map!B:C,2,false)</f>
        <v>20</v>
      </c>
      <c r="B33" s="18" t="str">
        <f>IFERROR(__xludf.DUMMYFUNCTION("""COMPUTED_VALUE"""),"Indianapolis")</f>
        <v>Indianapolis</v>
      </c>
      <c r="C33" s="20">
        <f>IFERROR(__xludf.DUMMYFUNCTION("""COMPUTED_VALUE"""),0.5413)</f>
        <v>0.5413</v>
      </c>
      <c r="D33" s="20">
        <f>IFERROR(__xludf.DUMMYFUNCTION("""COMPUTED_VALUE"""),0.4468)</f>
        <v>0.4468</v>
      </c>
      <c r="E33" s="20">
        <f>IFERROR(__xludf.DUMMYFUNCTION("""COMPUTED_VALUE"""),0.3125)</f>
        <v>0.3125</v>
      </c>
      <c r="F33" s="20">
        <f>IFERROR(__xludf.DUMMYFUNCTION("""COMPUTED_VALUE"""),0.5161)</f>
        <v>0.5161</v>
      </c>
      <c r="G33" s="20">
        <f>IFERROR(__xludf.DUMMYFUNCTION("""COMPUTED_VALUE"""),0.557)</f>
        <v>0.557</v>
      </c>
      <c r="H33" s="20">
        <f>IFERROR(__xludf.DUMMYFUNCTION("""COMPUTED_VALUE"""),0.6185)</f>
        <v>0.6185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26</v>
      </c>
      <c r="B1" s="14" t="str">
        <f>IFERROR(__xludf.DUMMYFUNCTION("QUERY(IMPORTHTML(""https://www.teamrankings.com/nfl/stat/first-downs-per-game?date="" &amp; TEXT(TODAY(),""yyyy-mm-dd""), ""table"", 1, ""en_US""), ""SELECT Col2, Col3, Col4, Col5, Col6, Col7, Col8"")
"),"Team")</f>
        <v>Team</v>
      </c>
      <c r="C1" s="15" t="str">
        <f>IFERROR(__xludf.DUMMYFUNCTION("""COMPUTED_VALUE"""),"2024")</f>
        <v>2024</v>
      </c>
      <c r="D1" s="16" t="str">
        <f>IFERROR(__xludf.DUMMYFUNCTION("""COMPUTED_VALUE"""),"Last 3")</f>
        <v>Last 3</v>
      </c>
      <c r="E1" s="16" t="str">
        <f>IFERROR(__xludf.DUMMYFUNCTION("""COMPUTED_VALUE"""),"Last 1")</f>
        <v>Last 1</v>
      </c>
      <c r="F1" s="15" t="str">
        <f>IFERROR(__xludf.DUMMYFUNCTION("""COMPUTED_VALUE"""),"Home")</f>
        <v>Home</v>
      </c>
      <c r="G1" s="15" t="str">
        <f>IFERROR(__xludf.DUMMYFUNCTION("""COMPUTED_VALUE"""),"Away")</f>
        <v>Away</v>
      </c>
      <c r="H1" s="15" t="str">
        <f>IFERROR(__xludf.DUMMYFUNCTION("""COMPUTED_VALUE"""),"2023")</f>
        <v>2023</v>
      </c>
    </row>
    <row r="2">
      <c r="A2" s="17">
        <f>VLOOKUP(B2,map!B:C,2,false)</f>
        <v>30</v>
      </c>
      <c r="B2" s="18" t="str">
        <f>IFERROR(__xludf.DUMMYFUNCTION("""COMPUTED_VALUE"""),"Baltimore")</f>
        <v>Baltimore</v>
      </c>
      <c r="C2" s="19">
        <f>IFERROR(__xludf.DUMMYFUNCTION("""COMPUTED_VALUE"""),24.3)</f>
        <v>24.3</v>
      </c>
      <c r="D2" s="19">
        <f>IFERROR(__xludf.DUMMYFUNCTION("""COMPUTED_VALUE"""),24.0)</f>
        <v>24</v>
      </c>
      <c r="E2" s="19">
        <f>IFERROR(__xludf.DUMMYFUNCTION("""COMPUTED_VALUE"""),22.0)</f>
        <v>22</v>
      </c>
      <c r="F2" s="19">
        <f>IFERROR(__xludf.DUMMYFUNCTION("""COMPUTED_VALUE"""),23.7)</f>
        <v>23.7</v>
      </c>
      <c r="G2" s="19">
        <f>IFERROR(__xludf.DUMMYFUNCTION("""COMPUTED_VALUE"""),24.6)</f>
        <v>24.6</v>
      </c>
      <c r="H2" s="19">
        <f>IFERROR(__xludf.DUMMYFUNCTION("""COMPUTED_VALUE"""),20.9)</f>
        <v>20.9</v>
      </c>
    </row>
    <row r="3">
      <c r="A3" s="17">
        <f>VLOOKUP(B3,map!B:C,2,false)</f>
        <v>14</v>
      </c>
      <c r="B3" s="18" t="str">
        <f>IFERROR(__xludf.DUMMYFUNCTION("""COMPUTED_VALUE"""),"Tampa Bay")</f>
        <v>Tampa Bay</v>
      </c>
      <c r="C3" s="19">
        <f>IFERROR(__xludf.DUMMYFUNCTION("""COMPUTED_VALUE"""),23.3)</f>
        <v>23.3</v>
      </c>
      <c r="D3" s="19">
        <f>IFERROR(__xludf.DUMMYFUNCTION("""COMPUTED_VALUE"""),27.7)</f>
        <v>27.7</v>
      </c>
      <c r="E3" s="19">
        <f>IFERROR(__xludf.DUMMYFUNCTION("""COMPUTED_VALUE"""),24.0)</f>
        <v>24</v>
      </c>
      <c r="F3" s="19">
        <f>IFERROR(__xludf.DUMMYFUNCTION("""COMPUTED_VALUE"""),24.0)</f>
        <v>24</v>
      </c>
      <c r="G3" s="19">
        <f>IFERROR(__xludf.DUMMYFUNCTION("""COMPUTED_VALUE"""),22.0)</f>
        <v>22</v>
      </c>
      <c r="H3" s="19">
        <f>IFERROR(__xludf.DUMMYFUNCTION("""COMPUTED_VALUE"""),18.2)</f>
        <v>18.2</v>
      </c>
    </row>
    <row r="4">
      <c r="A4" s="17">
        <f>VLOOKUP(B4,map!B:C,2,false)</f>
        <v>8</v>
      </c>
      <c r="B4" s="18" t="str">
        <f>IFERROR(__xludf.DUMMYFUNCTION("""COMPUTED_VALUE"""),"Washington")</f>
        <v>Washington</v>
      </c>
      <c r="C4" s="19">
        <f>IFERROR(__xludf.DUMMYFUNCTION("""COMPUTED_VALUE"""),22.6)</f>
        <v>22.6</v>
      </c>
      <c r="D4" s="19">
        <f>IFERROR(__xludf.DUMMYFUNCTION("""COMPUTED_VALUE"""),22.3)</f>
        <v>22.3</v>
      </c>
      <c r="E4" s="19">
        <f>IFERROR(__xludf.DUMMYFUNCTION("""COMPUTED_VALUE"""),23.0)</f>
        <v>23</v>
      </c>
      <c r="F4" s="19">
        <f>IFERROR(__xludf.DUMMYFUNCTION("""COMPUTED_VALUE"""),22.5)</f>
        <v>22.5</v>
      </c>
      <c r="G4" s="19">
        <f>IFERROR(__xludf.DUMMYFUNCTION("""COMPUTED_VALUE"""),22.8)</f>
        <v>22.8</v>
      </c>
      <c r="H4" s="19">
        <f>IFERROR(__xludf.DUMMYFUNCTION("""COMPUTED_VALUE"""),18.9)</f>
        <v>18.9</v>
      </c>
    </row>
    <row r="5">
      <c r="A5" s="17">
        <f>VLOOKUP(B5,map!B:C,2,false)</f>
        <v>5</v>
      </c>
      <c r="B5" s="18" t="str">
        <f>IFERROR(__xludf.DUMMYFUNCTION("""COMPUTED_VALUE"""),"Detroit")</f>
        <v>Detroit</v>
      </c>
      <c r="C5" s="19">
        <f>IFERROR(__xludf.DUMMYFUNCTION("""COMPUTED_VALUE"""),22.0)</f>
        <v>22</v>
      </c>
      <c r="D5" s="19">
        <f>IFERROR(__xludf.DUMMYFUNCTION("""COMPUTED_VALUE"""),21.0)</f>
        <v>21</v>
      </c>
      <c r="E5" s="19">
        <f>IFERROR(__xludf.DUMMYFUNCTION("""COMPUTED_VALUE"""),17.0)</f>
        <v>17</v>
      </c>
      <c r="F5" s="19">
        <f>IFERROR(__xludf.DUMMYFUNCTION("""COMPUTED_VALUE"""),21.3)</f>
        <v>21.3</v>
      </c>
      <c r="G5" s="19">
        <f>IFERROR(__xludf.DUMMYFUNCTION("""COMPUTED_VALUE"""),23.0)</f>
        <v>23</v>
      </c>
      <c r="H5" s="19">
        <f>IFERROR(__xludf.DUMMYFUNCTION("""COMPUTED_VALUE"""),22.6)</f>
        <v>22.6</v>
      </c>
    </row>
    <row r="6">
      <c r="A6" s="17">
        <f>VLOOKUP(B6,map!B:C,2,false)</f>
        <v>25</v>
      </c>
      <c r="B6" s="18" t="str">
        <f>IFERROR(__xludf.DUMMYFUNCTION("""COMPUTED_VALUE"""),"San Francisco")</f>
        <v>San Francisco</v>
      </c>
      <c r="C6" s="19">
        <f>IFERROR(__xludf.DUMMYFUNCTION("""COMPUTED_VALUE"""),21.6)</f>
        <v>21.6</v>
      </c>
      <c r="D6" s="19">
        <f>IFERROR(__xludf.DUMMYFUNCTION("""COMPUTED_VALUE"""),19.7)</f>
        <v>19.7</v>
      </c>
      <c r="E6" s="19">
        <f>IFERROR(__xludf.DUMMYFUNCTION("""COMPUTED_VALUE"""),19.0)</f>
        <v>19</v>
      </c>
      <c r="F6" s="19">
        <f>IFERROR(__xludf.DUMMYFUNCTION("""COMPUTED_VALUE"""),20.6)</f>
        <v>20.6</v>
      </c>
      <c r="G6" s="19">
        <f>IFERROR(__xludf.DUMMYFUNCTION("""COMPUTED_VALUE"""),23.3)</f>
        <v>23.3</v>
      </c>
      <c r="H6" s="19">
        <f>IFERROR(__xludf.DUMMYFUNCTION("""COMPUTED_VALUE"""),22.4)</f>
        <v>22.4</v>
      </c>
    </row>
    <row r="7">
      <c r="A7" s="17">
        <f>VLOOKUP(B7,map!B:C,2,false)</f>
        <v>2</v>
      </c>
      <c r="B7" s="18" t="str">
        <f>IFERROR(__xludf.DUMMYFUNCTION("""COMPUTED_VALUE"""),"Kansas City")</f>
        <v>Kansas City</v>
      </c>
      <c r="C7" s="19">
        <f>IFERROR(__xludf.DUMMYFUNCTION("""COMPUTED_VALUE"""),21.6)</f>
        <v>21.6</v>
      </c>
      <c r="D7" s="19">
        <f>IFERROR(__xludf.DUMMYFUNCTION("""COMPUTED_VALUE"""),24.3)</f>
        <v>24.3</v>
      </c>
      <c r="E7" s="19">
        <f>IFERROR(__xludf.DUMMYFUNCTION("""COMPUTED_VALUE"""),23.0)</f>
        <v>23</v>
      </c>
      <c r="F7" s="19">
        <f>IFERROR(__xludf.DUMMYFUNCTION("""COMPUTED_VALUE"""),22.7)</f>
        <v>22.7</v>
      </c>
      <c r="G7" s="19">
        <f>IFERROR(__xludf.DUMMYFUNCTION("""COMPUTED_VALUE"""),20.8)</f>
        <v>20.8</v>
      </c>
      <c r="H7" s="19">
        <f>IFERROR(__xludf.DUMMYFUNCTION("""COMPUTED_VALUE"""),21.0)</f>
        <v>21</v>
      </c>
    </row>
    <row r="8">
      <c r="A8" s="17">
        <f>VLOOKUP(B8,map!B:C,2,false)</f>
        <v>13</v>
      </c>
      <c r="B8" s="18" t="str">
        <f>IFERROR(__xludf.DUMMYFUNCTION("""COMPUTED_VALUE"""),"Seattle")</f>
        <v>Seattle</v>
      </c>
      <c r="C8" s="19">
        <f>IFERROR(__xludf.DUMMYFUNCTION("""COMPUTED_VALUE"""),21.5)</f>
        <v>21.5</v>
      </c>
      <c r="D8" s="19">
        <f>IFERROR(__xludf.DUMMYFUNCTION("""COMPUTED_VALUE"""),19.7)</f>
        <v>19.7</v>
      </c>
      <c r="E8" s="19">
        <f>IFERROR(__xludf.DUMMYFUNCTION("""COMPUTED_VALUE"""),17.0)</f>
        <v>17</v>
      </c>
      <c r="F8" s="19">
        <f>IFERROR(__xludf.DUMMYFUNCTION("""COMPUTED_VALUE"""),19.2)</f>
        <v>19.2</v>
      </c>
      <c r="G8" s="19">
        <f>IFERROR(__xludf.DUMMYFUNCTION("""COMPUTED_VALUE"""),25.3)</f>
        <v>25.3</v>
      </c>
      <c r="H8" s="19">
        <f>IFERROR(__xludf.DUMMYFUNCTION("""COMPUTED_VALUE"""),18.6)</f>
        <v>18.6</v>
      </c>
    </row>
    <row r="9">
      <c r="A9" s="17">
        <f>VLOOKUP(B9,map!B:C,2,false)</f>
        <v>12</v>
      </c>
      <c r="B9" s="18" t="str">
        <f>IFERROR(__xludf.DUMMYFUNCTION("""COMPUTED_VALUE"""),"Philadelphia")</f>
        <v>Philadelphia</v>
      </c>
      <c r="C9" s="19">
        <f>IFERROR(__xludf.DUMMYFUNCTION("""COMPUTED_VALUE"""),20.9)</f>
        <v>20.9</v>
      </c>
      <c r="D9" s="19">
        <f>IFERROR(__xludf.DUMMYFUNCTION("""COMPUTED_VALUE"""),21.0)</f>
        <v>21</v>
      </c>
      <c r="E9" s="19">
        <f>IFERROR(__xludf.DUMMYFUNCTION("""COMPUTED_VALUE"""),24.0)</f>
        <v>24</v>
      </c>
      <c r="F9" s="19">
        <f>IFERROR(__xludf.DUMMYFUNCTION("""COMPUTED_VALUE"""),20.5)</f>
        <v>20.5</v>
      </c>
      <c r="G9" s="19">
        <f>IFERROR(__xludf.DUMMYFUNCTION("""COMPUTED_VALUE"""),21.0)</f>
        <v>21</v>
      </c>
      <c r="H9" s="19">
        <f>IFERROR(__xludf.DUMMYFUNCTION("""COMPUTED_VALUE"""),21.7)</f>
        <v>21.7</v>
      </c>
    </row>
    <row r="10">
      <c r="A10" s="17">
        <f>VLOOKUP(B10,map!B:C,2,false)</f>
        <v>18</v>
      </c>
      <c r="B10" s="18" t="str">
        <f>IFERROR(__xludf.DUMMYFUNCTION("""COMPUTED_VALUE"""),"LA Rams")</f>
        <v>LA Rams</v>
      </c>
      <c r="C10" s="19">
        <f>IFERROR(__xludf.DUMMYFUNCTION("""COMPUTED_VALUE"""),20.7)</f>
        <v>20.7</v>
      </c>
      <c r="D10" s="19">
        <f>IFERROR(__xludf.DUMMYFUNCTION("""COMPUTED_VALUE"""),21.7)</f>
        <v>21.7</v>
      </c>
      <c r="E10" s="19">
        <f>IFERROR(__xludf.DUMMYFUNCTION("""COMPUTED_VALUE"""),26.0)</f>
        <v>26</v>
      </c>
      <c r="F10" s="19">
        <f>IFERROR(__xludf.DUMMYFUNCTION("""COMPUTED_VALUE"""),21.0)</f>
        <v>21</v>
      </c>
      <c r="G10" s="19">
        <f>IFERROR(__xludf.DUMMYFUNCTION("""COMPUTED_VALUE"""),20.3)</f>
        <v>20.3</v>
      </c>
      <c r="H10" s="19">
        <f>IFERROR(__xludf.DUMMYFUNCTION("""COMPUTED_VALUE"""),20.7)</f>
        <v>20.7</v>
      </c>
    </row>
    <row r="11">
      <c r="A11" s="17">
        <f>VLOOKUP(B11,map!B:C,2,false)</f>
        <v>28</v>
      </c>
      <c r="B11" s="18" t="str">
        <f>IFERROR(__xludf.DUMMYFUNCTION("""COMPUTED_VALUE"""),"Atlanta")</f>
        <v>Atlanta</v>
      </c>
      <c r="C11" s="19">
        <f>IFERROR(__xludf.DUMMYFUNCTION("""COMPUTED_VALUE"""),20.6)</f>
        <v>20.6</v>
      </c>
      <c r="D11" s="19">
        <f>IFERROR(__xludf.DUMMYFUNCTION("""COMPUTED_VALUE"""),22.3)</f>
        <v>22.3</v>
      </c>
      <c r="E11" s="19">
        <f>IFERROR(__xludf.DUMMYFUNCTION("""COMPUTED_VALUE"""),20.0)</f>
        <v>20</v>
      </c>
      <c r="F11" s="19">
        <f>IFERROR(__xludf.DUMMYFUNCTION("""COMPUTED_VALUE"""),19.6)</f>
        <v>19.6</v>
      </c>
      <c r="G11" s="19">
        <f>IFERROR(__xludf.DUMMYFUNCTION("""COMPUTED_VALUE"""),22.3)</f>
        <v>22.3</v>
      </c>
      <c r="H11" s="19">
        <f>IFERROR(__xludf.DUMMYFUNCTION("""COMPUTED_VALUE"""),19.2)</f>
        <v>19.2</v>
      </c>
    </row>
    <row r="12">
      <c r="A12" s="17">
        <f>VLOOKUP(B12,map!B:C,2,false)</f>
        <v>15</v>
      </c>
      <c r="B12" s="18" t="str">
        <f>IFERROR(__xludf.DUMMYFUNCTION("""COMPUTED_VALUE"""),"Green Bay")</f>
        <v>Green Bay</v>
      </c>
      <c r="C12" s="19">
        <f>IFERROR(__xludf.DUMMYFUNCTION("""COMPUTED_VALUE"""),20.5)</f>
        <v>20.5</v>
      </c>
      <c r="D12" s="19">
        <f>IFERROR(__xludf.DUMMYFUNCTION("""COMPUTED_VALUE"""),22.3)</f>
        <v>22.3</v>
      </c>
      <c r="E12" s="19">
        <f>IFERROR(__xludf.DUMMYFUNCTION("""COMPUTED_VALUE"""),22.0)</f>
        <v>22</v>
      </c>
      <c r="F12" s="19">
        <f>IFERROR(__xludf.DUMMYFUNCTION("""COMPUTED_VALUE"""),22.0)</f>
        <v>22</v>
      </c>
      <c r="G12" s="19">
        <f>IFERROR(__xludf.DUMMYFUNCTION("""COMPUTED_VALUE"""),19.0)</f>
        <v>19</v>
      </c>
      <c r="H12" s="19">
        <f>IFERROR(__xludf.DUMMYFUNCTION("""COMPUTED_VALUE"""),20.0)</f>
        <v>20</v>
      </c>
    </row>
    <row r="13">
      <c r="A13" s="17">
        <f>VLOOKUP(B13,map!B:C,2,false)</f>
        <v>11</v>
      </c>
      <c r="B13" s="18" t="str">
        <f>IFERROR(__xludf.DUMMYFUNCTION("""COMPUTED_VALUE"""),"Buffalo")</f>
        <v>Buffalo</v>
      </c>
      <c r="C13" s="19">
        <f>IFERROR(__xludf.DUMMYFUNCTION("""COMPUTED_VALUE"""),20.0)</f>
        <v>20</v>
      </c>
      <c r="D13" s="19">
        <f>IFERROR(__xludf.DUMMYFUNCTION("""COMPUTED_VALUE"""),23.7)</f>
        <v>23.7</v>
      </c>
      <c r="E13" s="19">
        <f>IFERROR(__xludf.DUMMYFUNCTION("""COMPUTED_VALUE"""),29.0)</f>
        <v>29</v>
      </c>
      <c r="F13" s="19">
        <f>IFERROR(__xludf.DUMMYFUNCTION("""COMPUTED_VALUE"""),22.0)</f>
        <v>22</v>
      </c>
      <c r="G13" s="19">
        <f>IFERROR(__xludf.DUMMYFUNCTION("""COMPUTED_VALUE"""),18.8)</f>
        <v>18.8</v>
      </c>
      <c r="H13" s="19">
        <f>IFERROR(__xludf.DUMMYFUNCTION("""COMPUTED_VALUE"""),22.7)</f>
        <v>22.7</v>
      </c>
    </row>
    <row r="14">
      <c r="A14" s="17">
        <f>VLOOKUP(B14,map!B:C,2,false)</f>
        <v>17</v>
      </c>
      <c r="B14" s="18" t="str">
        <f>IFERROR(__xludf.DUMMYFUNCTION("""COMPUTED_VALUE"""),"Houston")</f>
        <v>Houston</v>
      </c>
      <c r="C14" s="19">
        <f>IFERROR(__xludf.DUMMYFUNCTION("""COMPUTED_VALUE"""),19.8)</f>
        <v>19.8</v>
      </c>
      <c r="D14" s="19">
        <f>IFERROR(__xludf.DUMMYFUNCTION("""COMPUTED_VALUE"""),18.7)</f>
        <v>18.7</v>
      </c>
      <c r="E14" s="19">
        <f>IFERROR(__xludf.DUMMYFUNCTION("""COMPUTED_VALUE"""),21.0)</f>
        <v>21</v>
      </c>
      <c r="F14" s="19">
        <f>IFERROR(__xludf.DUMMYFUNCTION("""COMPUTED_VALUE"""),20.0)</f>
        <v>20</v>
      </c>
      <c r="G14" s="19">
        <f>IFERROR(__xludf.DUMMYFUNCTION("""COMPUTED_VALUE"""),19.5)</f>
        <v>19.5</v>
      </c>
      <c r="H14" s="19">
        <f>IFERROR(__xludf.DUMMYFUNCTION("""COMPUTED_VALUE"""),18.6)</f>
        <v>18.6</v>
      </c>
    </row>
    <row r="15">
      <c r="A15" s="17">
        <f>VLOOKUP(B15,map!B:C,2,false)</f>
        <v>21</v>
      </c>
      <c r="B15" s="18" t="str">
        <f>IFERROR(__xludf.DUMMYFUNCTION("""COMPUTED_VALUE"""),"Arizona")</f>
        <v>Arizona</v>
      </c>
      <c r="C15" s="19">
        <f>IFERROR(__xludf.DUMMYFUNCTION("""COMPUTED_VALUE"""),19.4)</f>
        <v>19.4</v>
      </c>
      <c r="D15" s="19">
        <f>IFERROR(__xludf.DUMMYFUNCTION("""COMPUTED_VALUE"""),20.0)</f>
        <v>20</v>
      </c>
      <c r="E15" s="19">
        <f>IFERROR(__xludf.DUMMYFUNCTION("""COMPUTED_VALUE"""),22.0)</f>
        <v>22</v>
      </c>
      <c r="F15" s="19">
        <f>IFERROR(__xludf.DUMMYFUNCTION("""COMPUTED_VALUE"""),20.0)</f>
        <v>20</v>
      </c>
      <c r="G15" s="19">
        <f>IFERROR(__xludf.DUMMYFUNCTION("""COMPUTED_VALUE"""),18.8)</f>
        <v>18.8</v>
      </c>
      <c r="H15" s="19">
        <f>IFERROR(__xludf.DUMMYFUNCTION("""COMPUTED_VALUE"""),19.4)</f>
        <v>19.4</v>
      </c>
    </row>
    <row r="16">
      <c r="A16" s="17">
        <f>VLOOKUP(B16,map!B:C,2,false)</f>
        <v>1</v>
      </c>
      <c r="B16" s="18" t="str">
        <f>IFERROR(__xludf.DUMMYFUNCTION("""COMPUTED_VALUE"""),"Dallas")</f>
        <v>Dallas</v>
      </c>
      <c r="C16" s="19">
        <f>IFERROR(__xludf.DUMMYFUNCTION("""COMPUTED_VALUE"""),19.1)</f>
        <v>19.1</v>
      </c>
      <c r="D16" s="19">
        <f>IFERROR(__xludf.DUMMYFUNCTION("""COMPUTED_VALUE"""),19.7)</f>
        <v>19.7</v>
      </c>
      <c r="E16" s="19">
        <f>IFERROR(__xludf.DUMMYFUNCTION("""COMPUTED_VALUE"""),18.0)</f>
        <v>18</v>
      </c>
      <c r="F16" s="19">
        <f>IFERROR(__xludf.DUMMYFUNCTION("""COMPUTED_VALUE"""),20.7)</f>
        <v>20.7</v>
      </c>
      <c r="G16" s="19">
        <f>IFERROR(__xludf.DUMMYFUNCTION("""COMPUTED_VALUE"""),18.0)</f>
        <v>18</v>
      </c>
      <c r="H16" s="19">
        <f>IFERROR(__xludf.DUMMYFUNCTION("""COMPUTED_VALUE"""),23.4)</f>
        <v>23.4</v>
      </c>
    </row>
    <row r="17">
      <c r="A17" s="17">
        <f>VLOOKUP(B17,map!B:C,2,false)</f>
        <v>31</v>
      </c>
      <c r="B17" s="18" t="str">
        <f>IFERROR(__xludf.DUMMYFUNCTION("""COMPUTED_VALUE"""),"Chicago")</f>
        <v>Chicago</v>
      </c>
      <c r="C17" s="19">
        <f>IFERROR(__xludf.DUMMYFUNCTION("""COMPUTED_VALUE"""),19.0)</f>
        <v>19</v>
      </c>
      <c r="D17" s="19">
        <f>IFERROR(__xludf.DUMMYFUNCTION("""COMPUTED_VALUE"""),21.3)</f>
        <v>21.3</v>
      </c>
      <c r="E17" s="19">
        <f>IFERROR(__xludf.DUMMYFUNCTION("""COMPUTED_VALUE"""),15.0)</f>
        <v>15</v>
      </c>
      <c r="F17" s="19">
        <f>IFERROR(__xludf.DUMMYFUNCTION("""COMPUTED_VALUE"""),17.3)</f>
        <v>17.3</v>
      </c>
      <c r="G17" s="19">
        <f>IFERROR(__xludf.DUMMYFUNCTION("""COMPUTED_VALUE"""),20.3)</f>
        <v>20.3</v>
      </c>
      <c r="H17" s="19">
        <f>IFERROR(__xludf.DUMMYFUNCTION("""COMPUTED_VALUE"""),18.9)</f>
        <v>18.9</v>
      </c>
    </row>
    <row r="18">
      <c r="A18" s="17">
        <f>VLOOKUP(B18,map!B:C,2,false)</f>
        <v>4</v>
      </c>
      <c r="B18" s="18" t="str">
        <f>IFERROR(__xludf.DUMMYFUNCTION("""COMPUTED_VALUE"""),"Cincinnati")</f>
        <v>Cincinnati</v>
      </c>
      <c r="C18" s="19">
        <f>IFERROR(__xludf.DUMMYFUNCTION("""COMPUTED_VALUE"""),18.9)</f>
        <v>18.9</v>
      </c>
      <c r="D18" s="19">
        <f>IFERROR(__xludf.DUMMYFUNCTION("""COMPUTED_VALUE"""),14.3)</f>
        <v>14.3</v>
      </c>
      <c r="E18" s="19">
        <f>IFERROR(__xludf.DUMMYFUNCTION("""COMPUTED_VALUE"""),18.0)</f>
        <v>18</v>
      </c>
      <c r="F18" s="19">
        <f>IFERROR(__xludf.DUMMYFUNCTION("""COMPUTED_VALUE"""),21.0)</f>
        <v>21</v>
      </c>
      <c r="G18" s="19">
        <f>IFERROR(__xludf.DUMMYFUNCTION("""COMPUTED_VALUE"""),16.8)</f>
        <v>16.8</v>
      </c>
      <c r="H18" s="19">
        <f>IFERROR(__xludf.DUMMYFUNCTION("""COMPUTED_VALUE"""),19.4)</f>
        <v>19.4</v>
      </c>
    </row>
    <row r="19">
      <c r="A19" s="17">
        <f>VLOOKUP(B19,map!B:C,2,false)</f>
        <v>6</v>
      </c>
      <c r="B19" s="18" t="str">
        <f>IFERROR(__xludf.DUMMYFUNCTION("""COMPUTED_VALUE"""),"Jacksonville")</f>
        <v>Jacksonville</v>
      </c>
      <c r="C19" s="19">
        <f>IFERROR(__xludf.DUMMYFUNCTION("""COMPUTED_VALUE"""),18.8)</f>
        <v>18.8</v>
      </c>
      <c r="D19" s="19">
        <f>IFERROR(__xludf.DUMMYFUNCTION("""COMPUTED_VALUE"""),19.7)</f>
        <v>19.7</v>
      </c>
      <c r="E19" s="19">
        <f>IFERROR(__xludf.DUMMYFUNCTION("""COMPUTED_VALUE"""),19.0)</f>
        <v>19</v>
      </c>
      <c r="F19" s="19">
        <f>IFERROR(__xludf.DUMMYFUNCTION("""COMPUTED_VALUE"""),19.0)</f>
        <v>19</v>
      </c>
      <c r="G19" s="19">
        <f>IFERROR(__xludf.DUMMYFUNCTION("""COMPUTED_VALUE"""),18.6)</f>
        <v>18.6</v>
      </c>
      <c r="H19" s="19">
        <f>IFERROR(__xludf.DUMMYFUNCTION("""COMPUTED_VALUE"""),19.8)</f>
        <v>19.8</v>
      </c>
    </row>
    <row r="20">
      <c r="A20" s="17">
        <f>VLOOKUP(B20,map!B:C,2,false)</f>
        <v>29</v>
      </c>
      <c r="B20" s="18" t="str">
        <f>IFERROR(__xludf.DUMMYFUNCTION("""COMPUTED_VALUE"""),"Pittsburgh")</f>
        <v>Pittsburgh</v>
      </c>
      <c r="C20" s="19">
        <f>IFERROR(__xludf.DUMMYFUNCTION("""COMPUTED_VALUE"""),18.7)</f>
        <v>18.7</v>
      </c>
      <c r="D20" s="19">
        <f>IFERROR(__xludf.DUMMYFUNCTION("""COMPUTED_VALUE"""),18.7)</f>
        <v>18.7</v>
      </c>
      <c r="E20" s="19">
        <f>IFERROR(__xludf.DUMMYFUNCTION("""COMPUTED_VALUE"""),21.0)</f>
        <v>21</v>
      </c>
      <c r="F20" s="19">
        <f>IFERROR(__xludf.DUMMYFUNCTION("""COMPUTED_VALUE"""),19.3)</f>
        <v>19.3</v>
      </c>
      <c r="G20" s="19">
        <f>IFERROR(__xludf.DUMMYFUNCTION("""COMPUTED_VALUE"""),18.3)</f>
        <v>18.3</v>
      </c>
      <c r="H20" s="19">
        <f>IFERROR(__xludf.DUMMYFUNCTION("""COMPUTED_VALUE"""),17.2)</f>
        <v>17.2</v>
      </c>
    </row>
    <row r="21">
      <c r="A21" s="17">
        <f>VLOOKUP(B21,map!B:C,2,false)</f>
        <v>19</v>
      </c>
      <c r="B21" s="18" t="str">
        <f>IFERROR(__xludf.DUMMYFUNCTION("""COMPUTED_VALUE"""),"NY Jets")</f>
        <v>NY Jets</v>
      </c>
      <c r="C21" s="19">
        <f>IFERROR(__xludf.DUMMYFUNCTION("""COMPUTED_VALUE"""),18.6)</f>
        <v>18.6</v>
      </c>
      <c r="D21" s="19">
        <f>IFERROR(__xludf.DUMMYFUNCTION("""COMPUTED_VALUE"""),19.7)</f>
        <v>19.7</v>
      </c>
      <c r="E21" s="19">
        <f>IFERROR(__xludf.DUMMYFUNCTION("""COMPUTED_VALUE"""),22.0)</f>
        <v>22</v>
      </c>
      <c r="F21" s="19">
        <f>IFERROR(__xludf.DUMMYFUNCTION("""COMPUTED_VALUE"""),21.0)</f>
        <v>21</v>
      </c>
      <c r="G21" s="19">
        <f>IFERROR(__xludf.DUMMYFUNCTION("""COMPUTED_VALUE"""),17.2)</f>
        <v>17.2</v>
      </c>
      <c r="H21" s="19">
        <f>IFERROR(__xludf.DUMMYFUNCTION("""COMPUTED_VALUE"""),15.3)</f>
        <v>15.3</v>
      </c>
    </row>
    <row r="22">
      <c r="A22" s="17">
        <f>VLOOKUP(B22,map!B:C,2,false)</f>
        <v>20</v>
      </c>
      <c r="B22" s="18" t="str">
        <f>IFERROR(__xludf.DUMMYFUNCTION("""COMPUTED_VALUE"""),"Indianapolis")</f>
        <v>Indianapolis</v>
      </c>
      <c r="C22" s="19">
        <f>IFERROR(__xludf.DUMMYFUNCTION("""COMPUTED_VALUE"""),18.5)</f>
        <v>18.5</v>
      </c>
      <c r="D22" s="19">
        <f>IFERROR(__xludf.DUMMYFUNCTION("""COMPUTED_VALUE"""),17.7)</f>
        <v>17.7</v>
      </c>
      <c r="E22" s="19">
        <f>IFERROR(__xludf.DUMMYFUNCTION("""COMPUTED_VALUE"""),17.0)</f>
        <v>17</v>
      </c>
      <c r="F22" s="19">
        <f>IFERROR(__xludf.DUMMYFUNCTION("""COMPUTED_VALUE"""),16.8)</f>
        <v>16.8</v>
      </c>
      <c r="G22" s="19">
        <f>IFERROR(__xludf.DUMMYFUNCTION("""COMPUTED_VALUE"""),20.3)</f>
        <v>20.3</v>
      </c>
      <c r="H22" s="19">
        <f>IFERROR(__xludf.DUMMYFUNCTION("""COMPUTED_VALUE"""),19.1)</f>
        <v>19.1</v>
      </c>
    </row>
    <row r="23">
      <c r="A23" s="17">
        <f>VLOOKUP(B23,map!B:C,2,false)</f>
        <v>10</v>
      </c>
      <c r="B23" s="18" t="str">
        <f>IFERROR(__xludf.DUMMYFUNCTION("""COMPUTED_VALUE"""),"Miami")</f>
        <v>Miami</v>
      </c>
      <c r="C23" s="19">
        <f>IFERROR(__xludf.DUMMYFUNCTION("""COMPUTED_VALUE"""),18.3)</f>
        <v>18.3</v>
      </c>
      <c r="D23" s="19">
        <f>IFERROR(__xludf.DUMMYFUNCTION("""COMPUTED_VALUE"""),21.3)</f>
        <v>21.3</v>
      </c>
      <c r="E23" s="19">
        <f>IFERROR(__xludf.DUMMYFUNCTION("""COMPUTED_VALUE"""),22.0)</f>
        <v>22</v>
      </c>
      <c r="F23" s="19">
        <f>IFERROR(__xludf.DUMMYFUNCTION("""COMPUTED_VALUE"""),18.3)</f>
        <v>18.3</v>
      </c>
      <c r="G23" s="19">
        <f>IFERROR(__xludf.DUMMYFUNCTION("""COMPUTED_VALUE"""),18.3)</f>
        <v>18.3</v>
      </c>
      <c r="H23" s="19">
        <f>IFERROR(__xludf.DUMMYFUNCTION("""COMPUTED_VALUE"""),20.7)</f>
        <v>20.7</v>
      </c>
    </row>
    <row r="24">
      <c r="A24" s="17">
        <f>VLOOKUP(B24,map!B:C,2,false)</f>
        <v>9</v>
      </c>
      <c r="B24" s="18" t="str">
        <f>IFERROR(__xludf.DUMMYFUNCTION("""COMPUTED_VALUE"""),"New Orleans")</f>
        <v>New Orleans</v>
      </c>
      <c r="C24" s="19">
        <f>IFERROR(__xludf.DUMMYFUNCTION("""COMPUTED_VALUE"""),18.3)</f>
        <v>18.3</v>
      </c>
      <c r="D24" s="19">
        <f>IFERROR(__xludf.DUMMYFUNCTION("""COMPUTED_VALUE"""),16.3)</f>
        <v>16.3</v>
      </c>
      <c r="E24" s="19">
        <f>IFERROR(__xludf.DUMMYFUNCTION("""COMPUTED_VALUE"""),15.0)</f>
        <v>15</v>
      </c>
      <c r="F24" s="19">
        <f>IFERROR(__xludf.DUMMYFUNCTION("""COMPUTED_VALUE"""),17.0)</f>
        <v>17</v>
      </c>
      <c r="G24" s="19">
        <f>IFERROR(__xludf.DUMMYFUNCTION("""COMPUTED_VALUE"""),19.5)</f>
        <v>19.5</v>
      </c>
      <c r="H24" s="19">
        <f>IFERROR(__xludf.DUMMYFUNCTION("""COMPUTED_VALUE"""),19.8)</f>
        <v>19.8</v>
      </c>
    </row>
    <row r="25">
      <c r="A25" s="17">
        <f>VLOOKUP(B25,map!B:C,2,false)</f>
        <v>26</v>
      </c>
      <c r="B25" s="18" t="str">
        <f>IFERROR(__xludf.DUMMYFUNCTION("""COMPUTED_VALUE"""),"NY Giants")</f>
        <v>NY Giants</v>
      </c>
      <c r="C25" s="19">
        <f>IFERROR(__xludf.DUMMYFUNCTION("""COMPUTED_VALUE"""),18.1)</f>
        <v>18.1</v>
      </c>
      <c r="D25" s="19">
        <f>IFERROR(__xludf.DUMMYFUNCTION("""COMPUTED_VALUE"""),19.3)</f>
        <v>19.3</v>
      </c>
      <c r="E25" s="19">
        <f>IFERROR(__xludf.DUMMYFUNCTION("""COMPUTED_VALUE"""),10.0)</f>
        <v>10</v>
      </c>
      <c r="F25" s="19">
        <f>IFERROR(__xludf.DUMMYFUNCTION("""COMPUTED_VALUE"""),16.0)</f>
        <v>16</v>
      </c>
      <c r="G25" s="19">
        <f>IFERROR(__xludf.DUMMYFUNCTION("""COMPUTED_VALUE"""),21.0)</f>
        <v>21</v>
      </c>
      <c r="H25" s="19">
        <f>IFERROR(__xludf.DUMMYFUNCTION("""COMPUTED_VALUE"""),15.7)</f>
        <v>15.7</v>
      </c>
    </row>
    <row r="26">
      <c r="A26" s="17">
        <f>VLOOKUP(B26,map!B:C,2,false)</f>
        <v>32</v>
      </c>
      <c r="B26" s="18" t="str">
        <f>IFERROR(__xludf.DUMMYFUNCTION("""COMPUTED_VALUE"""),"Tennessee")</f>
        <v>Tennessee</v>
      </c>
      <c r="C26" s="19">
        <f>IFERROR(__xludf.DUMMYFUNCTION("""COMPUTED_VALUE"""),18.1)</f>
        <v>18.1</v>
      </c>
      <c r="D26" s="19">
        <f>IFERROR(__xludf.DUMMYFUNCTION("""COMPUTED_VALUE"""),19.0)</f>
        <v>19</v>
      </c>
      <c r="E26" s="19">
        <f>IFERROR(__xludf.DUMMYFUNCTION("""COMPUTED_VALUE"""),23.0)</f>
        <v>23</v>
      </c>
      <c r="F26" s="19">
        <f>IFERROR(__xludf.DUMMYFUNCTION("""COMPUTED_VALUE"""),18.0)</f>
        <v>18</v>
      </c>
      <c r="G26" s="19">
        <f>IFERROR(__xludf.DUMMYFUNCTION("""COMPUTED_VALUE"""),18.3)</f>
        <v>18.3</v>
      </c>
      <c r="H26" s="19">
        <f>IFERROR(__xludf.DUMMYFUNCTION("""COMPUTED_VALUE"""),17.5)</f>
        <v>17.5</v>
      </c>
    </row>
    <row r="27">
      <c r="A27" s="17">
        <f>VLOOKUP(B27,map!B:C,2,false)</f>
        <v>3</v>
      </c>
      <c r="B27" s="18" t="str">
        <f>IFERROR(__xludf.DUMMYFUNCTION("""COMPUTED_VALUE"""),"Minnesota")</f>
        <v>Minnesota</v>
      </c>
      <c r="C27" s="19">
        <f>IFERROR(__xludf.DUMMYFUNCTION("""COMPUTED_VALUE"""),17.9)</f>
        <v>17.9</v>
      </c>
      <c r="D27" s="19">
        <f>IFERROR(__xludf.DUMMYFUNCTION("""COMPUTED_VALUE"""),16.7)</f>
        <v>16.7</v>
      </c>
      <c r="E27" s="19">
        <f>IFERROR(__xludf.DUMMYFUNCTION("""COMPUTED_VALUE"""),17.0)</f>
        <v>17</v>
      </c>
      <c r="F27" s="19">
        <f>IFERROR(__xludf.DUMMYFUNCTION("""COMPUTED_VALUE"""),17.3)</f>
        <v>17.3</v>
      </c>
      <c r="G27" s="19">
        <f>IFERROR(__xludf.DUMMYFUNCTION("""COMPUTED_VALUE"""),18.3)</f>
        <v>18.3</v>
      </c>
      <c r="H27" s="19">
        <f>IFERROR(__xludf.DUMMYFUNCTION("""COMPUTED_VALUE"""),20.0)</f>
        <v>20</v>
      </c>
    </row>
    <row r="28">
      <c r="A28" s="17">
        <f>VLOOKUP(B28,map!B:C,2,false)</f>
        <v>24</v>
      </c>
      <c r="B28" s="18" t="str">
        <f>IFERROR(__xludf.DUMMYFUNCTION("""COMPUTED_VALUE"""),"Las Vegas")</f>
        <v>Las Vegas</v>
      </c>
      <c r="C28" s="19">
        <f>IFERROR(__xludf.DUMMYFUNCTION("""COMPUTED_VALUE"""),17.5)</f>
        <v>17.5</v>
      </c>
      <c r="D28" s="19">
        <f>IFERROR(__xludf.DUMMYFUNCTION("""COMPUTED_VALUE"""),17.0)</f>
        <v>17</v>
      </c>
      <c r="E28" s="19">
        <f>IFERROR(__xludf.DUMMYFUNCTION("""COMPUTED_VALUE"""),15.0)</f>
        <v>15</v>
      </c>
      <c r="F28" s="19">
        <f>IFERROR(__xludf.DUMMYFUNCTION("""COMPUTED_VALUE"""),17.0)</f>
        <v>17</v>
      </c>
      <c r="G28" s="19">
        <f>IFERROR(__xludf.DUMMYFUNCTION("""COMPUTED_VALUE"""),18.0)</f>
        <v>18</v>
      </c>
      <c r="H28" s="19">
        <f>IFERROR(__xludf.DUMMYFUNCTION("""COMPUTED_VALUE"""),17.2)</f>
        <v>17.2</v>
      </c>
    </row>
    <row r="29">
      <c r="A29" s="17">
        <f>VLOOKUP(B29,map!B:C,2,false)</f>
        <v>27</v>
      </c>
      <c r="B29" s="18" t="str">
        <f>IFERROR(__xludf.DUMMYFUNCTION("""COMPUTED_VALUE"""),"Denver")</f>
        <v>Denver</v>
      </c>
      <c r="C29" s="19">
        <f>IFERROR(__xludf.DUMMYFUNCTION("""COMPUTED_VALUE"""),17.0)</f>
        <v>17</v>
      </c>
      <c r="D29" s="19">
        <f>IFERROR(__xludf.DUMMYFUNCTION("""COMPUTED_VALUE"""),20.7)</f>
        <v>20.7</v>
      </c>
      <c r="E29" s="19">
        <f>IFERROR(__xludf.DUMMYFUNCTION("""COMPUTED_VALUE"""),23.0)</f>
        <v>23</v>
      </c>
      <c r="F29" s="19">
        <f>IFERROR(__xludf.DUMMYFUNCTION("""COMPUTED_VALUE"""),17.8)</f>
        <v>17.8</v>
      </c>
      <c r="G29" s="19">
        <f>IFERROR(__xludf.DUMMYFUNCTION("""COMPUTED_VALUE"""),16.3)</f>
        <v>16.3</v>
      </c>
      <c r="H29" s="19">
        <f>IFERROR(__xludf.DUMMYFUNCTION("""COMPUTED_VALUE"""),17.7)</f>
        <v>17.7</v>
      </c>
    </row>
    <row r="30">
      <c r="A30" s="17">
        <f>VLOOKUP(B30,map!B:C,2,false)</f>
        <v>7</v>
      </c>
      <c r="B30" s="18" t="str">
        <f>IFERROR(__xludf.DUMMYFUNCTION("""COMPUTED_VALUE"""),"LA Chargers")</f>
        <v>LA Chargers</v>
      </c>
      <c r="C30" s="19">
        <f>IFERROR(__xludf.DUMMYFUNCTION("""COMPUTED_VALUE"""),16.4)</f>
        <v>16.4</v>
      </c>
      <c r="D30" s="19">
        <f>IFERROR(__xludf.DUMMYFUNCTION("""COMPUTED_VALUE"""),20.3)</f>
        <v>20.3</v>
      </c>
      <c r="E30" s="19">
        <f>IFERROR(__xludf.DUMMYFUNCTION("""COMPUTED_VALUE"""),19.0)</f>
        <v>19</v>
      </c>
      <c r="F30" s="19">
        <f>IFERROR(__xludf.DUMMYFUNCTION("""COMPUTED_VALUE"""),14.0)</f>
        <v>14</v>
      </c>
      <c r="G30" s="19">
        <f>IFERROR(__xludf.DUMMYFUNCTION("""COMPUTED_VALUE"""),18.3)</f>
        <v>18.3</v>
      </c>
      <c r="H30" s="19">
        <f>IFERROR(__xludf.DUMMYFUNCTION("""COMPUTED_VALUE"""),18.8)</f>
        <v>18.8</v>
      </c>
    </row>
    <row r="31">
      <c r="A31" s="17">
        <f>VLOOKUP(B31,map!B:C,2,false)</f>
        <v>16</v>
      </c>
      <c r="B31" s="18" t="str">
        <f>IFERROR(__xludf.DUMMYFUNCTION("""COMPUTED_VALUE"""),"Cleveland")</f>
        <v>Cleveland</v>
      </c>
      <c r="C31" s="19">
        <f>IFERROR(__xludf.DUMMYFUNCTION("""COMPUTED_VALUE"""),16.3)</f>
        <v>16.3</v>
      </c>
      <c r="D31" s="19">
        <f>IFERROR(__xludf.DUMMYFUNCTION("""COMPUTED_VALUE"""),18.0)</f>
        <v>18</v>
      </c>
      <c r="E31" s="19">
        <f>IFERROR(__xludf.DUMMYFUNCTION("""COMPUTED_VALUE"""),22.0)</f>
        <v>22</v>
      </c>
      <c r="F31" s="19">
        <f>IFERROR(__xludf.DUMMYFUNCTION("""COMPUTED_VALUE"""),17.8)</f>
        <v>17.8</v>
      </c>
      <c r="G31" s="19">
        <f>IFERROR(__xludf.DUMMYFUNCTION("""COMPUTED_VALUE"""),14.8)</f>
        <v>14.8</v>
      </c>
      <c r="H31" s="19">
        <f>IFERROR(__xludf.DUMMYFUNCTION("""COMPUTED_VALUE"""),19.1)</f>
        <v>19.1</v>
      </c>
    </row>
    <row r="32">
      <c r="A32" s="17">
        <f>VLOOKUP(B32,map!B:C,2,false)</f>
        <v>22</v>
      </c>
      <c r="B32" s="18" t="str">
        <f>IFERROR(__xludf.DUMMYFUNCTION("""COMPUTED_VALUE"""),"New England")</f>
        <v>New England</v>
      </c>
      <c r="C32" s="19">
        <f>IFERROR(__xludf.DUMMYFUNCTION("""COMPUTED_VALUE"""),15.9)</f>
        <v>15.9</v>
      </c>
      <c r="D32" s="19">
        <f>IFERROR(__xludf.DUMMYFUNCTION("""COMPUTED_VALUE"""),17.7)</f>
        <v>17.7</v>
      </c>
      <c r="E32" s="19">
        <f>IFERROR(__xludf.DUMMYFUNCTION("""COMPUTED_VALUE"""),19.0)</f>
        <v>19</v>
      </c>
      <c r="F32" s="19">
        <f>IFERROR(__xludf.DUMMYFUNCTION("""COMPUTED_VALUE"""),17.5)</f>
        <v>17.5</v>
      </c>
      <c r="G32" s="19">
        <f>IFERROR(__xludf.DUMMYFUNCTION("""COMPUTED_VALUE"""),14.3)</f>
        <v>14.3</v>
      </c>
      <c r="H32" s="19">
        <f>IFERROR(__xludf.DUMMYFUNCTION("""COMPUTED_VALUE"""),15.4)</f>
        <v>15.4</v>
      </c>
    </row>
    <row r="33">
      <c r="A33" s="17">
        <f>VLOOKUP(B33,map!B:C,2,false)</f>
        <v>23</v>
      </c>
      <c r="B33" s="18" t="str">
        <f>IFERROR(__xludf.DUMMYFUNCTION("""COMPUTED_VALUE"""),"Carolina")</f>
        <v>Carolina</v>
      </c>
      <c r="C33" s="19">
        <f>IFERROR(__xludf.DUMMYFUNCTION("""COMPUTED_VALUE"""),15.9)</f>
        <v>15.9</v>
      </c>
      <c r="D33" s="19">
        <f>IFERROR(__xludf.DUMMYFUNCTION("""COMPUTED_VALUE"""),15.7)</f>
        <v>15.7</v>
      </c>
      <c r="E33" s="19">
        <f>IFERROR(__xludf.DUMMYFUNCTION("""COMPUTED_VALUE"""),16.0)</f>
        <v>16</v>
      </c>
      <c r="F33" s="19">
        <f>IFERROR(__xludf.DUMMYFUNCTION("""COMPUTED_VALUE"""),17.3)</f>
        <v>17.3</v>
      </c>
      <c r="G33" s="19">
        <f>IFERROR(__xludf.DUMMYFUNCTION("""COMPUTED_VALUE"""),15.0)</f>
        <v>15</v>
      </c>
      <c r="H33" s="19">
        <f>IFERROR(__xludf.DUMMYFUNCTION("""COMPUTED_VALUE"""),17.5)</f>
        <v>17.5</v>
      </c>
    </row>
  </sheetData>
  <drawing r:id="rId1"/>
</worksheet>
</file>