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  <sheet state="visible" name="Team Data" sheetId="2" r:id="rId5"/>
    <sheet state="visible" name="Turnovers" sheetId="3" r:id="rId6"/>
    <sheet state="visible" name="Takeaways" sheetId="4" r:id="rId7"/>
    <sheet state="visible" name="YPP" sheetId="5" r:id="rId8"/>
    <sheet state="visible" name="3rd Down Conversion Rate" sheetId="6" r:id="rId9"/>
    <sheet state="visible" name="RZ TD %" sheetId="7" r:id="rId10"/>
    <sheet state="visible" name="Yards Allowed per Play" sheetId="8" r:id="rId11"/>
    <sheet state="visible" name="D TDs" sheetId="9" r:id="rId12"/>
    <sheet state="visible" name="map" sheetId="10" r:id="rId13"/>
    <sheet state="visible" name="Spread" sheetId="11" r:id="rId14"/>
    <sheet state="visible" name="Totals" sheetId="12" r:id="rId15"/>
    <sheet state="visible" name="Sheet12" sheetId="13" r:id="rId16"/>
  </sheets>
  <definedNames>
    <definedName hidden="1" localSheetId="0" name="_xlnm._FilterDatabase">Model!$A$1:$O$17</definedName>
  </definedNames>
  <calcPr/>
</workbook>
</file>

<file path=xl/sharedStrings.xml><?xml version="1.0" encoding="utf-8"?>
<sst xmlns="http://schemas.openxmlformats.org/spreadsheetml/2006/main" count="99" uniqueCount="93">
  <si>
    <t>Home Map</t>
  </si>
  <si>
    <t>Away Map</t>
  </si>
  <si>
    <t>Game ID</t>
  </si>
  <si>
    <t>Home Team</t>
  </si>
  <si>
    <t>Away Team</t>
  </si>
  <si>
    <t>Home Predicted Points</t>
  </si>
  <si>
    <t>Away Predicted Points</t>
  </si>
  <si>
    <t>Total Predicted Points</t>
  </si>
  <si>
    <t>Line</t>
  </si>
  <si>
    <t>Delta</t>
  </si>
  <si>
    <t>Recommended Total Bet</t>
  </si>
  <si>
    <t>Home Margin</t>
  </si>
  <si>
    <t>Home Spread</t>
  </si>
  <si>
    <t>Spread Delta</t>
  </si>
  <si>
    <t>Recommended Spread Bet</t>
  </si>
  <si>
    <t>Team Map</t>
  </si>
  <si>
    <t>Team</t>
  </si>
  <si>
    <t>Turnovers</t>
  </si>
  <si>
    <t>Takeaways</t>
  </si>
  <si>
    <t>YPP</t>
  </si>
  <si>
    <t>Avg YPP</t>
  </si>
  <si>
    <t>3rd Down Conversion Rate</t>
  </si>
  <si>
    <t>Avg 3rd Down Conversion Rate</t>
  </si>
  <si>
    <t>RZ TD %</t>
  </si>
  <si>
    <t>Avg RZ TD %</t>
  </si>
  <si>
    <t>Yards Allowed per Play</t>
  </si>
  <si>
    <t>Avg Yard Allowed per Play</t>
  </si>
  <si>
    <t>D TDs</t>
  </si>
  <si>
    <t>Rank</t>
  </si>
  <si>
    <t>Dallas</t>
  </si>
  <si>
    <t>Dallas Cowboys</t>
  </si>
  <si>
    <t>Kansas City</t>
  </si>
  <si>
    <t>Kansas City Chiefs</t>
  </si>
  <si>
    <t>Minnesota</t>
  </si>
  <si>
    <t>Minnesota Vikings</t>
  </si>
  <si>
    <t>Cincinnati</t>
  </si>
  <si>
    <t>Cincinnati Bengals</t>
  </si>
  <si>
    <t>Detroit</t>
  </si>
  <si>
    <t>Detroit Lions</t>
  </si>
  <si>
    <t>Jacksonville</t>
  </si>
  <si>
    <t>Jacksonville Jaguars</t>
  </si>
  <si>
    <t>LA Chargers</t>
  </si>
  <si>
    <t>Los Angeles Chargers</t>
  </si>
  <si>
    <t>Washington</t>
  </si>
  <si>
    <t>Washington Commanders</t>
  </si>
  <si>
    <t>New Orleans</t>
  </si>
  <si>
    <t>New Orleans Saints</t>
  </si>
  <si>
    <t>Miami</t>
  </si>
  <si>
    <t>Miami Dolphins</t>
  </si>
  <si>
    <t>Buffalo</t>
  </si>
  <si>
    <t>Buffalo Bills</t>
  </si>
  <si>
    <t>Philadelphia</t>
  </si>
  <si>
    <t>Philadelphia Eagles</t>
  </si>
  <si>
    <t>Seattle</t>
  </si>
  <si>
    <t>Seattle Seahawks</t>
  </si>
  <si>
    <t>Tampa Bay</t>
  </si>
  <si>
    <t>Tampa Bay Buccaneers</t>
  </si>
  <si>
    <t>Green Bay</t>
  </si>
  <si>
    <t>Green Bay Packers</t>
  </si>
  <si>
    <t>Cleveland</t>
  </si>
  <si>
    <t>Cleveland Browns</t>
  </si>
  <si>
    <t>Houston</t>
  </si>
  <si>
    <t>Houston Texans</t>
  </si>
  <si>
    <t>LA Rams</t>
  </si>
  <si>
    <t>Los Angeles Rams</t>
  </si>
  <si>
    <t>NY Jets</t>
  </si>
  <si>
    <t>New York Jets</t>
  </si>
  <si>
    <t>Indianapolis</t>
  </si>
  <si>
    <t>Indianapolis Colts</t>
  </si>
  <si>
    <t>Arizona</t>
  </si>
  <si>
    <t>Arizona Cardinals</t>
  </si>
  <si>
    <t>New England</t>
  </si>
  <si>
    <t>New England Patriots</t>
  </si>
  <si>
    <t>Carolina</t>
  </si>
  <si>
    <t>Carolina Panthers</t>
  </si>
  <si>
    <t>Las Vegas</t>
  </si>
  <si>
    <t>Las Vegas Raiders</t>
  </si>
  <si>
    <t>San Francisco</t>
  </si>
  <si>
    <t>San Francisco 49ers</t>
  </si>
  <si>
    <t>NY Giants</t>
  </si>
  <si>
    <t>New York Giants</t>
  </si>
  <si>
    <t>Denver</t>
  </si>
  <si>
    <t>Denver Broncos</t>
  </si>
  <si>
    <t>Atlanta</t>
  </si>
  <si>
    <t>Atlanta Falcons</t>
  </si>
  <si>
    <t>Pittsburgh</t>
  </si>
  <si>
    <t>Pittsburgh Steelers</t>
  </si>
  <si>
    <t>Baltimore</t>
  </si>
  <si>
    <t>Baltimore Ravens</t>
  </si>
  <si>
    <t>Chicago</t>
  </si>
  <si>
    <t>Chicago Bears</t>
  </si>
  <si>
    <t>Tennessee</t>
  </si>
  <si>
    <t>Tennessee Titans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</si>
</sst>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1.0"/>
      <color rgb="FF222222"/>
      <name val="&quot;Helvetica Neue&quot;"/>
    </font>
    <font>
      <sz val="11.0"/>
      <color rgb="FF222222"/>
      <name val="&quot;Helvetica Neue&quot;"/>
    </font>
    <font>
      <u/>
      <sz val="11.0"/>
      <color rgb="FF2171CD"/>
      <name val="&quot;Helvetica Neue&quot;"/>
    </font>
    <font>
      <sz val="11.0"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EFEFE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64" xfId="0" applyFont="1" applyNumberFormat="1"/>
    <xf borderId="0" fillId="0" fontId="2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10" xfId="0" applyFont="1" applyNumberFormat="1"/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horizontal="right" readingOrder="0"/>
    </xf>
    <xf borderId="0" fillId="2" fontId="3" numFmtId="0" xfId="0" applyAlignment="1" applyFont="1">
      <alignment horizontal="right" readingOrder="0" shrinkToFit="0" wrapText="0"/>
    </xf>
    <xf borderId="1" fillId="3" fontId="4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horizontal="left" readingOrder="0" shrinkToFit="0" wrapText="0"/>
    </xf>
    <xf borderId="1" fillId="3" fontId="4" numFmtId="0" xfId="0" applyAlignment="1" applyBorder="1" applyFont="1">
      <alignment horizontal="right" readingOrder="0"/>
    </xf>
    <xf borderId="1" fillId="3" fontId="4" numFmtId="10" xfId="0" applyAlignment="1" applyBorder="1" applyFont="1" applyNumberFormat="1">
      <alignment horizontal="right"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1" numFmtId="14" xfId="0" applyFont="1" applyNumberFormat="1"/>
    <xf borderId="0" fillId="0" fontId="7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mybookie.ag" TargetMode="External"/><Relationship Id="rId2" Type="http://schemas.openxmlformats.org/officeDocument/2006/relationships/hyperlink" Target="http://mybookie.ag" TargetMode="External"/><Relationship Id="rId3" Type="http://schemas.openxmlformats.org/officeDocument/2006/relationships/hyperlink" Target="http://betonline.ag" TargetMode="External"/><Relationship Id="rId4" Type="http://schemas.openxmlformats.org/officeDocument/2006/relationships/hyperlink" Target="http://betonline.ag" TargetMode="External"/><Relationship Id="rId5" Type="http://schemas.openxmlformats.org/officeDocument/2006/relationships/hyperlink" Target="http://lowvig.ag" TargetMode="External"/><Relationship Id="rId6" Type="http://schemas.openxmlformats.org/officeDocument/2006/relationships/hyperlink" Target="http://lowvig.ag" TargetMode="External"/><Relationship Id="rId7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mybookie.ag" TargetMode="External"/><Relationship Id="rId2" Type="http://schemas.openxmlformats.org/officeDocument/2006/relationships/hyperlink" Target="http://mybookie.ag" TargetMode="External"/><Relationship Id="rId3" Type="http://schemas.openxmlformats.org/officeDocument/2006/relationships/hyperlink" Target="http://betonline.ag" TargetMode="External"/><Relationship Id="rId4" Type="http://schemas.openxmlformats.org/officeDocument/2006/relationships/hyperlink" Target="http://betonline.ag" TargetMode="External"/><Relationship Id="rId5" Type="http://schemas.openxmlformats.org/officeDocument/2006/relationships/hyperlink" Target="http://lowvig.ag" TargetMode="External"/><Relationship Id="rId6" Type="http://schemas.openxmlformats.org/officeDocument/2006/relationships/hyperlink" Target="http://lowvig.ag" TargetMode="External"/><Relationship Id="rId7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8.75"/>
    <col customWidth="1" min="3" max="3" width="7.63"/>
    <col customWidth="1" min="4" max="4" width="10.0"/>
    <col customWidth="1" min="5" max="5" width="9.63"/>
    <col customWidth="1" min="6" max="6" width="18.0"/>
    <col customWidth="1" min="7" max="7" width="17.63"/>
    <col customWidth="1" min="8" max="8" width="17.13"/>
    <col customWidth="1" min="9" max="9" width="4.13"/>
    <col customWidth="1" min="10" max="10" width="8.5"/>
    <col customWidth="1" min="15" max="15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  <c r="O1" s="1" t="s">
        <v>14</v>
      </c>
    </row>
    <row r="2">
      <c r="A2" s="4">
        <f>VLOOKUP($D2,map!$D:$E,2,false)</f>
        <v>29</v>
      </c>
      <c r="B2" s="4">
        <f>VLOOKUP($E2,map!$D:$E,2,false)</f>
        <v>26</v>
      </c>
      <c r="C2" s="4" t="str">
        <f>IFERROR(__xludf.DUMMYFUNCTION("UNIQUE(Spread!A2:A1000)"),"86278ec4bbdcadd945d79df6c695c2ec")</f>
        <v>86278ec4bbdcadd945d79df6c695c2ec</v>
      </c>
      <c r="D2" s="4" t="str">
        <f>VLOOKUP($C2,Spread!$A:$G,6,false)</f>
        <v>Pittsburgh Steelers</v>
      </c>
      <c r="E2" s="4" t="str">
        <f>VLOOKUP($C2,Spread!$A:$G,7,false)</f>
        <v>New York Giants</v>
      </c>
      <c r="F2" s="5">
        <f>VLOOKUP($A2,'Team Data'!$A:$N,14,false)</f>
        <v>30.525</v>
      </c>
      <c r="G2" s="5">
        <f>VLOOKUP($B2,'Team Data'!$A:$N,14,false)</f>
        <v>6.512</v>
      </c>
      <c r="H2" s="5">
        <f t="shared" ref="H2:H17" si="1">SUM(F2:G2)</f>
        <v>37.037</v>
      </c>
      <c r="I2" s="4">
        <f>VLOOKUP(C2,Totals!A:L,12,false)</f>
        <v>37.5</v>
      </c>
      <c r="J2" s="5">
        <f t="shared" ref="J2:J17" si="2">H2-I2</f>
        <v>-0.463</v>
      </c>
      <c r="K2" s="6" t="str">
        <f t="shared" ref="K2:K17" si="3">IF(J2&gt;=8.8,"Over",IF(J2&lt;=-8.8,"Under",""))</f>
        <v/>
      </c>
      <c r="L2" s="6">
        <f t="shared" ref="L2:L17" si="4">SUM(F2-G2)*-1</f>
        <v>-24.013</v>
      </c>
      <c r="M2" s="4">
        <f>VLOOKUP(D2,Spread!I:L,4,false)</f>
        <v>-6</v>
      </c>
      <c r="N2" s="5">
        <f t="shared" ref="N2:N17" si="5">sum(M2-L2)</f>
        <v>18.013</v>
      </c>
      <c r="O2" s="4" t="str">
        <f t="shared" ref="O2:O17" si="6">if(N2&gt;=8.8,D2,if(N2&lt;=-8.8,E2,""))</f>
        <v>Pittsburgh Steelers</v>
      </c>
    </row>
    <row r="3">
      <c r="A3" s="4" t="str">
        <f>VLOOKUP($D3,map!$D:$E,2,false)</f>
        <v>#N/A</v>
      </c>
      <c r="B3" s="4" t="str">
        <f>VLOOKUP($E3,map!$D:$E,2,false)</f>
        <v>#N/A</v>
      </c>
      <c r="C3" s="4"/>
      <c r="D3" s="4" t="str">
        <f>VLOOKUP($C3,Spread!$A:$G,6,false)</f>
        <v>#N/A</v>
      </c>
      <c r="E3" s="4" t="str">
        <f>VLOOKUP($C3,Spread!$A:$G,7,false)</f>
        <v>#N/A</v>
      </c>
      <c r="F3" s="4" t="str">
        <f>VLOOKUP($A3,'Team Data'!$A:$N,14,false)</f>
        <v>#N/A</v>
      </c>
      <c r="G3" s="4" t="str">
        <f>VLOOKUP($B3,'Team Data'!$A:$N,14,false)</f>
        <v>#N/A</v>
      </c>
      <c r="H3" s="4" t="str">
        <f t="shared" si="1"/>
        <v>#N/A</v>
      </c>
      <c r="I3" s="4" t="str">
        <f>VLOOKUP(C3,Totals!A:L,12,false)</f>
        <v>#N/A</v>
      </c>
      <c r="J3" s="4" t="str">
        <f t="shared" si="2"/>
        <v>#N/A</v>
      </c>
      <c r="K3" s="6" t="str">
        <f t="shared" si="3"/>
        <v>#N/A</v>
      </c>
      <c r="L3" s="6" t="str">
        <f t="shared" si="4"/>
        <v>#N/A</v>
      </c>
      <c r="M3" s="4" t="str">
        <f>VLOOKUP(D3,Spread!I:L,4,false)</f>
        <v>#N/A</v>
      </c>
      <c r="N3" s="4" t="str">
        <f t="shared" si="5"/>
        <v>#N/A</v>
      </c>
      <c r="O3" s="4" t="str">
        <f t="shared" si="6"/>
        <v>#N/A</v>
      </c>
    </row>
    <row r="4">
      <c r="A4" s="4" t="str">
        <f>VLOOKUP($D4,map!$D:$E,2,false)</f>
        <v>#N/A</v>
      </c>
      <c r="B4" s="4" t="str">
        <f>VLOOKUP($E4,map!$D:$E,2,false)</f>
        <v>#N/A</v>
      </c>
      <c r="D4" s="4" t="str">
        <f>VLOOKUP($C4,Spread!$A:$G,6,false)</f>
        <v>#N/A</v>
      </c>
      <c r="E4" s="4" t="str">
        <f>VLOOKUP($C4,Spread!$A:$G,7,false)</f>
        <v>#N/A</v>
      </c>
      <c r="F4" s="4" t="str">
        <f>VLOOKUP($A4,'Team Data'!$A:$N,14,false)</f>
        <v>#N/A</v>
      </c>
      <c r="G4" s="4" t="str">
        <f>VLOOKUP($B4,'Team Data'!$A:$N,14,false)</f>
        <v>#N/A</v>
      </c>
      <c r="H4" s="4" t="str">
        <f t="shared" si="1"/>
        <v>#N/A</v>
      </c>
      <c r="I4" s="4" t="str">
        <f>VLOOKUP(C4,Totals!A:L,12,false)</f>
        <v>#N/A</v>
      </c>
      <c r="J4" s="4" t="str">
        <f t="shared" si="2"/>
        <v>#N/A</v>
      </c>
      <c r="K4" s="6" t="str">
        <f t="shared" si="3"/>
        <v>#N/A</v>
      </c>
      <c r="L4" s="6" t="str">
        <f t="shared" si="4"/>
        <v>#N/A</v>
      </c>
      <c r="M4" s="4" t="str">
        <f>VLOOKUP(D4,Spread!I:L,4,false)</f>
        <v>#N/A</v>
      </c>
      <c r="N4" s="4" t="str">
        <f t="shared" si="5"/>
        <v>#N/A</v>
      </c>
      <c r="O4" s="4" t="str">
        <f t="shared" si="6"/>
        <v>#N/A</v>
      </c>
    </row>
    <row r="5">
      <c r="A5" s="4" t="str">
        <f>VLOOKUP($D5,map!$D:$E,2,false)</f>
        <v>#N/A</v>
      </c>
      <c r="B5" s="4" t="str">
        <f>VLOOKUP($E5,map!$D:$E,2,false)</f>
        <v>#N/A</v>
      </c>
      <c r="D5" s="4" t="str">
        <f>VLOOKUP($C5,Spread!$A:$G,6,false)</f>
        <v>#N/A</v>
      </c>
      <c r="E5" s="4" t="str">
        <f>VLOOKUP($C5,Spread!$A:$G,7,false)</f>
        <v>#N/A</v>
      </c>
      <c r="F5" s="4" t="str">
        <f>VLOOKUP($A5,'Team Data'!$A:$N,14,false)</f>
        <v>#N/A</v>
      </c>
      <c r="G5" s="4" t="str">
        <f>VLOOKUP($B5,'Team Data'!$A:$N,14,false)</f>
        <v>#N/A</v>
      </c>
      <c r="H5" s="4" t="str">
        <f t="shared" si="1"/>
        <v>#N/A</v>
      </c>
      <c r="I5" s="4" t="str">
        <f>VLOOKUP(C5,Totals!A:L,12,false)</f>
        <v>#N/A</v>
      </c>
      <c r="J5" s="4" t="str">
        <f t="shared" si="2"/>
        <v>#N/A</v>
      </c>
      <c r="K5" s="6" t="str">
        <f t="shared" si="3"/>
        <v>#N/A</v>
      </c>
      <c r="L5" s="6" t="str">
        <f t="shared" si="4"/>
        <v>#N/A</v>
      </c>
      <c r="M5" s="4" t="str">
        <f>VLOOKUP(D5,Spread!I:L,4,false)</f>
        <v>#N/A</v>
      </c>
      <c r="N5" s="4" t="str">
        <f t="shared" si="5"/>
        <v>#N/A</v>
      </c>
      <c r="O5" s="4" t="str">
        <f t="shared" si="6"/>
        <v>#N/A</v>
      </c>
    </row>
    <row r="6">
      <c r="A6" s="4" t="str">
        <f>VLOOKUP($D6,map!$D:$E,2,false)</f>
        <v>#N/A</v>
      </c>
      <c r="B6" s="4" t="str">
        <f>VLOOKUP($E6,map!$D:$E,2,false)</f>
        <v>#N/A</v>
      </c>
      <c r="D6" s="4" t="str">
        <f>VLOOKUP($C6,Spread!$A:$G,6,false)</f>
        <v>#N/A</v>
      </c>
      <c r="E6" s="4" t="str">
        <f>VLOOKUP($C6,Spread!$A:$G,7,false)</f>
        <v>#N/A</v>
      </c>
      <c r="F6" s="4" t="str">
        <f>VLOOKUP($A6,'Team Data'!$A:$N,14,false)</f>
        <v>#N/A</v>
      </c>
      <c r="G6" s="4" t="str">
        <f>VLOOKUP($B6,'Team Data'!$A:$N,14,false)</f>
        <v>#N/A</v>
      </c>
      <c r="H6" s="4" t="str">
        <f t="shared" si="1"/>
        <v>#N/A</v>
      </c>
      <c r="I6" s="4" t="str">
        <f>VLOOKUP(C6,Totals!A:L,12,false)</f>
        <v>#N/A</v>
      </c>
      <c r="J6" s="4" t="str">
        <f t="shared" si="2"/>
        <v>#N/A</v>
      </c>
      <c r="K6" s="6" t="str">
        <f t="shared" si="3"/>
        <v>#N/A</v>
      </c>
      <c r="L6" s="6" t="str">
        <f t="shared" si="4"/>
        <v>#N/A</v>
      </c>
      <c r="M6" s="4" t="str">
        <f>VLOOKUP(D6,Spread!I:L,4,false)</f>
        <v>#N/A</v>
      </c>
      <c r="N6" s="4" t="str">
        <f t="shared" si="5"/>
        <v>#N/A</v>
      </c>
      <c r="O6" s="4" t="str">
        <f t="shared" si="6"/>
        <v>#N/A</v>
      </c>
    </row>
    <row r="7">
      <c r="A7" s="4" t="str">
        <f>VLOOKUP($D7,map!$D:$E,2,false)</f>
        <v>#N/A</v>
      </c>
      <c r="B7" s="4" t="str">
        <f>VLOOKUP($E7,map!$D:$E,2,false)</f>
        <v>#N/A</v>
      </c>
      <c r="D7" s="4" t="str">
        <f>VLOOKUP($C7,Spread!$A:$G,6,false)</f>
        <v>#N/A</v>
      </c>
      <c r="E7" s="4" t="str">
        <f>VLOOKUP($C7,Spread!$A:$G,7,false)</f>
        <v>#N/A</v>
      </c>
      <c r="F7" s="4" t="str">
        <f>VLOOKUP($A7,'Team Data'!$A:$N,14,false)</f>
        <v>#N/A</v>
      </c>
      <c r="G7" s="4" t="str">
        <f>VLOOKUP($B7,'Team Data'!$A:$N,14,false)</f>
        <v>#N/A</v>
      </c>
      <c r="H7" s="4" t="str">
        <f t="shared" si="1"/>
        <v>#N/A</v>
      </c>
      <c r="I7" s="4" t="str">
        <f>VLOOKUP(C7,Totals!A:L,12,false)</f>
        <v>#N/A</v>
      </c>
      <c r="J7" s="4" t="str">
        <f t="shared" si="2"/>
        <v>#N/A</v>
      </c>
      <c r="K7" s="6" t="str">
        <f t="shared" si="3"/>
        <v>#N/A</v>
      </c>
      <c r="L7" s="6" t="str">
        <f t="shared" si="4"/>
        <v>#N/A</v>
      </c>
      <c r="M7" s="4" t="str">
        <f>VLOOKUP(D7,Spread!I:L,4,false)</f>
        <v>#N/A</v>
      </c>
      <c r="N7" s="4" t="str">
        <f t="shared" si="5"/>
        <v>#N/A</v>
      </c>
      <c r="O7" s="4" t="str">
        <f t="shared" si="6"/>
        <v>#N/A</v>
      </c>
    </row>
    <row r="8">
      <c r="A8" s="4" t="str">
        <f>VLOOKUP($D8,map!$D:$E,2,false)</f>
        <v>#N/A</v>
      </c>
      <c r="B8" s="4" t="str">
        <f>VLOOKUP($E8,map!$D:$E,2,false)</f>
        <v>#N/A</v>
      </c>
      <c r="D8" s="4" t="str">
        <f>VLOOKUP($C8,Spread!$A:$G,6,false)</f>
        <v>#N/A</v>
      </c>
      <c r="E8" s="4" t="str">
        <f>VLOOKUP($C8,Spread!$A:$G,7,false)</f>
        <v>#N/A</v>
      </c>
      <c r="F8" s="4" t="str">
        <f>VLOOKUP($A8,'Team Data'!$A:$N,14,false)</f>
        <v>#N/A</v>
      </c>
      <c r="G8" s="4" t="str">
        <f>VLOOKUP($B8,'Team Data'!$A:$N,14,false)</f>
        <v>#N/A</v>
      </c>
      <c r="H8" s="4" t="str">
        <f t="shared" si="1"/>
        <v>#N/A</v>
      </c>
      <c r="I8" s="4" t="str">
        <f>VLOOKUP(C8,Totals!A:L,12,false)</f>
        <v>#N/A</v>
      </c>
      <c r="J8" s="4" t="str">
        <f t="shared" si="2"/>
        <v>#N/A</v>
      </c>
      <c r="K8" s="6" t="str">
        <f t="shared" si="3"/>
        <v>#N/A</v>
      </c>
      <c r="L8" s="6" t="str">
        <f t="shared" si="4"/>
        <v>#N/A</v>
      </c>
      <c r="M8" s="4" t="str">
        <f>VLOOKUP(D8,Spread!I:L,4,false)</f>
        <v>#N/A</v>
      </c>
      <c r="N8" s="4" t="str">
        <f t="shared" si="5"/>
        <v>#N/A</v>
      </c>
      <c r="O8" s="4" t="str">
        <f t="shared" si="6"/>
        <v>#N/A</v>
      </c>
    </row>
    <row r="9">
      <c r="A9" s="4" t="str">
        <f>VLOOKUP($D9,map!$D:$E,2,false)</f>
        <v>#N/A</v>
      </c>
      <c r="B9" s="4" t="str">
        <f>VLOOKUP($E9,map!$D:$E,2,false)</f>
        <v>#N/A</v>
      </c>
      <c r="D9" s="4" t="str">
        <f>VLOOKUP($C9,Spread!$A:$G,6,false)</f>
        <v>#N/A</v>
      </c>
      <c r="E9" s="4" t="str">
        <f>VLOOKUP($C9,Spread!$A:$G,7,false)</f>
        <v>#N/A</v>
      </c>
      <c r="F9" s="4" t="str">
        <f>VLOOKUP($A9,'Team Data'!$A:$N,14,false)</f>
        <v>#N/A</v>
      </c>
      <c r="G9" s="4" t="str">
        <f>VLOOKUP($B9,'Team Data'!$A:$N,14,false)</f>
        <v>#N/A</v>
      </c>
      <c r="H9" s="4" t="str">
        <f t="shared" si="1"/>
        <v>#N/A</v>
      </c>
      <c r="I9" s="4" t="str">
        <f>VLOOKUP(C9,Totals!A:L,12,false)</f>
        <v>#N/A</v>
      </c>
      <c r="J9" s="4" t="str">
        <f t="shared" si="2"/>
        <v>#N/A</v>
      </c>
      <c r="K9" s="6" t="str">
        <f t="shared" si="3"/>
        <v>#N/A</v>
      </c>
      <c r="L9" s="6" t="str">
        <f t="shared" si="4"/>
        <v>#N/A</v>
      </c>
      <c r="M9" s="4" t="str">
        <f>VLOOKUP(D9,Spread!I:L,4,false)</f>
        <v>#N/A</v>
      </c>
      <c r="N9" s="4" t="str">
        <f t="shared" si="5"/>
        <v>#N/A</v>
      </c>
      <c r="O9" s="4" t="str">
        <f t="shared" si="6"/>
        <v>#N/A</v>
      </c>
    </row>
    <row r="10">
      <c r="A10" s="4" t="str">
        <f>VLOOKUP($D10,map!$D:$E,2,false)</f>
        <v>#N/A</v>
      </c>
      <c r="B10" s="4" t="str">
        <f>VLOOKUP($E10,map!$D:$E,2,false)</f>
        <v>#N/A</v>
      </c>
      <c r="D10" s="4" t="str">
        <f>VLOOKUP($C10,Spread!$A:$G,6,false)</f>
        <v>#N/A</v>
      </c>
      <c r="E10" s="4" t="str">
        <f>VLOOKUP($C10,Spread!$A:$G,7,false)</f>
        <v>#N/A</v>
      </c>
      <c r="F10" s="4" t="str">
        <f>VLOOKUP($A10,'Team Data'!$A:$N,14,false)</f>
        <v>#N/A</v>
      </c>
      <c r="G10" s="4" t="str">
        <f>VLOOKUP($B10,'Team Data'!$A:$N,14,false)</f>
        <v>#N/A</v>
      </c>
      <c r="H10" s="4" t="str">
        <f t="shared" si="1"/>
        <v>#N/A</v>
      </c>
      <c r="I10" s="4" t="str">
        <f>VLOOKUP(C10,Totals!A:L,12,false)</f>
        <v>#N/A</v>
      </c>
      <c r="J10" s="4" t="str">
        <f t="shared" si="2"/>
        <v>#N/A</v>
      </c>
      <c r="K10" s="6" t="str">
        <f t="shared" si="3"/>
        <v>#N/A</v>
      </c>
      <c r="L10" s="6" t="str">
        <f t="shared" si="4"/>
        <v>#N/A</v>
      </c>
      <c r="M10" s="4" t="str">
        <f>VLOOKUP(D10,Spread!I:L,4,false)</f>
        <v>#N/A</v>
      </c>
      <c r="N10" s="4" t="str">
        <f t="shared" si="5"/>
        <v>#N/A</v>
      </c>
      <c r="O10" s="4" t="str">
        <f t="shared" si="6"/>
        <v>#N/A</v>
      </c>
    </row>
    <row r="11">
      <c r="A11" s="4" t="str">
        <f>VLOOKUP($D11,map!$D:$E,2,false)</f>
        <v>#N/A</v>
      </c>
      <c r="B11" s="4" t="str">
        <f>VLOOKUP($E11,map!$D:$E,2,false)</f>
        <v>#N/A</v>
      </c>
      <c r="D11" s="4" t="str">
        <f>VLOOKUP($C11,Spread!$A:$G,6,false)</f>
        <v>#N/A</v>
      </c>
      <c r="E11" s="4" t="str">
        <f>VLOOKUP($C11,Spread!$A:$G,7,false)</f>
        <v>#N/A</v>
      </c>
      <c r="F11" s="4" t="str">
        <f>VLOOKUP($A11,'Team Data'!$A:$N,14,false)</f>
        <v>#N/A</v>
      </c>
      <c r="G11" s="4" t="str">
        <f>VLOOKUP($B11,'Team Data'!$A:$N,14,false)</f>
        <v>#N/A</v>
      </c>
      <c r="H11" s="4" t="str">
        <f t="shared" si="1"/>
        <v>#N/A</v>
      </c>
      <c r="I11" s="4" t="str">
        <f>VLOOKUP(C11,Totals!A:L,12,false)</f>
        <v>#N/A</v>
      </c>
      <c r="J11" s="4" t="str">
        <f t="shared" si="2"/>
        <v>#N/A</v>
      </c>
      <c r="K11" s="6" t="str">
        <f t="shared" si="3"/>
        <v>#N/A</v>
      </c>
      <c r="L11" s="6" t="str">
        <f t="shared" si="4"/>
        <v>#N/A</v>
      </c>
      <c r="M11" s="4" t="str">
        <f>VLOOKUP(D11,Spread!I:L,4,false)</f>
        <v>#N/A</v>
      </c>
      <c r="N11" s="4" t="str">
        <f t="shared" si="5"/>
        <v>#N/A</v>
      </c>
      <c r="O11" s="4" t="str">
        <f t="shared" si="6"/>
        <v>#N/A</v>
      </c>
    </row>
    <row r="12">
      <c r="A12" s="4" t="str">
        <f>VLOOKUP($D12,map!$D:$E,2,false)</f>
        <v>#N/A</v>
      </c>
      <c r="B12" s="4" t="str">
        <f>VLOOKUP($E12,map!$D:$E,2,false)</f>
        <v>#N/A</v>
      </c>
      <c r="D12" s="4" t="str">
        <f>VLOOKUP($C12,Spread!$A:$G,6,false)</f>
        <v>#N/A</v>
      </c>
      <c r="E12" s="4" t="str">
        <f>VLOOKUP($C12,Spread!$A:$G,7,false)</f>
        <v>#N/A</v>
      </c>
      <c r="F12" s="4" t="str">
        <f>VLOOKUP($A12,'Team Data'!$A:$N,14,false)</f>
        <v>#N/A</v>
      </c>
      <c r="G12" s="4" t="str">
        <f>VLOOKUP($B12,'Team Data'!$A:$N,14,false)</f>
        <v>#N/A</v>
      </c>
      <c r="H12" s="4" t="str">
        <f t="shared" si="1"/>
        <v>#N/A</v>
      </c>
      <c r="I12" s="4" t="str">
        <f>VLOOKUP(C12,Totals!A:L,12,false)</f>
        <v>#N/A</v>
      </c>
      <c r="J12" s="4" t="str">
        <f t="shared" si="2"/>
        <v>#N/A</v>
      </c>
      <c r="K12" s="6" t="str">
        <f t="shared" si="3"/>
        <v>#N/A</v>
      </c>
      <c r="L12" s="6" t="str">
        <f t="shared" si="4"/>
        <v>#N/A</v>
      </c>
      <c r="M12" s="4" t="str">
        <f>VLOOKUP(D12,Spread!I:L,4,false)</f>
        <v>#N/A</v>
      </c>
      <c r="N12" s="4" t="str">
        <f t="shared" si="5"/>
        <v>#N/A</v>
      </c>
      <c r="O12" s="4" t="str">
        <f t="shared" si="6"/>
        <v>#N/A</v>
      </c>
    </row>
    <row r="13">
      <c r="A13" s="4" t="str">
        <f>VLOOKUP($D13,map!$D:$E,2,false)</f>
        <v>#N/A</v>
      </c>
      <c r="B13" s="4" t="str">
        <f>VLOOKUP($E13,map!$D:$E,2,false)</f>
        <v>#N/A</v>
      </c>
      <c r="D13" s="4" t="str">
        <f>VLOOKUP($C13,Spread!$A:$G,6,false)</f>
        <v>#N/A</v>
      </c>
      <c r="E13" s="4" t="str">
        <f>VLOOKUP($C13,Spread!$A:$G,7,false)</f>
        <v>#N/A</v>
      </c>
      <c r="F13" s="4" t="str">
        <f>VLOOKUP($A13,'Team Data'!$A:$N,14,false)</f>
        <v>#N/A</v>
      </c>
      <c r="G13" s="4" t="str">
        <f>VLOOKUP($B13,'Team Data'!$A:$N,14,false)</f>
        <v>#N/A</v>
      </c>
      <c r="H13" s="4" t="str">
        <f t="shared" si="1"/>
        <v>#N/A</v>
      </c>
      <c r="I13" s="4" t="str">
        <f>VLOOKUP(C13,Totals!A:L,12,false)</f>
        <v>#N/A</v>
      </c>
      <c r="J13" s="4" t="str">
        <f t="shared" si="2"/>
        <v>#N/A</v>
      </c>
      <c r="K13" s="6" t="str">
        <f t="shared" si="3"/>
        <v>#N/A</v>
      </c>
      <c r="L13" s="6" t="str">
        <f t="shared" si="4"/>
        <v>#N/A</v>
      </c>
      <c r="M13" s="4" t="str">
        <f>VLOOKUP(D13,Spread!I:L,4,false)</f>
        <v>#N/A</v>
      </c>
      <c r="N13" s="4" t="str">
        <f t="shared" si="5"/>
        <v>#N/A</v>
      </c>
      <c r="O13" s="4" t="str">
        <f t="shared" si="6"/>
        <v>#N/A</v>
      </c>
    </row>
    <row r="14">
      <c r="A14" s="4" t="str">
        <f>VLOOKUP($D14,map!$D:$E,2,false)</f>
        <v>#N/A</v>
      </c>
      <c r="B14" s="4" t="str">
        <f>VLOOKUP($E14,map!$D:$E,2,false)</f>
        <v>#N/A</v>
      </c>
      <c r="D14" s="4" t="str">
        <f>VLOOKUP($C14,Spread!$A:$G,6,false)</f>
        <v>#N/A</v>
      </c>
      <c r="E14" s="4" t="str">
        <f>VLOOKUP($C14,Spread!$A:$G,7,false)</f>
        <v>#N/A</v>
      </c>
      <c r="F14" s="4" t="str">
        <f>VLOOKUP($A14,'Team Data'!$A:$N,14,false)</f>
        <v>#N/A</v>
      </c>
      <c r="G14" s="4" t="str">
        <f>VLOOKUP($B14,'Team Data'!$A:$N,14,false)</f>
        <v>#N/A</v>
      </c>
      <c r="H14" s="4" t="str">
        <f t="shared" si="1"/>
        <v>#N/A</v>
      </c>
      <c r="I14" s="4" t="str">
        <f>VLOOKUP(C14,Totals!A:L,12,false)</f>
        <v>#N/A</v>
      </c>
      <c r="J14" s="4" t="str">
        <f t="shared" si="2"/>
        <v>#N/A</v>
      </c>
      <c r="K14" s="6" t="str">
        <f t="shared" si="3"/>
        <v>#N/A</v>
      </c>
      <c r="L14" s="6" t="str">
        <f t="shared" si="4"/>
        <v>#N/A</v>
      </c>
      <c r="M14" s="4" t="str">
        <f>VLOOKUP(D14,Spread!I:L,4,false)</f>
        <v>#N/A</v>
      </c>
      <c r="N14" s="4" t="str">
        <f t="shared" si="5"/>
        <v>#N/A</v>
      </c>
      <c r="O14" s="4" t="str">
        <f t="shared" si="6"/>
        <v>#N/A</v>
      </c>
    </row>
    <row r="15">
      <c r="A15" s="4" t="str">
        <f>VLOOKUP($D15,map!$D:$E,2,false)</f>
        <v>#N/A</v>
      </c>
      <c r="B15" s="4" t="str">
        <f>VLOOKUP($E15,map!$D:$E,2,false)</f>
        <v>#N/A</v>
      </c>
      <c r="D15" s="4" t="str">
        <f>VLOOKUP($C15,Spread!$A:$G,6,false)</f>
        <v>#N/A</v>
      </c>
      <c r="E15" s="4" t="str">
        <f>VLOOKUP($C15,Spread!$A:$G,7,false)</f>
        <v>#N/A</v>
      </c>
      <c r="F15" s="4" t="str">
        <f>VLOOKUP($A15,'Team Data'!$A:$N,14,false)</f>
        <v>#N/A</v>
      </c>
      <c r="G15" s="4" t="str">
        <f>VLOOKUP($B15,'Team Data'!$A:$N,14,false)</f>
        <v>#N/A</v>
      </c>
      <c r="H15" s="4" t="str">
        <f t="shared" si="1"/>
        <v>#N/A</v>
      </c>
      <c r="I15" s="4" t="str">
        <f>VLOOKUP(C15,Totals!A:L,12,false)</f>
        <v>#N/A</v>
      </c>
      <c r="J15" s="4" t="str">
        <f t="shared" si="2"/>
        <v>#N/A</v>
      </c>
      <c r="K15" s="6" t="str">
        <f t="shared" si="3"/>
        <v>#N/A</v>
      </c>
      <c r="L15" s="6" t="str">
        <f t="shared" si="4"/>
        <v>#N/A</v>
      </c>
      <c r="M15" s="4" t="str">
        <f>VLOOKUP(D15,Spread!I:L,4,false)</f>
        <v>#N/A</v>
      </c>
      <c r="N15" s="4" t="str">
        <f t="shared" si="5"/>
        <v>#N/A</v>
      </c>
      <c r="O15" s="4" t="str">
        <f t="shared" si="6"/>
        <v>#N/A</v>
      </c>
    </row>
    <row r="16">
      <c r="A16" s="4" t="str">
        <f>VLOOKUP($D16,map!$D:$E,2,false)</f>
        <v>#N/A</v>
      </c>
      <c r="B16" s="4" t="str">
        <f>VLOOKUP($E16,map!$D:$E,2,false)</f>
        <v>#N/A</v>
      </c>
      <c r="D16" s="4" t="str">
        <f>VLOOKUP($C16,Spread!$A:$G,6,false)</f>
        <v>#N/A</v>
      </c>
      <c r="E16" s="4" t="str">
        <f>VLOOKUP($C16,Spread!$A:$G,7,false)</f>
        <v>#N/A</v>
      </c>
      <c r="F16" s="4" t="str">
        <f>VLOOKUP($A16,'Team Data'!$A:$N,14,false)</f>
        <v>#N/A</v>
      </c>
      <c r="G16" s="4" t="str">
        <f>VLOOKUP($B16,'Team Data'!$A:$N,14,false)</f>
        <v>#N/A</v>
      </c>
      <c r="H16" s="4" t="str">
        <f t="shared" si="1"/>
        <v>#N/A</v>
      </c>
      <c r="I16" s="4" t="str">
        <f>VLOOKUP(C16,Totals!A:L,12,false)</f>
        <v>#N/A</v>
      </c>
      <c r="J16" s="4" t="str">
        <f t="shared" si="2"/>
        <v>#N/A</v>
      </c>
      <c r="K16" s="6" t="str">
        <f t="shared" si="3"/>
        <v>#N/A</v>
      </c>
      <c r="L16" s="6" t="str">
        <f t="shared" si="4"/>
        <v>#N/A</v>
      </c>
      <c r="M16" s="4" t="str">
        <f>VLOOKUP(D16,Spread!I:L,4,false)</f>
        <v>#N/A</v>
      </c>
      <c r="N16" s="4" t="str">
        <f t="shared" si="5"/>
        <v>#N/A</v>
      </c>
      <c r="O16" s="4" t="str">
        <f t="shared" si="6"/>
        <v>#N/A</v>
      </c>
    </row>
    <row r="17">
      <c r="A17" s="4" t="str">
        <f>VLOOKUP($D17,map!$D:$E,2,false)</f>
        <v>#N/A</v>
      </c>
      <c r="B17" s="4" t="str">
        <f>VLOOKUP($E17,map!$D:$E,2,false)</f>
        <v>#N/A</v>
      </c>
      <c r="D17" s="4" t="str">
        <f>VLOOKUP($C17,Spread!$A:$G,6,false)</f>
        <v>#N/A</v>
      </c>
      <c r="E17" s="4" t="str">
        <f>VLOOKUP($C17,Spread!$A:$G,7,false)</f>
        <v>#N/A</v>
      </c>
      <c r="F17" s="4" t="str">
        <f>VLOOKUP($A17,'Team Data'!$A:$N,14,false)</f>
        <v>#N/A</v>
      </c>
      <c r="G17" s="4" t="str">
        <f>VLOOKUP($B17,'Team Data'!$A:$N,14,false)</f>
        <v>#N/A</v>
      </c>
      <c r="H17" s="4" t="str">
        <f t="shared" si="1"/>
        <v>#N/A</v>
      </c>
      <c r="I17" s="4" t="str">
        <f>VLOOKUP(C17,Totals!A:L,12,false)</f>
        <v>#N/A</v>
      </c>
      <c r="J17" s="4" t="str">
        <f t="shared" si="2"/>
        <v>#N/A</v>
      </c>
      <c r="K17" s="6" t="str">
        <f t="shared" si="3"/>
        <v>#N/A</v>
      </c>
      <c r="L17" s="6" t="str">
        <f t="shared" si="4"/>
        <v>#N/A</v>
      </c>
      <c r="M17" s="4" t="str">
        <f>VLOOKUP(D17,Spread!I:L,4,false)</f>
        <v>#N/A</v>
      </c>
      <c r="N17" s="4" t="str">
        <f t="shared" si="5"/>
        <v>#N/A</v>
      </c>
      <c r="O17" s="4" t="str">
        <f t="shared" si="6"/>
        <v>#N/A</v>
      </c>
    </row>
  </sheetData>
  <autoFilter ref="$A$1:$O$17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>
        <v>1.0</v>
      </c>
      <c r="B1" s="19" t="s">
        <v>29</v>
      </c>
      <c r="C1" s="18">
        <v>1.0</v>
      </c>
      <c r="D1" s="19" t="s">
        <v>30</v>
      </c>
      <c r="E1" s="18">
        <v>1.0</v>
      </c>
    </row>
    <row r="2">
      <c r="A2" s="18">
        <v>2.0</v>
      </c>
      <c r="B2" s="19" t="s">
        <v>31</v>
      </c>
      <c r="C2" s="18">
        <v>2.0</v>
      </c>
      <c r="D2" s="19" t="s">
        <v>32</v>
      </c>
      <c r="E2" s="18">
        <v>2.0</v>
      </c>
    </row>
    <row r="3">
      <c r="A3" s="18">
        <v>3.0</v>
      </c>
      <c r="B3" s="19" t="s">
        <v>33</v>
      </c>
      <c r="C3" s="18">
        <v>3.0</v>
      </c>
      <c r="D3" s="19" t="s">
        <v>34</v>
      </c>
      <c r="E3" s="18">
        <v>3.0</v>
      </c>
    </row>
    <row r="4">
      <c r="A4" s="18">
        <v>4.0</v>
      </c>
      <c r="B4" s="19" t="s">
        <v>35</v>
      </c>
      <c r="C4" s="18">
        <v>4.0</v>
      </c>
      <c r="D4" s="19" t="s">
        <v>36</v>
      </c>
      <c r="E4" s="18">
        <v>4.0</v>
      </c>
    </row>
    <row r="5">
      <c r="A5" s="18">
        <v>5.0</v>
      </c>
      <c r="B5" s="19" t="s">
        <v>37</v>
      </c>
      <c r="C5" s="18">
        <v>5.0</v>
      </c>
      <c r="D5" s="19" t="s">
        <v>38</v>
      </c>
      <c r="E5" s="18">
        <v>5.0</v>
      </c>
    </row>
    <row r="6">
      <c r="A6" s="18">
        <v>6.0</v>
      </c>
      <c r="B6" s="19" t="s">
        <v>39</v>
      </c>
      <c r="C6" s="18">
        <v>6.0</v>
      </c>
      <c r="D6" s="19" t="s">
        <v>40</v>
      </c>
      <c r="E6" s="18">
        <v>6.0</v>
      </c>
    </row>
    <row r="7">
      <c r="A7" s="18">
        <v>7.0</v>
      </c>
      <c r="B7" s="19" t="s">
        <v>41</v>
      </c>
      <c r="C7" s="18">
        <v>7.0</v>
      </c>
      <c r="D7" s="19" t="s">
        <v>42</v>
      </c>
      <c r="E7" s="18">
        <v>7.0</v>
      </c>
    </row>
    <row r="8">
      <c r="A8" s="18">
        <v>8.0</v>
      </c>
      <c r="B8" s="19" t="s">
        <v>43</v>
      </c>
      <c r="C8" s="18">
        <v>8.0</v>
      </c>
      <c r="D8" s="19" t="s">
        <v>44</v>
      </c>
      <c r="E8" s="18">
        <v>8.0</v>
      </c>
    </row>
    <row r="9">
      <c r="A9" s="18">
        <v>9.0</v>
      </c>
      <c r="B9" s="19" t="s">
        <v>45</v>
      </c>
      <c r="C9" s="18">
        <v>9.0</v>
      </c>
      <c r="D9" s="19" t="s">
        <v>46</v>
      </c>
      <c r="E9" s="18">
        <v>9.0</v>
      </c>
    </row>
    <row r="10">
      <c r="A10" s="18">
        <v>10.0</v>
      </c>
      <c r="B10" s="19" t="s">
        <v>47</v>
      </c>
      <c r="C10" s="18">
        <v>10.0</v>
      </c>
      <c r="D10" s="19" t="s">
        <v>48</v>
      </c>
      <c r="E10" s="18">
        <v>10.0</v>
      </c>
    </row>
    <row r="11">
      <c r="A11" s="18">
        <v>11.0</v>
      </c>
      <c r="B11" s="19" t="s">
        <v>49</v>
      </c>
      <c r="C11" s="18">
        <v>11.0</v>
      </c>
      <c r="D11" s="19" t="s">
        <v>50</v>
      </c>
      <c r="E11" s="18">
        <v>11.0</v>
      </c>
    </row>
    <row r="12">
      <c r="A12" s="18">
        <v>12.0</v>
      </c>
      <c r="B12" s="19" t="s">
        <v>51</v>
      </c>
      <c r="C12" s="18">
        <v>12.0</v>
      </c>
      <c r="D12" s="19" t="s">
        <v>52</v>
      </c>
      <c r="E12" s="18">
        <v>12.0</v>
      </c>
    </row>
    <row r="13">
      <c r="A13" s="18">
        <v>13.0</v>
      </c>
      <c r="B13" s="19" t="s">
        <v>53</v>
      </c>
      <c r="C13" s="18">
        <v>13.0</v>
      </c>
      <c r="D13" s="19" t="s">
        <v>54</v>
      </c>
      <c r="E13" s="18">
        <v>13.0</v>
      </c>
    </row>
    <row r="14">
      <c r="A14" s="18">
        <v>14.0</v>
      </c>
      <c r="B14" s="19" t="s">
        <v>55</v>
      </c>
      <c r="C14" s="18">
        <v>14.0</v>
      </c>
      <c r="D14" s="19" t="s">
        <v>56</v>
      </c>
      <c r="E14" s="18">
        <v>14.0</v>
      </c>
    </row>
    <row r="15">
      <c r="A15" s="18">
        <v>15.0</v>
      </c>
      <c r="B15" s="19" t="s">
        <v>57</v>
      </c>
      <c r="C15" s="18">
        <v>15.0</v>
      </c>
      <c r="D15" s="19" t="s">
        <v>58</v>
      </c>
      <c r="E15" s="18">
        <v>15.0</v>
      </c>
    </row>
    <row r="16">
      <c r="A16" s="18">
        <v>16.0</v>
      </c>
      <c r="B16" s="19" t="s">
        <v>59</v>
      </c>
      <c r="C16" s="18">
        <v>16.0</v>
      </c>
      <c r="D16" s="19" t="s">
        <v>60</v>
      </c>
      <c r="E16" s="18">
        <v>16.0</v>
      </c>
    </row>
    <row r="17">
      <c r="A17" s="18">
        <v>17.0</v>
      </c>
      <c r="B17" s="19" t="s">
        <v>61</v>
      </c>
      <c r="C17" s="18">
        <v>17.0</v>
      </c>
      <c r="D17" s="19" t="s">
        <v>62</v>
      </c>
      <c r="E17" s="18">
        <v>17.0</v>
      </c>
    </row>
    <row r="18">
      <c r="A18" s="18">
        <v>18.0</v>
      </c>
      <c r="B18" s="19" t="s">
        <v>63</v>
      </c>
      <c r="C18" s="18">
        <v>18.0</v>
      </c>
      <c r="D18" s="19" t="s">
        <v>64</v>
      </c>
      <c r="E18" s="18">
        <v>18.0</v>
      </c>
    </row>
    <row r="19">
      <c r="A19" s="18">
        <v>19.0</v>
      </c>
      <c r="B19" s="19" t="s">
        <v>65</v>
      </c>
      <c r="C19" s="18">
        <v>19.0</v>
      </c>
      <c r="D19" s="19" t="s">
        <v>66</v>
      </c>
      <c r="E19" s="18">
        <v>19.0</v>
      </c>
    </row>
    <row r="20">
      <c r="A20" s="18">
        <v>20.0</v>
      </c>
      <c r="B20" s="19" t="s">
        <v>67</v>
      </c>
      <c r="C20" s="18">
        <v>20.0</v>
      </c>
      <c r="D20" s="19" t="s">
        <v>68</v>
      </c>
      <c r="E20" s="18">
        <v>20.0</v>
      </c>
    </row>
    <row r="21">
      <c r="A21" s="18">
        <v>21.0</v>
      </c>
      <c r="B21" s="19" t="s">
        <v>69</v>
      </c>
      <c r="C21" s="18">
        <v>21.0</v>
      </c>
      <c r="D21" s="19" t="s">
        <v>70</v>
      </c>
      <c r="E21" s="18">
        <v>21.0</v>
      </c>
    </row>
    <row r="22">
      <c r="A22" s="18">
        <v>22.0</v>
      </c>
      <c r="B22" s="19" t="s">
        <v>71</v>
      </c>
      <c r="C22" s="18">
        <v>22.0</v>
      </c>
      <c r="D22" s="19" t="s">
        <v>72</v>
      </c>
      <c r="E22" s="18">
        <v>22.0</v>
      </c>
    </row>
    <row r="23">
      <c r="A23" s="18">
        <v>23.0</v>
      </c>
      <c r="B23" s="19" t="s">
        <v>73</v>
      </c>
      <c r="C23" s="18">
        <v>23.0</v>
      </c>
      <c r="D23" s="19" t="s">
        <v>74</v>
      </c>
      <c r="E23" s="18">
        <v>23.0</v>
      </c>
    </row>
    <row r="24">
      <c r="A24" s="18">
        <v>24.0</v>
      </c>
      <c r="B24" s="19" t="s">
        <v>75</v>
      </c>
      <c r="C24" s="18">
        <v>24.0</v>
      </c>
      <c r="D24" s="19" t="s">
        <v>76</v>
      </c>
      <c r="E24" s="18">
        <v>24.0</v>
      </c>
    </row>
    <row r="25">
      <c r="A25" s="18">
        <v>25.0</v>
      </c>
      <c r="B25" s="19" t="s">
        <v>77</v>
      </c>
      <c r="C25" s="18">
        <v>25.0</v>
      </c>
      <c r="D25" s="19" t="s">
        <v>78</v>
      </c>
      <c r="E25" s="18">
        <v>25.0</v>
      </c>
    </row>
    <row r="26">
      <c r="A26" s="18">
        <v>26.0</v>
      </c>
      <c r="B26" s="19" t="s">
        <v>79</v>
      </c>
      <c r="C26" s="18">
        <v>26.0</v>
      </c>
      <c r="D26" s="19" t="s">
        <v>80</v>
      </c>
      <c r="E26" s="18">
        <v>26.0</v>
      </c>
    </row>
    <row r="27">
      <c r="A27" s="18">
        <v>27.0</v>
      </c>
      <c r="B27" s="19" t="s">
        <v>81</v>
      </c>
      <c r="C27" s="18">
        <v>27.0</v>
      </c>
      <c r="D27" s="19" t="s">
        <v>82</v>
      </c>
      <c r="E27" s="18">
        <v>27.0</v>
      </c>
    </row>
    <row r="28">
      <c r="A28" s="18">
        <v>28.0</v>
      </c>
      <c r="B28" s="19" t="s">
        <v>83</v>
      </c>
      <c r="C28" s="18">
        <v>28.0</v>
      </c>
      <c r="D28" s="19" t="s">
        <v>84</v>
      </c>
      <c r="E28" s="18">
        <v>28.0</v>
      </c>
    </row>
    <row r="29">
      <c r="A29" s="18">
        <v>29.0</v>
      </c>
      <c r="B29" s="19" t="s">
        <v>85</v>
      </c>
      <c r="C29" s="18">
        <v>29.0</v>
      </c>
      <c r="D29" s="19" t="s">
        <v>86</v>
      </c>
      <c r="E29" s="18">
        <v>29.0</v>
      </c>
    </row>
    <row r="30">
      <c r="A30" s="18">
        <v>30.0</v>
      </c>
      <c r="B30" s="19" t="s">
        <v>87</v>
      </c>
      <c r="C30" s="18">
        <v>30.0</v>
      </c>
      <c r="D30" s="19" t="s">
        <v>88</v>
      </c>
      <c r="E30" s="18">
        <v>30.0</v>
      </c>
    </row>
    <row r="31">
      <c r="A31" s="18">
        <v>31.0</v>
      </c>
      <c r="B31" s="19" t="s">
        <v>89</v>
      </c>
      <c r="C31" s="18">
        <v>31.0</v>
      </c>
      <c r="D31" s="19" t="s">
        <v>90</v>
      </c>
      <c r="E31" s="18">
        <v>31.0</v>
      </c>
    </row>
    <row r="32">
      <c r="A32" s="18">
        <v>32.0</v>
      </c>
      <c r="B32" s="19" t="s">
        <v>91</v>
      </c>
      <c r="C32" s="18">
        <v>32.0</v>
      </c>
      <c r="D32" s="19" t="s">
        <v>92</v>
      </c>
      <c r="E32" s="18">
        <v>32.0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tr">
        <f>IFERROR(__xludf.DUMMYFUNCTION("IMPORTRANGE(""https://docs.google.com/spreadsheets/d/13MAhBT9K2M70JP2OISI4aettE0FK27CjAGHAew7TsAE/edit?gid=917497601#gid=917497601"",""Sheet9!A1:L"")"),"game_id")</f>
        <v>game_id</v>
      </c>
      <c r="B1" s="4" t="str">
        <f>IFERROR(__xludf.DUMMYFUNCTION("""COMPUTED_VALUE"""),"commence_time")</f>
        <v>commence_time</v>
      </c>
      <c r="C1" s="4" t="str">
        <f>IFERROR(__xludf.DUMMYFUNCTION("""COMPUTED_VALUE"""),"in_play")</f>
        <v>in_play</v>
      </c>
      <c r="D1" s="4" t="str">
        <f>IFERROR(__xludf.DUMMYFUNCTION("""COMPUTED_VALUE"""),"bookmaker")</f>
        <v>bookmaker</v>
      </c>
      <c r="E1" s="4" t="str">
        <f>IFERROR(__xludf.DUMMYFUNCTION("""COMPUTED_VALUE"""),"last_update")</f>
        <v>last_update</v>
      </c>
      <c r="F1" s="4" t="str">
        <f>IFERROR(__xludf.DUMMYFUNCTION("""COMPUTED_VALUE"""),"home_team")</f>
        <v>home_team</v>
      </c>
      <c r="G1" s="4" t="str">
        <f>IFERROR(__xludf.DUMMYFUNCTION("""COMPUTED_VALUE"""),"away_team")</f>
        <v>away_team</v>
      </c>
      <c r="H1" s="4" t="str">
        <f>IFERROR(__xludf.DUMMYFUNCTION("""COMPUTED_VALUE"""),"market")</f>
        <v>market</v>
      </c>
      <c r="I1" s="4" t="str">
        <f>IFERROR(__xludf.DUMMYFUNCTION("""COMPUTED_VALUE"""),"label")</f>
        <v>label</v>
      </c>
      <c r="J1" s="4" t="str">
        <f>IFERROR(__xludf.DUMMYFUNCTION("""COMPUTED_VALUE"""),"description")</f>
        <v>description</v>
      </c>
      <c r="K1" s="4" t="str">
        <f>IFERROR(__xludf.DUMMYFUNCTION("""COMPUTED_VALUE"""),"price")</f>
        <v>price</v>
      </c>
      <c r="L1" s="4" t="str">
        <f>IFERROR(__xludf.DUMMYFUNCTION("""COMPUTED_VALUE"""),"point")</f>
        <v>point</v>
      </c>
    </row>
    <row r="2">
      <c r="A2" s="4" t="str">
        <f>IFERROR(__xludf.DUMMYFUNCTION("""COMPUTED_VALUE"""),"86278ec4bbdcadd945d79df6c695c2ec")</f>
        <v>86278ec4bbdcadd945d79df6c695c2ec</v>
      </c>
      <c r="B2" s="20">
        <f>IFERROR(__xludf.DUMMYFUNCTION("""COMPUTED_VALUE"""),45594.01041666667)</f>
        <v>45594.01042</v>
      </c>
      <c r="C2" s="4" t="b">
        <f>IFERROR(__xludf.DUMMYFUNCTION("""COMPUTED_VALUE"""),FALSE)</f>
        <v>0</v>
      </c>
      <c r="D2" s="4" t="str">
        <f>IFERROR(__xludf.DUMMYFUNCTION("""COMPUTED_VALUE"""),"DraftKings")</f>
        <v>DraftKings</v>
      </c>
      <c r="E2" s="20">
        <f>IFERROR(__xludf.DUMMYFUNCTION("""COMPUTED_VALUE"""),45593.91478009259)</f>
        <v>45593.91478</v>
      </c>
      <c r="F2" s="4" t="str">
        <f>IFERROR(__xludf.DUMMYFUNCTION("""COMPUTED_VALUE"""),"Pittsburgh Steelers")</f>
        <v>Pittsburgh Steelers</v>
      </c>
      <c r="G2" s="4" t="str">
        <f>IFERROR(__xludf.DUMMYFUNCTION("""COMPUTED_VALUE"""),"New York Giants")</f>
        <v>New York Giants</v>
      </c>
      <c r="H2" s="4" t="str">
        <f>IFERROR(__xludf.DUMMYFUNCTION("""COMPUTED_VALUE"""),"spreads")</f>
        <v>spreads</v>
      </c>
      <c r="I2" s="4" t="str">
        <f>IFERROR(__xludf.DUMMYFUNCTION("""COMPUTED_VALUE"""),"New York Giants")</f>
        <v>New York Giants</v>
      </c>
      <c r="J2" s="4"/>
      <c r="K2" s="4">
        <f>IFERROR(__xludf.DUMMYFUNCTION("""COMPUTED_VALUE"""),-105.0)</f>
        <v>-105</v>
      </c>
      <c r="L2" s="4">
        <f>IFERROR(__xludf.DUMMYFUNCTION("""COMPUTED_VALUE"""),6.0)</f>
        <v>6</v>
      </c>
    </row>
    <row r="3">
      <c r="A3" s="4" t="str">
        <f>IFERROR(__xludf.DUMMYFUNCTION("""COMPUTED_VALUE"""),"86278ec4bbdcadd945d79df6c695c2ec")</f>
        <v>86278ec4bbdcadd945d79df6c695c2ec</v>
      </c>
      <c r="B3" s="20">
        <f>IFERROR(__xludf.DUMMYFUNCTION("""COMPUTED_VALUE"""),45594.01041666667)</f>
        <v>45594.01042</v>
      </c>
      <c r="C3" s="4" t="b">
        <f>IFERROR(__xludf.DUMMYFUNCTION("""COMPUTED_VALUE"""),FALSE)</f>
        <v>0</v>
      </c>
      <c r="D3" s="4" t="str">
        <f>IFERROR(__xludf.DUMMYFUNCTION("""COMPUTED_VALUE"""),"DraftKings")</f>
        <v>DraftKings</v>
      </c>
      <c r="E3" s="20">
        <f>IFERROR(__xludf.DUMMYFUNCTION("""COMPUTED_VALUE"""),45593.91478009259)</f>
        <v>45593.91478</v>
      </c>
      <c r="F3" s="4" t="str">
        <f>IFERROR(__xludf.DUMMYFUNCTION("""COMPUTED_VALUE"""),"Pittsburgh Steelers")</f>
        <v>Pittsburgh Steelers</v>
      </c>
      <c r="G3" s="4" t="str">
        <f>IFERROR(__xludf.DUMMYFUNCTION("""COMPUTED_VALUE"""),"New York Giants")</f>
        <v>New York Giants</v>
      </c>
      <c r="H3" s="4" t="str">
        <f>IFERROR(__xludf.DUMMYFUNCTION("""COMPUTED_VALUE"""),"spreads")</f>
        <v>spreads</v>
      </c>
      <c r="I3" s="4" t="str">
        <f>IFERROR(__xludf.DUMMYFUNCTION("""COMPUTED_VALUE"""),"Pittsburgh Steelers")</f>
        <v>Pittsburgh Steelers</v>
      </c>
      <c r="J3" s="4"/>
      <c r="K3" s="4">
        <f>IFERROR(__xludf.DUMMYFUNCTION("""COMPUTED_VALUE"""),-115.0)</f>
        <v>-115</v>
      </c>
      <c r="L3" s="4">
        <f>IFERROR(__xludf.DUMMYFUNCTION("""COMPUTED_VALUE"""),-6.0)</f>
        <v>-6</v>
      </c>
    </row>
    <row r="4">
      <c r="A4" s="4" t="str">
        <f>IFERROR(__xludf.DUMMYFUNCTION("""COMPUTED_VALUE"""),"86278ec4bbdcadd945d79df6c695c2ec")</f>
        <v>86278ec4bbdcadd945d79df6c695c2ec</v>
      </c>
      <c r="B4" s="20">
        <f>IFERROR(__xludf.DUMMYFUNCTION("""COMPUTED_VALUE"""),45594.01041666667)</f>
        <v>45594.01042</v>
      </c>
      <c r="C4" s="4" t="b">
        <f>IFERROR(__xludf.DUMMYFUNCTION("""COMPUTED_VALUE"""),FALSE)</f>
        <v>0</v>
      </c>
      <c r="D4" s="4" t="str">
        <f>IFERROR(__xludf.DUMMYFUNCTION("""COMPUTED_VALUE"""),"BetUS")</f>
        <v>BetUS</v>
      </c>
      <c r="E4" s="20">
        <f>IFERROR(__xludf.DUMMYFUNCTION("""COMPUTED_VALUE"""),45593.91565972222)</f>
        <v>45593.91566</v>
      </c>
      <c r="F4" s="4" t="str">
        <f>IFERROR(__xludf.DUMMYFUNCTION("""COMPUTED_VALUE"""),"Pittsburgh Steelers")</f>
        <v>Pittsburgh Steelers</v>
      </c>
      <c r="G4" s="4" t="str">
        <f>IFERROR(__xludf.DUMMYFUNCTION("""COMPUTED_VALUE"""),"New York Giants")</f>
        <v>New York Giants</v>
      </c>
      <c r="H4" s="4" t="str">
        <f>IFERROR(__xludf.DUMMYFUNCTION("""COMPUTED_VALUE"""),"spreads")</f>
        <v>spreads</v>
      </c>
      <c r="I4" s="4" t="str">
        <f>IFERROR(__xludf.DUMMYFUNCTION("""COMPUTED_VALUE"""),"New York Giants")</f>
        <v>New York Giants</v>
      </c>
      <c r="J4" s="4"/>
      <c r="K4" s="4">
        <f>IFERROR(__xludf.DUMMYFUNCTION("""COMPUTED_VALUE"""),-110.0)</f>
        <v>-110</v>
      </c>
      <c r="L4" s="4">
        <f>IFERROR(__xludf.DUMMYFUNCTION("""COMPUTED_VALUE"""),6.0)</f>
        <v>6</v>
      </c>
    </row>
    <row r="5">
      <c r="A5" s="4" t="str">
        <f>IFERROR(__xludf.DUMMYFUNCTION("""COMPUTED_VALUE"""),"86278ec4bbdcadd945d79df6c695c2ec")</f>
        <v>86278ec4bbdcadd945d79df6c695c2ec</v>
      </c>
      <c r="B5" s="20">
        <f>IFERROR(__xludf.DUMMYFUNCTION("""COMPUTED_VALUE"""),45594.01041666667)</f>
        <v>45594.01042</v>
      </c>
      <c r="C5" s="4" t="b">
        <f>IFERROR(__xludf.DUMMYFUNCTION("""COMPUTED_VALUE"""),FALSE)</f>
        <v>0</v>
      </c>
      <c r="D5" s="4" t="str">
        <f>IFERROR(__xludf.DUMMYFUNCTION("""COMPUTED_VALUE"""),"BetUS")</f>
        <v>BetUS</v>
      </c>
      <c r="E5" s="20">
        <f>IFERROR(__xludf.DUMMYFUNCTION("""COMPUTED_VALUE"""),45593.91565972222)</f>
        <v>45593.91566</v>
      </c>
      <c r="F5" s="4" t="str">
        <f>IFERROR(__xludf.DUMMYFUNCTION("""COMPUTED_VALUE"""),"Pittsburgh Steelers")</f>
        <v>Pittsburgh Steelers</v>
      </c>
      <c r="G5" s="4" t="str">
        <f>IFERROR(__xludf.DUMMYFUNCTION("""COMPUTED_VALUE"""),"New York Giants")</f>
        <v>New York Giants</v>
      </c>
      <c r="H5" s="4" t="str">
        <f>IFERROR(__xludf.DUMMYFUNCTION("""COMPUTED_VALUE"""),"spreads")</f>
        <v>spreads</v>
      </c>
      <c r="I5" s="4" t="str">
        <f>IFERROR(__xludf.DUMMYFUNCTION("""COMPUTED_VALUE"""),"Pittsburgh Steelers")</f>
        <v>Pittsburgh Steelers</v>
      </c>
      <c r="J5" s="4"/>
      <c r="K5" s="4">
        <f>IFERROR(__xludf.DUMMYFUNCTION("""COMPUTED_VALUE"""),-110.0)</f>
        <v>-110</v>
      </c>
      <c r="L5" s="4">
        <f>IFERROR(__xludf.DUMMYFUNCTION("""COMPUTED_VALUE"""),-6.0)</f>
        <v>-6</v>
      </c>
    </row>
    <row r="6">
      <c r="A6" s="4" t="str">
        <f>IFERROR(__xludf.DUMMYFUNCTION("""COMPUTED_VALUE"""),"86278ec4bbdcadd945d79df6c695c2ec")</f>
        <v>86278ec4bbdcadd945d79df6c695c2ec</v>
      </c>
      <c r="B6" s="20">
        <f>IFERROR(__xludf.DUMMYFUNCTION("""COMPUTED_VALUE"""),45594.01041666667)</f>
        <v>45594.01042</v>
      </c>
      <c r="C6" s="4" t="b">
        <f>IFERROR(__xludf.DUMMYFUNCTION("""COMPUTED_VALUE"""),FALSE)</f>
        <v>0</v>
      </c>
      <c r="D6" s="4" t="str">
        <f>IFERROR(__xludf.DUMMYFUNCTION("""COMPUTED_VALUE"""),"FanDuel")</f>
        <v>FanDuel</v>
      </c>
      <c r="E6" s="20">
        <f>IFERROR(__xludf.DUMMYFUNCTION("""COMPUTED_VALUE"""),45593.91564814815)</f>
        <v>45593.91565</v>
      </c>
      <c r="F6" s="4" t="str">
        <f>IFERROR(__xludf.DUMMYFUNCTION("""COMPUTED_VALUE"""),"Pittsburgh Steelers")</f>
        <v>Pittsburgh Steelers</v>
      </c>
      <c r="G6" s="4" t="str">
        <f>IFERROR(__xludf.DUMMYFUNCTION("""COMPUTED_VALUE"""),"New York Giants")</f>
        <v>New York Giants</v>
      </c>
      <c r="H6" s="4" t="str">
        <f>IFERROR(__xludf.DUMMYFUNCTION("""COMPUTED_VALUE"""),"spreads")</f>
        <v>spreads</v>
      </c>
      <c r="I6" s="4" t="str">
        <f>IFERROR(__xludf.DUMMYFUNCTION("""COMPUTED_VALUE"""),"New York Giants")</f>
        <v>New York Giants</v>
      </c>
      <c r="J6" s="4"/>
      <c r="K6" s="4">
        <f>IFERROR(__xludf.DUMMYFUNCTION("""COMPUTED_VALUE"""),-110.0)</f>
        <v>-110</v>
      </c>
      <c r="L6" s="4">
        <f>IFERROR(__xludf.DUMMYFUNCTION("""COMPUTED_VALUE"""),6.0)</f>
        <v>6</v>
      </c>
    </row>
    <row r="7">
      <c r="A7" s="4" t="str">
        <f>IFERROR(__xludf.DUMMYFUNCTION("""COMPUTED_VALUE"""),"86278ec4bbdcadd945d79df6c695c2ec")</f>
        <v>86278ec4bbdcadd945d79df6c695c2ec</v>
      </c>
      <c r="B7" s="20">
        <f>IFERROR(__xludf.DUMMYFUNCTION("""COMPUTED_VALUE"""),45594.01041666667)</f>
        <v>45594.01042</v>
      </c>
      <c r="C7" s="4" t="b">
        <f>IFERROR(__xludf.DUMMYFUNCTION("""COMPUTED_VALUE"""),FALSE)</f>
        <v>0</v>
      </c>
      <c r="D7" s="4" t="str">
        <f>IFERROR(__xludf.DUMMYFUNCTION("""COMPUTED_VALUE"""),"FanDuel")</f>
        <v>FanDuel</v>
      </c>
      <c r="E7" s="20">
        <f>IFERROR(__xludf.DUMMYFUNCTION("""COMPUTED_VALUE"""),45593.91564814815)</f>
        <v>45593.91565</v>
      </c>
      <c r="F7" s="4" t="str">
        <f>IFERROR(__xludf.DUMMYFUNCTION("""COMPUTED_VALUE"""),"Pittsburgh Steelers")</f>
        <v>Pittsburgh Steelers</v>
      </c>
      <c r="G7" s="4" t="str">
        <f>IFERROR(__xludf.DUMMYFUNCTION("""COMPUTED_VALUE"""),"New York Giants")</f>
        <v>New York Giants</v>
      </c>
      <c r="H7" s="4" t="str">
        <f>IFERROR(__xludf.DUMMYFUNCTION("""COMPUTED_VALUE"""),"spreads")</f>
        <v>spreads</v>
      </c>
      <c r="I7" s="4" t="str">
        <f>IFERROR(__xludf.DUMMYFUNCTION("""COMPUTED_VALUE"""),"Pittsburgh Steelers")</f>
        <v>Pittsburgh Steelers</v>
      </c>
      <c r="J7" s="4"/>
      <c r="K7" s="4">
        <f>IFERROR(__xludf.DUMMYFUNCTION("""COMPUTED_VALUE"""),-110.0)</f>
        <v>-110</v>
      </c>
      <c r="L7" s="4">
        <f>IFERROR(__xludf.DUMMYFUNCTION("""COMPUTED_VALUE"""),-6.0)</f>
        <v>-6</v>
      </c>
    </row>
    <row r="8">
      <c r="A8" s="4" t="str">
        <f>IFERROR(__xludf.DUMMYFUNCTION("""COMPUTED_VALUE"""),"86278ec4bbdcadd945d79df6c695c2ec")</f>
        <v>86278ec4bbdcadd945d79df6c695c2ec</v>
      </c>
      <c r="B8" s="20">
        <f>IFERROR(__xludf.DUMMYFUNCTION("""COMPUTED_VALUE"""),45594.01041666667)</f>
        <v>45594.01042</v>
      </c>
      <c r="C8" s="4" t="b">
        <f>IFERROR(__xludf.DUMMYFUNCTION("""COMPUTED_VALUE"""),FALSE)</f>
        <v>0</v>
      </c>
      <c r="D8" s="21" t="str">
        <f>IFERROR(__xludf.DUMMYFUNCTION("""COMPUTED_VALUE"""),"MyBookie.ag")</f>
        <v>MyBookie.ag</v>
      </c>
      <c r="E8" s="20">
        <f>IFERROR(__xludf.DUMMYFUNCTION("""COMPUTED_VALUE"""),45593.91346064815)</f>
        <v>45593.91346</v>
      </c>
      <c r="F8" s="4" t="str">
        <f>IFERROR(__xludf.DUMMYFUNCTION("""COMPUTED_VALUE"""),"Pittsburgh Steelers")</f>
        <v>Pittsburgh Steelers</v>
      </c>
      <c r="G8" s="4" t="str">
        <f>IFERROR(__xludf.DUMMYFUNCTION("""COMPUTED_VALUE"""),"New York Giants")</f>
        <v>New York Giants</v>
      </c>
      <c r="H8" s="4" t="str">
        <f>IFERROR(__xludf.DUMMYFUNCTION("""COMPUTED_VALUE"""),"spreads")</f>
        <v>spreads</v>
      </c>
      <c r="I8" s="4" t="str">
        <f>IFERROR(__xludf.DUMMYFUNCTION("""COMPUTED_VALUE"""),"New York Giants")</f>
        <v>New York Giants</v>
      </c>
      <c r="J8" s="4"/>
      <c r="K8" s="4">
        <f>IFERROR(__xludf.DUMMYFUNCTION("""COMPUTED_VALUE"""),-110.0)</f>
        <v>-110</v>
      </c>
      <c r="L8" s="4">
        <f>IFERROR(__xludf.DUMMYFUNCTION("""COMPUTED_VALUE"""),6.0)</f>
        <v>6</v>
      </c>
    </row>
    <row r="9">
      <c r="A9" s="4" t="str">
        <f>IFERROR(__xludf.DUMMYFUNCTION("""COMPUTED_VALUE"""),"86278ec4bbdcadd945d79df6c695c2ec")</f>
        <v>86278ec4bbdcadd945d79df6c695c2ec</v>
      </c>
      <c r="B9" s="20">
        <f>IFERROR(__xludf.DUMMYFUNCTION("""COMPUTED_VALUE"""),45594.01041666667)</f>
        <v>45594.01042</v>
      </c>
      <c r="C9" s="4" t="b">
        <f>IFERROR(__xludf.DUMMYFUNCTION("""COMPUTED_VALUE"""),FALSE)</f>
        <v>0</v>
      </c>
      <c r="D9" s="21" t="str">
        <f>IFERROR(__xludf.DUMMYFUNCTION("""COMPUTED_VALUE"""),"MyBookie.ag")</f>
        <v>MyBookie.ag</v>
      </c>
      <c r="E9" s="20">
        <f>IFERROR(__xludf.DUMMYFUNCTION("""COMPUTED_VALUE"""),45593.91346064815)</f>
        <v>45593.91346</v>
      </c>
      <c r="F9" s="4" t="str">
        <f>IFERROR(__xludf.DUMMYFUNCTION("""COMPUTED_VALUE"""),"Pittsburgh Steelers")</f>
        <v>Pittsburgh Steelers</v>
      </c>
      <c r="G9" s="4" t="str">
        <f>IFERROR(__xludf.DUMMYFUNCTION("""COMPUTED_VALUE"""),"New York Giants")</f>
        <v>New York Giants</v>
      </c>
      <c r="H9" s="4" t="str">
        <f>IFERROR(__xludf.DUMMYFUNCTION("""COMPUTED_VALUE"""),"spreads")</f>
        <v>spreads</v>
      </c>
      <c r="I9" s="4" t="str">
        <f>IFERROR(__xludf.DUMMYFUNCTION("""COMPUTED_VALUE"""),"Pittsburgh Steelers")</f>
        <v>Pittsburgh Steelers</v>
      </c>
      <c r="J9" s="4"/>
      <c r="K9" s="4">
        <f>IFERROR(__xludf.DUMMYFUNCTION("""COMPUTED_VALUE"""),-110.0)</f>
        <v>-110</v>
      </c>
      <c r="L9" s="4">
        <f>IFERROR(__xludf.DUMMYFUNCTION("""COMPUTED_VALUE"""),-6.0)</f>
        <v>-6</v>
      </c>
    </row>
    <row r="10">
      <c r="A10" s="4" t="str">
        <f>IFERROR(__xludf.DUMMYFUNCTION("""COMPUTED_VALUE"""),"86278ec4bbdcadd945d79df6c695c2ec")</f>
        <v>86278ec4bbdcadd945d79df6c695c2ec</v>
      </c>
      <c r="B10" s="20">
        <f>IFERROR(__xludf.DUMMYFUNCTION("""COMPUTED_VALUE"""),45594.01041666667)</f>
        <v>45594.01042</v>
      </c>
      <c r="C10" s="4" t="b">
        <f>IFERROR(__xludf.DUMMYFUNCTION("""COMPUTED_VALUE"""),FALSE)</f>
        <v>0</v>
      </c>
      <c r="D10" s="21" t="str">
        <f>IFERROR(__xludf.DUMMYFUNCTION("""COMPUTED_VALUE"""),"BetOnline.ag")</f>
        <v>BetOnline.ag</v>
      </c>
      <c r="E10" s="20">
        <f>IFERROR(__xludf.DUMMYFUNCTION("""COMPUTED_VALUE"""),45593.91604166667)</f>
        <v>45593.91604</v>
      </c>
      <c r="F10" s="4" t="str">
        <f>IFERROR(__xludf.DUMMYFUNCTION("""COMPUTED_VALUE"""),"Pittsburgh Steelers")</f>
        <v>Pittsburgh Steelers</v>
      </c>
      <c r="G10" s="4" t="str">
        <f>IFERROR(__xludf.DUMMYFUNCTION("""COMPUTED_VALUE"""),"New York Giants")</f>
        <v>New York Giants</v>
      </c>
      <c r="H10" s="4" t="str">
        <f>IFERROR(__xludf.DUMMYFUNCTION("""COMPUTED_VALUE"""),"spreads")</f>
        <v>spreads</v>
      </c>
      <c r="I10" s="4" t="str">
        <f>IFERROR(__xludf.DUMMYFUNCTION("""COMPUTED_VALUE"""),"New York Giants")</f>
        <v>New York Giants</v>
      </c>
      <c r="J10" s="4"/>
      <c r="K10" s="4">
        <f>IFERROR(__xludf.DUMMYFUNCTION("""COMPUTED_VALUE"""),-110.0)</f>
        <v>-110</v>
      </c>
      <c r="L10" s="4">
        <f>IFERROR(__xludf.DUMMYFUNCTION("""COMPUTED_VALUE"""),6.0)</f>
        <v>6</v>
      </c>
    </row>
    <row r="11">
      <c r="A11" s="4" t="str">
        <f>IFERROR(__xludf.DUMMYFUNCTION("""COMPUTED_VALUE"""),"86278ec4bbdcadd945d79df6c695c2ec")</f>
        <v>86278ec4bbdcadd945d79df6c695c2ec</v>
      </c>
      <c r="B11" s="20">
        <f>IFERROR(__xludf.DUMMYFUNCTION("""COMPUTED_VALUE"""),45594.01041666667)</f>
        <v>45594.01042</v>
      </c>
      <c r="C11" s="4" t="b">
        <f>IFERROR(__xludf.DUMMYFUNCTION("""COMPUTED_VALUE"""),FALSE)</f>
        <v>0</v>
      </c>
      <c r="D11" s="21" t="str">
        <f>IFERROR(__xludf.DUMMYFUNCTION("""COMPUTED_VALUE"""),"BetOnline.ag")</f>
        <v>BetOnline.ag</v>
      </c>
      <c r="E11" s="20">
        <f>IFERROR(__xludf.DUMMYFUNCTION("""COMPUTED_VALUE"""),45593.91604166667)</f>
        <v>45593.91604</v>
      </c>
      <c r="F11" s="4" t="str">
        <f>IFERROR(__xludf.DUMMYFUNCTION("""COMPUTED_VALUE"""),"Pittsburgh Steelers")</f>
        <v>Pittsburgh Steelers</v>
      </c>
      <c r="G11" s="4" t="str">
        <f>IFERROR(__xludf.DUMMYFUNCTION("""COMPUTED_VALUE"""),"New York Giants")</f>
        <v>New York Giants</v>
      </c>
      <c r="H11" s="4" t="str">
        <f>IFERROR(__xludf.DUMMYFUNCTION("""COMPUTED_VALUE"""),"spreads")</f>
        <v>spreads</v>
      </c>
      <c r="I11" s="4" t="str">
        <f>IFERROR(__xludf.DUMMYFUNCTION("""COMPUTED_VALUE"""),"Pittsburgh Steelers")</f>
        <v>Pittsburgh Steelers</v>
      </c>
      <c r="J11" s="4"/>
      <c r="K11" s="4">
        <f>IFERROR(__xludf.DUMMYFUNCTION("""COMPUTED_VALUE"""),-110.0)</f>
        <v>-110</v>
      </c>
      <c r="L11" s="4">
        <f>IFERROR(__xludf.DUMMYFUNCTION("""COMPUTED_VALUE"""),-6.0)</f>
        <v>-6</v>
      </c>
    </row>
    <row r="12">
      <c r="A12" s="4" t="str">
        <f>IFERROR(__xludf.DUMMYFUNCTION("""COMPUTED_VALUE"""),"86278ec4bbdcadd945d79df6c695c2ec")</f>
        <v>86278ec4bbdcadd945d79df6c695c2ec</v>
      </c>
      <c r="B12" s="20">
        <f>IFERROR(__xludf.DUMMYFUNCTION("""COMPUTED_VALUE"""),45594.01041666667)</f>
        <v>45594.01042</v>
      </c>
      <c r="C12" s="4" t="b">
        <f>IFERROR(__xludf.DUMMYFUNCTION("""COMPUTED_VALUE"""),FALSE)</f>
        <v>0</v>
      </c>
      <c r="D12" s="21" t="str">
        <f>IFERROR(__xludf.DUMMYFUNCTION("""COMPUTED_VALUE"""),"LowVig.ag")</f>
        <v>LowVig.ag</v>
      </c>
      <c r="E12" s="20">
        <f>IFERROR(__xludf.DUMMYFUNCTION("""COMPUTED_VALUE"""),45593.91604166667)</f>
        <v>45593.91604</v>
      </c>
      <c r="F12" s="4" t="str">
        <f>IFERROR(__xludf.DUMMYFUNCTION("""COMPUTED_VALUE"""),"Pittsburgh Steelers")</f>
        <v>Pittsburgh Steelers</v>
      </c>
      <c r="G12" s="4" t="str">
        <f>IFERROR(__xludf.DUMMYFUNCTION("""COMPUTED_VALUE"""),"New York Giants")</f>
        <v>New York Giants</v>
      </c>
      <c r="H12" s="4" t="str">
        <f>IFERROR(__xludf.DUMMYFUNCTION("""COMPUTED_VALUE"""),"spreads")</f>
        <v>spreads</v>
      </c>
      <c r="I12" s="4" t="str">
        <f>IFERROR(__xludf.DUMMYFUNCTION("""COMPUTED_VALUE"""),"New York Giants")</f>
        <v>New York Giants</v>
      </c>
      <c r="J12" s="4"/>
      <c r="K12" s="4">
        <f>IFERROR(__xludf.DUMMYFUNCTION("""COMPUTED_VALUE"""),-103.0)</f>
        <v>-103</v>
      </c>
      <c r="L12" s="4">
        <f>IFERROR(__xludf.DUMMYFUNCTION("""COMPUTED_VALUE"""),6.0)</f>
        <v>6</v>
      </c>
    </row>
    <row r="13">
      <c r="A13" s="4" t="str">
        <f>IFERROR(__xludf.DUMMYFUNCTION("""COMPUTED_VALUE"""),"86278ec4bbdcadd945d79df6c695c2ec")</f>
        <v>86278ec4bbdcadd945d79df6c695c2ec</v>
      </c>
      <c r="B13" s="20">
        <f>IFERROR(__xludf.DUMMYFUNCTION("""COMPUTED_VALUE"""),45594.01041666667)</f>
        <v>45594.01042</v>
      </c>
      <c r="C13" s="4" t="b">
        <f>IFERROR(__xludf.DUMMYFUNCTION("""COMPUTED_VALUE"""),FALSE)</f>
        <v>0</v>
      </c>
      <c r="D13" s="21" t="str">
        <f>IFERROR(__xludf.DUMMYFUNCTION("""COMPUTED_VALUE"""),"LowVig.ag")</f>
        <v>LowVig.ag</v>
      </c>
      <c r="E13" s="20">
        <f>IFERROR(__xludf.DUMMYFUNCTION("""COMPUTED_VALUE"""),45593.91604166667)</f>
        <v>45593.91604</v>
      </c>
      <c r="F13" s="4" t="str">
        <f>IFERROR(__xludf.DUMMYFUNCTION("""COMPUTED_VALUE"""),"Pittsburgh Steelers")</f>
        <v>Pittsburgh Steelers</v>
      </c>
      <c r="G13" s="4" t="str">
        <f>IFERROR(__xludf.DUMMYFUNCTION("""COMPUTED_VALUE"""),"New York Giants")</f>
        <v>New York Giants</v>
      </c>
      <c r="H13" s="4" t="str">
        <f>IFERROR(__xludf.DUMMYFUNCTION("""COMPUTED_VALUE"""),"spreads")</f>
        <v>spreads</v>
      </c>
      <c r="I13" s="4" t="str">
        <f>IFERROR(__xludf.DUMMYFUNCTION("""COMPUTED_VALUE"""),"Pittsburgh Steelers")</f>
        <v>Pittsburgh Steelers</v>
      </c>
      <c r="J13" s="4"/>
      <c r="K13" s="4">
        <f>IFERROR(__xludf.DUMMYFUNCTION("""COMPUTED_VALUE"""),-107.0)</f>
        <v>-107</v>
      </c>
      <c r="L13" s="4">
        <f>IFERROR(__xludf.DUMMYFUNCTION("""COMPUTED_VALUE"""),-6.0)</f>
        <v>-6</v>
      </c>
    </row>
    <row r="14">
      <c r="A14" s="4" t="str">
        <f>IFERROR(__xludf.DUMMYFUNCTION("""COMPUTED_VALUE"""),"86278ec4bbdcadd945d79df6c695c2ec")</f>
        <v>86278ec4bbdcadd945d79df6c695c2ec</v>
      </c>
      <c r="B14" s="20">
        <f>IFERROR(__xludf.DUMMYFUNCTION("""COMPUTED_VALUE"""),45594.01041666667)</f>
        <v>45594.01042</v>
      </c>
      <c r="C14" s="4" t="b">
        <f>IFERROR(__xludf.DUMMYFUNCTION("""COMPUTED_VALUE"""),FALSE)</f>
        <v>0</v>
      </c>
      <c r="D14" s="4" t="str">
        <f>IFERROR(__xludf.DUMMYFUNCTION("""COMPUTED_VALUE"""),"BetRivers")</f>
        <v>BetRivers</v>
      </c>
      <c r="E14" s="20">
        <f>IFERROR(__xludf.DUMMYFUNCTION("""COMPUTED_VALUE"""),45593.91564814815)</f>
        <v>45593.91565</v>
      </c>
      <c r="F14" s="4" t="str">
        <f>IFERROR(__xludf.DUMMYFUNCTION("""COMPUTED_VALUE"""),"Pittsburgh Steelers")</f>
        <v>Pittsburgh Steelers</v>
      </c>
      <c r="G14" s="4" t="str">
        <f>IFERROR(__xludf.DUMMYFUNCTION("""COMPUTED_VALUE"""),"New York Giants")</f>
        <v>New York Giants</v>
      </c>
      <c r="H14" s="4" t="str">
        <f>IFERROR(__xludf.DUMMYFUNCTION("""COMPUTED_VALUE"""),"spreads")</f>
        <v>spreads</v>
      </c>
      <c r="I14" s="4" t="str">
        <f>IFERROR(__xludf.DUMMYFUNCTION("""COMPUTED_VALUE"""),"New York Giants")</f>
        <v>New York Giants</v>
      </c>
      <c r="J14" s="4"/>
      <c r="K14" s="4">
        <f>IFERROR(__xludf.DUMMYFUNCTION("""COMPUTED_VALUE"""),-112.0)</f>
        <v>-112</v>
      </c>
      <c r="L14" s="4">
        <f>IFERROR(__xludf.DUMMYFUNCTION("""COMPUTED_VALUE"""),6.0)</f>
        <v>6</v>
      </c>
    </row>
    <row r="15">
      <c r="A15" s="4" t="str">
        <f>IFERROR(__xludf.DUMMYFUNCTION("""COMPUTED_VALUE"""),"86278ec4bbdcadd945d79df6c695c2ec")</f>
        <v>86278ec4bbdcadd945d79df6c695c2ec</v>
      </c>
      <c r="B15" s="20">
        <f>IFERROR(__xludf.DUMMYFUNCTION("""COMPUTED_VALUE"""),45594.01041666667)</f>
        <v>45594.01042</v>
      </c>
      <c r="C15" s="4" t="b">
        <f>IFERROR(__xludf.DUMMYFUNCTION("""COMPUTED_VALUE"""),FALSE)</f>
        <v>0</v>
      </c>
      <c r="D15" s="4" t="str">
        <f>IFERROR(__xludf.DUMMYFUNCTION("""COMPUTED_VALUE"""),"BetRivers")</f>
        <v>BetRivers</v>
      </c>
      <c r="E15" s="20">
        <f>IFERROR(__xludf.DUMMYFUNCTION("""COMPUTED_VALUE"""),45593.91564814815)</f>
        <v>45593.91565</v>
      </c>
      <c r="F15" s="4" t="str">
        <f>IFERROR(__xludf.DUMMYFUNCTION("""COMPUTED_VALUE"""),"Pittsburgh Steelers")</f>
        <v>Pittsburgh Steelers</v>
      </c>
      <c r="G15" s="4" t="str">
        <f>IFERROR(__xludf.DUMMYFUNCTION("""COMPUTED_VALUE"""),"New York Giants")</f>
        <v>New York Giants</v>
      </c>
      <c r="H15" s="4" t="str">
        <f>IFERROR(__xludf.DUMMYFUNCTION("""COMPUTED_VALUE"""),"spreads")</f>
        <v>spreads</v>
      </c>
      <c r="I15" s="4" t="str">
        <f>IFERROR(__xludf.DUMMYFUNCTION("""COMPUTED_VALUE"""),"Pittsburgh Steelers")</f>
        <v>Pittsburgh Steelers</v>
      </c>
      <c r="J15" s="4"/>
      <c r="K15" s="4">
        <f>IFERROR(__xludf.DUMMYFUNCTION("""COMPUTED_VALUE"""),-109.0)</f>
        <v>-109</v>
      </c>
      <c r="L15" s="4">
        <f>IFERROR(__xludf.DUMMYFUNCTION("""COMPUTED_VALUE"""),-6.0)</f>
        <v>-6</v>
      </c>
    </row>
    <row r="16">
      <c r="A16" s="4" t="str">
        <f>IFERROR(__xludf.DUMMYFUNCTION("""COMPUTED_VALUE"""),"86278ec4bbdcadd945d79df6c695c2ec")</f>
        <v>86278ec4bbdcadd945d79df6c695c2ec</v>
      </c>
      <c r="B16" s="20">
        <f>IFERROR(__xludf.DUMMYFUNCTION("""COMPUTED_VALUE"""),45594.01041666667)</f>
        <v>45594.01042</v>
      </c>
      <c r="C16" s="4" t="b">
        <f>IFERROR(__xludf.DUMMYFUNCTION("""COMPUTED_VALUE"""),FALSE)</f>
        <v>0</v>
      </c>
      <c r="D16" s="4" t="str">
        <f>IFERROR(__xludf.DUMMYFUNCTION("""COMPUTED_VALUE"""),"BetMGM")</f>
        <v>BetMGM</v>
      </c>
      <c r="E16" s="20">
        <f>IFERROR(__xludf.DUMMYFUNCTION("""COMPUTED_VALUE"""),45593.91604166667)</f>
        <v>45593.91604</v>
      </c>
      <c r="F16" s="4" t="str">
        <f>IFERROR(__xludf.DUMMYFUNCTION("""COMPUTED_VALUE"""),"Pittsburgh Steelers")</f>
        <v>Pittsburgh Steelers</v>
      </c>
      <c r="G16" s="4" t="str">
        <f>IFERROR(__xludf.DUMMYFUNCTION("""COMPUTED_VALUE"""),"New York Giants")</f>
        <v>New York Giants</v>
      </c>
      <c r="H16" s="4" t="str">
        <f>IFERROR(__xludf.DUMMYFUNCTION("""COMPUTED_VALUE"""),"spreads")</f>
        <v>spreads</v>
      </c>
      <c r="I16" s="4" t="str">
        <f>IFERROR(__xludf.DUMMYFUNCTION("""COMPUTED_VALUE"""),"New York Giants")</f>
        <v>New York Giants</v>
      </c>
      <c r="J16" s="4"/>
      <c r="K16" s="4">
        <f>IFERROR(__xludf.DUMMYFUNCTION("""COMPUTED_VALUE"""),-110.0)</f>
        <v>-110</v>
      </c>
      <c r="L16" s="4">
        <f>IFERROR(__xludf.DUMMYFUNCTION("""COMPUTED_VALUE"""),6.0)</f>
        <v>6</v>
      </c>
    </row>
    <row r="17">
      <c r="A17" s="4" t="str">
        <f>IFERROR(__xludf.DUMMYFUNCTION("""COMPUTED_VALUE"""),"86278ec4bbdcadd945d79df6c695c2ec")</f>
        <v>86278ec4bbdcadd945d79df6c695c2ec</v>
      </c>
      <c r="B17" s="20">
        <f>IFERROR(__xludf.DUMMYFUNCTION("""COMPUTED_VALUE"""),45594.01041666667)</f>
        <v>45594.01042</v>
      </c>
      <c r="C17" s="4" t="b">
        <f>IFERROR(__xludf.DUMMYFUNCTION("""COMPUTED_VALUE"""),FALSE)</f>
        <v>0</v>
      </c>
      <c r="D17" s="4" t="str">
        <f>IFERROR(__xludf.DUMMYFUNCTION("""COMPUTED_VALUE"""),"BetMGM")</f>
        <v>BetMGM</v>
      </c>
      <c r="E17" s="20">
        <f>IFERROR(__xludf.DUMMYFUNCTION("""COMPUTED_VALUE"""),45593.91604166667)</f>
        <v>45593.91604</v>
      </c>
      <c r="F17" s="4" t="str">
        <f>IFERROR(__xludf.DUMMYFUNCTION("""COMPUTED_VALUE"""),"Pittsburgh Steelers")</f>
        <v>Pittsburgh Steelers</v>
      </c>
      <c r="G17" s="4" t="str">
        <f>IFERROR(__xludf.DUMMYFUNCTION("""COMPUTED_VALUE"""),"New York Giants")</f>
        <v>New York Giants</v>
      </c>
      <c r="H17" s="4" t="str">
        <f>IFERROR(__xludf.DUMMYFUNCTION("""COMPUTED_VALUE"""),"spreads")</f>
        <v>spreads</v>
      </c>
      <c r="I17" s="4" t="str">
        <f>IFERROR(__xludf.DUMMYFUNCTION("""COMPUTED_VALUE"""),"Pittsburgh Steelers")</f>
        <v>Pittsburgh Steelers</v>
      </c>
      <c r="J17" s="4"/>
      <c r="K17" s="4">
        <f>IFERROR(__xludf.DUMMYFUNCTION("""COMPUTED_VALUE"""),-110.0)</f>
        <v>-110</v>
      </c>
      <c r="L17" s="4">
        <f>IFERROR(__xludf.DUMMYFUNCTION("""COMPUTED_VALUE"""),-6.0)</f>
        <v>-6</v>
      </c>
    </row>
    <row r="18">
      <c r="A18" s="4" t="str">
        <f>IFERROR(__xludf.DUMMYFUNCTION("""COMPUTED_VALUE"""),"86278ec4bbdcadd945d79df6c695c2ec")</f>
        <v>86278ec4bbdcadd945d79df6c695c2ec</v>
      </c>
      <c r="B18" s="20">
        <f>IFERROR(__xludf.DUMMYFUNCTION("""COMPUTED_VALUE"""),45594.01041666667)</f>
        <v>45594.01042</v>
      </c>
      <c r="C18" s="4" t="b">
        <f>IFERROR(__xludf.DUMMYFUNCTION("""COMPUTED_VALUE"""),FALSE)</f>
        <v>0</v>
      </c>
      <c r="D18" s="4" t="str">
        <f>IFERROR(__xludf.DUMMYFUNCTION("""COMPUTED_VALUE"""),"Bovada")</f>
        <v>Bovada</v>
      </c>
      <c r="E18" s="20">
        <f>IFERROR(__xludf.DUMMYFUNCTION("""COMPUTED_VALUE"""),45593.91564814815)</f>
        <v>45593.91565</v>
      </c>
      <c r="F18" s="4" t="str">
        <f>IFERROR(__xludf.DUMMYFUNCTION("""COMPUTED_VALUE"""),"Pittsburgh Steelers")</f>
        <v>Pittsburgh Steelers</v>
      </c>
      <c r="G18" s="4" t="str">
        <f>IFERROR(__xludf.DUMMYFUNCTION("""COMPUTED_VALUE"""),"New York Giants")</f>
        <v>New York Giants</v>
      </c>
      <c r="H18" s="4" t="str">
        <f>IFERROR(__xludf.DUMMYFUNCTION("""COMPUTED_VALUE"""),"spreads")</f>
        <v>spreads</v>
      </c>
      <c r="I18" s="4" t="str">
        <f>IFERROR(__xludf.DUMMYFUNCTION("""COMPUTED_VALUE"""),"New York Giants")</f>
        <v>New York Giants</v>
      </c>
      <c r="J18" s="4"/>
      <c r="K18" s="4">
        <f>IFERROR(__xludf.DUMMYFUNCTION("""COMPUTED_VALUE"""),-110.0)</f>
        <v>-110</v>
      </c>
      <c r="L18" s="4">
        <f>IFERROR(__xludf.DUMMYFUNCTION("""COMPUTED_VALUE"""),6.0)</f>
        <v>6</v>
      </c>
    </row>
    <row r="19">
      <c r="A19" s="4" t="str">
        <f>IFERROR(__xludf.DUMMYFUNCTION("""COMPUTED_VALUE"""),"86278ec4bbdcadd945d79df6c695c2ec")</f>
        <v>86278ec4bbdcadd945d79df6c695c2ec</v>
      </c>
      <c r="B19" s="20">
        <f>IFERROR(__xludf.DUMMYFUNCTION("""COMPUTED_VALUE"""),45594.01041666667)</f>
        <v>45594.01042</v>
      </c>
      <c r="C19" s="4" t="b">
        <f>IFERROR(__xludf.DUMMYFUNCTION("""COMPUTED_VALUE"""),FALSE)</f>
        <v>0</v>
      </c>
      <c r="D19" s="4" t="str">
        <f>IFERROR(__xludf.DUMMYFUNCTION("""COMPUTED_VALUE"""),"Bovada")</f>
        <v>Bovada</v>
      </c>
      <c r="E19" s="20">
        <f>IFERROR(__xludf.DUMMYFUNCTION("""COMPUTED_VALUE"""),45593.91564814815)</f>
        <v>45593.91565</v>
      </c>
      <c r="F19" s="4" t="str">
        <f>IFERROR(__xludf.DUMMYFUNCTION("""COMPUTED_VALUE"""),"Pittsburgh Steelers")</f>
        <v>Pittsburgh Steelers</v>
      </c>
      <c r="G19" s="4" t="str">
        <f>IFERROR(__xludf.DUMMYFUNCTION("""COMPUTED_VALUE"""),"New York Giants")</f>
        <v>New York Giants</v>
      </c>
      <c r="H19" s="4" t="str">
        <f>IFERROR(__xludf.DUMMYFUNCTION("""COMPUTED_VALUE"""),"spreads")</f>
        <v>spreads</v>
      </c>
      <c r="I19" s="4" t="str">
        <f>IFERROR(__xludf.DUMMYFUNCTION("""COMPUTED_VALUE"""),"Pittsburgh Steelers")</f>
        <v>Pittsburgh Steelers</v>
      </c>
      <c r="J19" s="4"/>
      <c r="K19" s="4">
        <f>IFERROR(__xludf.DUMMYFUNCTION("""COMPUTED_VALUE"""),-110.0)</f>
        <v>-110</v>
      </c>
      <c r="L19" s="4">
        <f>IFERROR(__xludf.DUMMYFUNCTION("""COMPUTED_VALUE"""),-6.0)</f>
        <v>-6</v>
      </c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tr">
        <f>IFERROR(__xludf.DUMMYFUNCTION("IMPORTRANGE(""https://docs.google.com/spreadsheets/d/13MAhBT9K2M70JP2OISI4aettE0FK27CjAGHAew7TsAE/edit?gid=1671364351#gid=1671364351"",""odds!A1:L"")"),"game_id")</f>
        <v>game_id</v>
      </c>
      <c r="B1" s="4" t="str">
        <f>IFERROR(__xludf.DUMMYFUNCTION("""COMPUTED_VALUE"""),"commence_time")</f>
        <v>commence_time</v>
      </c>
      <c r="C1" s="4" t="str">
        <f>IFERROR(__xludf.DUMMYFUNCTION("""COMPUTED_VALUE"""),"in_play")</f>
        <v>in_play</v>
      </c>
      <c r="D1" s="4" t="str">
        <f>IFERROR(__xludf.DUMMYFUNCTION("""COMPUTED_VALUE"""),"bookmaker")</f>
        <v>bookmaker</v>
      </c>
      <c r="E1" s="4" t="str">
        <f>IFERROR(__xludf.DUMMYFUNCTION("""COMPUTED_VALUE"""),"last_update")</f>
        <v>last_update</v>
      </c>
      <c r="F1" s="4" t="str">
        <f>IFERROR(__xludf.DUMMYFUNCTION("""COMPUTED_VALUE"""),"home_team")</f>
        <v>home_team</v>
      </c>
      <c r="G1" s="4" t="str">
        <f>IFERROR(__xludf.DUMMYFUNCTION("""COMPUTED_VALUE"""),"away_team")</f>
        <v>away_team</v>
      </c>
      <c r="H1" s="4" t="str">
        <f>IFERROR(__xludf.DUMMYFUNCTION("""COMPUTED_VALUE"""),"market")</f>
        <v>market</v>
      </c>
      <c r="I1" s="4" t="str">
        <f>IFERROR(__xludf.DUMMYFUNCTION("""COMPUTED_VALUE"""),"label")</f>
        <v>label</v>
      </c>
      <c r="J1" s="4" t="str">
        <f>IFERROR(__xludf.DUMMYFUNCTION("""COMPUTED_VALUE"""),"description")</f>
        <v>description</v>
      </c>
      <c r="K1" s="4" t="str">
        <f>IFERROR(__xludf.DUMMYFUNCTION("""COMPUTED_VALUE"""),"price")</f>
        <v>price</v>
      </c>
      <c r="L1" s="4" t="str">
        <f>IFERROR(__xludf.DUMMYFUNCTION("""COMPUTED_VALUE"""),"point")</f>
        <v>point</v>
      </c>
    </row>
    <row r="2">
      <c r="A2" s="4" t="str">
        <f>IFERROR(__xludf.DUMMYFUNCTION("""COMPUTED_VALUE"""),"86278ec4bbdcadd945d79df6c695c2ec")</f>
        <v>86278ec4bbdcadd945d79df6c695c2ec</v>
      </c>
      <c r="B2" s="20">
        <f>IFERROR(__xludf.DUMMYFUNCTION("""COMPUTED_VALUE"""),45594.01041666667)</f>
        <v>45594.01042</v>
      </c>
      <c r="C2" s="4" t="b">
        <f>IFERROR(__xludf.DUMMYFUNCTION("""COMPUTED_VALUE"""),FALSE)</f>
        <v>0</v>
      </c>
      <c r="D2" s="4" t="str">
        <f>IFERROR(__xludf.DUMMYFUNCTION("""COMPUTED_VALUE"""),"DraftKings")</f>
        <v>DraftKings</v>
      </c>
      <c r="E2" s="20">
        <f>IFERROR(__xludf.DUMMYFUNCTION("""COMPUTED_VALUE"""),45593.91478009259)</f>
        <v>45593.91478</v>
      </c>
      <c r="F2" s="4" t="str">
        <f>IFERROR(__xludf.DUMMYFUNCTION("""COMPUTED_VALUE"""),"Pittsburgh Steelers")</f>
        <v>Pittsburgh Steelers</v>
      </c>
      <c r="G2" s="4" t="str">
        <f>IFERROR(__xludf.DUMMYFUNCTION("""COMPUTED_VALUE"""),"New York Giants")</f>
        <v>New York Giants</v>
      </c>
      <c r="H2" s="4" t="str">
        <f>IFERROR(__xludf.DUMMYFUNCTION("""COMPUTED_VALUE"""),"totals")</f>
        <v>totals</v>
      </c>
      <c r="I2" s="4" t="str">
        <f>IFERROR(__xludf.DUMMYFUNCTION("""COMPUTED_VALUE"""),"Over")</f>
        <v>Over</v>
      </c>
      <c r="J2" s="4"/>
      <c r="K2" s="4">
        <f>IFERROR(__xludf.DUMMYFUNCTION("""COMPUTED_VALUE"""),-108.0)</f>
        <v>-108</v>
      </c>
      <c r="L2" s="4">
        <f>IFERROR(__xludf.DUMMYFUNCTION("""COMPUTED_VALUE"""),37.5)</f>
        <v>37.5</v>
      </c>
    </row>
    <row r="3">
      <c r="A3" s="4" t="str">
        <f>IFERROR(__xludf.DUMMYFUNCTION("""COMPUTED_VALUE"""),"86278ec4bbdcadd945d79df6c695c2ec")</f>
        <v>86278ec4bbdcadd945d79df6c695c2ec</v>
      </c>
      <c r="B3" s="20">
        <f>IFERROR(__xludf.DUMMYFUNCTION("""COMPUTED_VALUE"""),45594.01041666667)</f>
        <v>45594.01042</v>
      </c>
      <c r="C3" s="4" t="b">
        <f>IFERROR(__xludf.DUMMYFUNCTION("""COMPUTED_VALUE"""),FALSE)</f>
        <v>0</v>
      </c>
      <c r="D3" s="4" t="str">
        <f>IFERROR(__xludf.DUMMYFUNCTION("""COMPUTED_VALUE"""),"DraftKings")</f>
        <v>DraftKings</v>
      </c>
      <c r="E3" s="20">
        <f>IFERROR(__xludf.DUMMYFUNCTION("""COMPUTED_VALUE"""),45593.91478009259)</f>
        <v>45593.91478</v>
      </c>
      <c r="F3" s="4" t="str">
        <f>IFERROR(__xludf.DUMMYFUNCTION("""COMPUTED_VALUE"""),"Pittsburgh Steelers")</f>
        <v>Pittsburgh Steelers</v>
      </c>
      <c r="G3" s="4" t="str">
        <f>IFERROR(__xludf.DUMMYFUNCTION("""COMPUTED_VALUE"""),"New York Giants")</f>
        <v>New York Giants</v>
      </c>
      <c r="H3" s="4" t="str">
        <f>IFERROR(__xludf.DUMMYFUNCTION("""COMPUTED_VALUE"""),"totals")</f>
        <v>totals</v>
      </c>
      <c r="I3" s="4" t="str">
        <f>IFERROR(__xludf.DUMMYFUNCTION("""COMPUTED_VALUE"""),"Under")</f>
        <v>Under</v>
      </c>
      <c r="J3" s="4"/>
      <c r="K3" s="4">
        <f>IFERROR(__xludf.DUMMYFUNCTION("""COMPUTED_VALUE"""),-112.0)</f>
        <v>-112</v>
      </c>
      <c r="L3" s="4">
        <f>IFERROR(__xludf.DUMMYFUNCTION("""COMPUTED_VALUE"""),37.5)</f>
        <v>37.5</v>
      </c>
    </row>
    <row r="4">
      <c r="A4" s="4" t="str">
        <f>IFERROR(__xludf.DUMMYFUNCTION("""COMPUTED_VALUE"""),"86278ec4bbdcadd945d79df6c695c2ec")</f>
        <v>86278ec4bbdcadd945d79df6c695c2ec</v>
      </c>
      <c r="B4" s="20">
        <f>IFERROR(__xludf.DUMMYFUNCTION("""COMPUTED_VALUE"""),45594.01041666667)</f>
        <v>45594.01042</v>
      </c>
      <c r="C4" s="4" t="b">
        <f>IFERROR(__xludf.DUMMYFUNCTION("""COMPUTED_VALUE"""),FALSE)</f>
        <v>0</v>
      </c>
      <c r="D4" s="4" t="str">
        <f>IFERROR(__xludf.DUMMYFUNCTION("""COMPUTED_VALUE"""),"BetUS")</f>
        <v>BetUS</v>
      </c>
      <c r="E4" s="20">
        <f>IFERROR(__xludf.DUMMYFUNCTION("""COMPUTED_VALUE"""),45593.91565972222)</f>
        <v>45593.91566</v>
      </c>
      <c r="F4" s="4" t="str">
        <f>IFERROR(__xludf.DUMMYFUNCTION("""COMPUTED_VALUE"""),"Pittsburgh Steelers")</f>
        <v>Pittsburgh Steelers</v>
      </c>
      <c r="G4" s="4" t="str">
        <f>IFERROR(__xludf.DUMMYFUNCTION("""COMPUTED_VALUE"""),"New York Giants")</f>
        <v>New York Giants</v>
      </c>
      <c r="H4" s="4" t="str">
        <f>IFERROR(__xludf.DUMMYFUNCTION("""COMPUTED_VALUE"""),"totals")</f>
        <v>totals</v>
      </c>
      <c r="I4" s="4" t="str">
        <f>IFERROR(__xludf.DUMMYFUNCTION("""COMPUTED_VALUE"""),"Over")</f>
        <v>Over</v>
      </c>
      <c r="J4" s="4"/>
      <c r="K4" s="4">
        <f>IFERROR(__xludf.DUMMYFUNCTION("""COMPUTED_VALUE"""),-115.0)</f>
        <v>-115</v>
      </c>
      <c r="L4" s="4">
        <f>IFERROR(__xludf.DUMMYFUNCTION("""COMPUTED_VALUE"""),37.0)</f>
        <v>37</v>
      </c>
    </row>
    <row r="5">
      <c r="A5" s="4" t="str">
        <f>IFERROR(__xludf.DUMMYFUNCTION("""COMPUTED_VALUE"""),"86278ec4bbdcadd945d79df6c695c2ec")</f>
        <v>86278ec4bbdcadd945d79df6c695c2ec</v>
      </c>
      <c r="B5" s="20">
        <f>IFERROR(__xludf.DUMMYFUNCTION("""COMPUTED_VALUE"""),45594.01041666667)</f>
        <v>45594.01042</v>
      </c>
      <c r="C5" s="4" t="b">
        <f>IFERROR(__xludf.DUMMYFUNCTION("""COMPUTED_VALUE"""),FALSE)</f>
        <v>0</v>
      </c>
      <c r="D5" s="4" t="str">
        <f>IFERROR(__xludf.DUMMYFUNCTION("""COMPUTED_VALUE"""),"BetUS")</f>
        <v>BetUS</v>
      </c>
      <c r="E5" s="20">
        <f>IFERROR(__xludf.DUMMYFUNCTION("""COMPUTED_VALUE"""),45593.91565972222)</f>
        <v>45593.91566</v>
      </c>
      <c r="F5" s="4" t="str">
        <f>IFERROR(__xludf.DUMMYFUNCTION("""COMPUTED_VALUE"""),"Pittsburgh Steelers")</f>
        <v>Pittsburgh Steelers</v>
      </c>
      <c r="G5" s="4" t="str">
        <f>IFERROR(__xludf.DUMMYFUNCTION("""COMPUTED_VALUE"""),"New York Giants")</f>
        <v>New York Giants</v>
      </c>
      <c r="H5" s="4" t="str">
        <f>IFERROR(__xludf.DUMMYFUNCTION("""COMPUTED_VALUE"""),"totals")</f>
        <v>totals</v>
      </c>
      <c r="I5" s="4" t="str">
        <f>IFERROR(__xludf.DUMMYFUNCTION("""COMPUTED_VALUE"""),"Under")</f>
        <v>Under</v>
      </c>
      <c r="J5" s="4"/>
      <c r="K5" s="4">
        <f>IFERROR(__xludf.DUMMYFUNCTION("""COMPUTED_VALUE"""),-105.0)</f>
        <v>-105</v>
      </c>
      <c r="L5" s="4">
        <f>IFERROR(__xludf.DUMMYFUNCTION("""COMPUTED_VALUE"""),37.0)</f>
        <v>37</v>
      </c>
    </row>
    <row r="6">
      <c r="A6" s="4" t="str">
        <f>IFERROR(__xludf.DUMMYFUNCTION("""COMPUTED_VALUE"""),"86278ec4bbdcadd945d79df6c695c2ec")</f>
        <v>86278ec4bbdcadd945d79df6c695c2ec</v>
      </c>
      <c r="B6" s="20">
        <f>IFERROR(__xludf.DUMMYFUNCTION("""COMPUTED_VALUE"""),45594.01041666667)</f>
        <v>45594.01042</v>
      </c>
      <c r="C6" s="4" t="b">
        <f>IFERROR(__xludf.DUMMYFUNCTION("""COMPUTED_VALUE"""),FALSE)</f>
        <v>0</v>
      </c>
      <c r="D6" s="4" t="str">
        <f>IFERROR(__xludf.DUMMYFUNCTION("""COMPUTED_VALUE"""),"FanDuel")</f>
        <v>FanDuel</v>
      </c>
      <c r="E6" s="20">
        <f>IFERROR(__xludf.DUMMYFUNCTION("""COMPUTED_VALUE"""),45593.91564814815)</f>
        <v>45593.91565</v>
      </c>
      <c r="F6" s="4" t="str">
        <f>IFERROR(__xludf.DUMMYFUNCTION("""COMPUTED_VALUE"""),"Pittsburgh Steelers")</f>
        <v>Pittsburgh Steelers</v>
      </c>
      <c r="G6" s="4" t="str">
        <f>IFERROR(__xludf.DUMMYFUNCTION("""COMPUTED_VALUE"""),"New York Giants")</f>
        <v>New York Giants</v>
      </c>
      <c r="H6" s="4" t="str">
        <f>IFERROR(__xludf.DUMMYFUNCTION("""COMPUTED_VALUE"""),"totals")</f>
        <v>totals</v>
      </c>
      <c r="I6" s="4" t="str">
        <f>IFERROR(__xludf.DUMMYFUNCTION("""COMPUTED_VALUE"""),"Over")</f>
        <v>Over</v>
      </c>
      <c r="J6" s="4"/>
      <c r="K6" s="4">
        <f>IFERROR(__xludf.DUMMYFUNCTION("""COMPUTED_VALUE"""),-112.0)</f>
        <v>-112</v>
      </c>
      <c r="L6" s="4">
        <f>IFERROR(__xludf.DUMMYFUNCTION("""COMPUTED_VALUE"""),36.5)</f>
        <v>36.5</v>
      </c>
    </row>
    <row r="7">
      <c r="A7" s="4" t="str">
        <f>IFERROR(__xludf.DUMMYFUNCTION("""COMPUTED_VALUE"""),"86278ec4bbdcadd945d79df6c695c2ec")</f>
        <v>86278ec4bbdcadd945d79df6c695c2ec</v>
      </c>
      <c r="B7" s="20">
        <f>IFERROR(__xludf.DUMMYFUNCTION("""COMPUTED_VALUE"""),45594.01041666667)</f>
        <v>45594.01042</v>
      </c>
      <c r="C7" s="4" t="b">
        <f>IFERROR(__xludf.DUMMYFUNCTION("""COMPUTED_VALUE"""),FALSE)</f>
        <v>0</v>
      </c>
      <c r="D7" s="4" t="str">
        <f>IFERROR(__xludf.DUMMYFUNCTION("""COMPUTED_VALUE"""),"FanDuel")</f>
        <v>FanDuel</v>
      </c>
      <c r="E7" s="20">
        <f>IFERROR(__xludf.DUMMYFUNCTION("""COMPUTED_VALUE"""),45593.91564814815)</f>
        <v>45593.91565</v>
      </c>
      <c r="F7" s="4" t="str">
        <f>IFERROR(__xludf.DUMMYFUNCTION("""COMPUTED_VALUE"""),"Pittsburgh Steelers")</f>
        <v>Pittsburgh Steelers</v>
      </c>
      <c r="G7" s="4" t="str">
        <f>IFERROR(__xludf.DUMMYFUNCTION("""COMPUTED_VALUE"""),"New York Giants")</f>
        <v>New York Giants</v>
      </c>
      <c r="H7" s="4" t="str">
        <f>IFERROR(__xludf.DUMMYFUNCTION("""COMPUTED_VALUE"""),"totals")</f>
        <v>totals</v>
      </c>
      <c r="I7" s="4" t="str">
        <f>IFERROR(__xludf.DUMMYFUNCTION("""COMPUTED_VALUE"""),"Under")</f>
        <v>Under</v>
      </c>
      <c r="J7" s="4"/>
      <c r="K7" s="4">
        <f>IFERROR(__xludf.DUMMYFUNCTION("""COMPUTED_VALUE"""),-108.0)</f>
        <v>-108</v>
      </c>
      <c r="L7" s="4">
        <f>IFERROR(__xludf.DUMMYFUNCTION("""COMPUTED_VALUE"""),36.5)</f>
        <v>36.5</v>
      </c>
    </row>
    <row r="8">
      <c r="A8" s="4" t="str">
        <f>IFERROR(__xludf.DUMMYFUNCTION("""COMPUTED_VALUE"""),"86278ec4bbdcadd945d79df6c695c2ec")</f>
        <v>86278ec4bbdcadd945d79df6c695c2ec</v>
      </c>
      <c r="B8" s="20">
        <f>IFERROR(__xludf.DUMMYFUNCTION("""COMPUTED_VALUE"""),45594.01041666667)</f>
        <v>45594.01042</v>
      </c>
      <c r="C8" s="4" t="b">
        <f>IFERROR(__xludf.DUMMYFUNCTION("""COMPUTED_VALUE"""),FALSE)</f>
        <v>0</v>
      </c>
      <c r="D8" s="21" t="str">
        <f>IFERROR(__xludf.DUMMYFUNCTION("""COMPUTED_VALUE"""),"MyBookie.ag")</f>
        <v>MyBookie.ag</v>
      </c>
      <c r="E8" s="20">
        <f>IFERROR(__xludf.DUMMYFUNCTION("""COMPUTED_VALUE"""),45593.91346064815)</f>
        <v>45593.91346</v>
      </c>
      <c r="F8" s="4" t="str">
        <f>IFERROR(__xludf.DUMMYFUNCTION("""COMPUTED_VALUE"""),"Pittsburgh Steelers")</f>
        <v>Pittsburgh Steelers</v>
      </c>
      <c r="G8" s="4" t="str">
        <f>IFERROR(__xludf.DUMMYFUNCTION("""COMPUTED_VALUE"""),"New York Giants")</f>
        <v>New York Giants</v>
      </c>
      <c r="H8" s="4" t="str">
        <f>IFERROR(__xludf.DUMMYFUNCTION("""COMPUTED_VALUE"""),"totals")</f>
        <v>totals</v>
      </c>
      <c r="I8" s="4" t="str">
        <f>IFERROR(__xludf.DUMMYFUNCTION("""COMPUTED_VALUE"""),"Over")</f>
        <v>Over</v>
      </c>
      <c r="J8" s="4"/>
      <c r="K8" s="4">
        <f>IFERROR(__xludf.DUMMYFUNCTION("""COMPUTED_VALUE"""),-110.0)</f>
        <v>-110</v>
      </c>
      <c r="L8" s="4">
        <f>IFERROR(__xludf.DUMMYFUNCTION("""COMPUTED_VALUE"""),37.0)</f>
        <v>37</v>
      </c>
    </row>
    <row r="9">
      <c r="A9" s="4" t="str">
        <f>IFERROR(__xludf.DUMMYFUNCTION("""COMPUTED_VALUE"""),"86278ec4bbdcadd945d79df6c695c2ec")</f>
        <v>86278ec4bbdcadd945d79df6c695c2ec</v>
      </c>
      <c r="B9" s="20">
        <f>IFERROR(__xludf.DUMMYFUNCTION("""COMPUTED_VALUE"""),45594.01041666667)</f>
        <v>45594.01042</v>
      </c>
      <c r="C9" s="4" t="b">
        <f>IFERROR(__xludf.DUMMYFUNCTION("""COMPUTED_VALUE"""),FALSE)</f>
        <v>0</v>
      </c>
      <c r="D9" s="21" t="str">
        <f>IFERROR(__xludf.DUMMYFUNCTION("""COMPUTED_VALUE"""),"MyBookie.ag")</f>
        <v>MyBookie.ag</v>
      </c>
      <c r="E9" s="20">
        <f>IFERROR(__xludf.DUMMYFUNCTION("""COMPUTED_VALUE"""),45593.91346064815)</f>
        <v>45593.91346</v>
      </c>
      <c r="F9" s="4" t="str">
        <f>IFERROR(__xludf.DUMMYFUNCTION("""COMPUTED_VALUE"""),"Pittsburgh Steelers")</f>
        <v>Pittsburgh Steelers</v>
      </c>
      <c r="G9" s="4" t="str">
        <f>IFERROR(__xludf.DUMMYFUNCTION("""COMPUTED_VALUE"""),"New York Giants")</f>
        <v>New York Giants</v>
      </c>
      <c r="H9" s="4" t="str">
        <f>IFERROR(__xludf.DUMMYFUNCTION("""COMPUTED_VALUE"""),"totals")</f>
        <v>totals</v>
      </c>
      <c r="I9" s="4" t="str">
        <f>IFERROR(__xludf.DUMMYFUNCTION("""COMPUTED_VALUE"""),"Under")</f>
        <v>Under</v>
      </c>
      <c r="J9" s="4"/>
      <c r="K9" s="4">
        <f>IFERROR(__xludf.DUMMYFUNCTION("""COMPUTED_VALUE"""),-110.0)</f>
        <v>-110</v>
      </c>
      <c r="L9" s="4">
        <f>IFERROR(__xludf.DUMMYFUNCTION("""COMPUTED_VALUE"""),37.0)</f>
        <v>37</v>
      </c>
    </row>
    <row r="10">
      <c r="A10" s="4" t="str">
        <f>IFERROR(__xludf.DUMMYFUNCTION("""COMPUTED_VALUE"""),"86278ec4bbdcadd945d79df6c695c2ec")</f>
        <v>86278ec4bbdcadd945d79df6c695c2ec</v>
      </c>
      <c r="B10" s="20">
        <f>IFERROR(__xludf.DUMMYFUNCTION("""COMPUTED_VALUE"""),45594.01041666667)</f>
        <v>45594.01042</v>
      </c>
      <c r="C10" s="4" t="b">
        <f>IFERROR(__xludf.DUMMYFUNCTION("""COMPUTED_VALUE"""),FALSE)</f>
        <v>0</v>
      </c>
      <c r="D10" s="21" t="str">
        <f>IFERROR(__xludf.DUMMYFUNCTION("""COMPUTED_VALUE"""),"BetOnline.ag")</f>
        <v>BetOnline.ag</v>
      </c>
      <c r="E10" s="20">
        <f>IFERROR(__xludf.DUMMYFUNCTION("""COMPUTED_VALUE"""),45593.91604166667)</f>
        <v>45593.91604</v>
      </c>
      <c r="F10" s="4" t="str">
        <f>IFERROR(__xludf.DUMMYFUNCTION("""COMPUTED_VALUE"""),"Pittsburgh Steelers")</f>
        <v>Pittsburgh Steelers</v>
      </c>
      <c r="G10" s="4" t="str">
        <f>IFERROR(__xludf.DUMMYFUNCTION("""COMPUTED_VALUE"""),"New York Giants")</f>
        <v>New York Giants</v>
      </c>
      <c r="H10" s="4" t="str">
        <f>IFERROR(__xludf.DUMMYFUNCTION("""COMPUTED_VALUE"""),"totals")</f>
        <v>totals</v>
      </c>
      <c r="I10" s="4" t="str">
        <f>IFERROR(__xludf.DUMMYFUNCTION("""COMPUTED_VALUE"""),"Over")</f>
        <v>Over</v>
      </c>
      <c r="J10" s="4"/>
      <c r="K10" s="4">
        <f>IFERROR(__xludf.DUMMYFUNCTION("""COMPUTED_VALUE"""),-110.0)</f>
        <v>-110</v>
      </c>
      <c r="L10" s="4">
        <f>IFERROR(__xludf.DUMMYFUNCTION("""COMPUTED_VALUE"""),37.0)</f>
        <v>37</v>
      </c>
    </row>
    <row r="11">
      <c r="A11" s="4" t="str">
        <f>IFERROR(__xludf.DUMMYFUNCTION("""COMPUTED_VALUE"""),"86278ec4bbdcadd945d79df6c695c2ec")</f>
        <v>86278ec4bbdcadd945d79df6c695c2ec</v>
      </c>
      <c r="B11" s="20">
        <f>IFERROR(__xludf.DUMMYFUNCTION("""COMPUTED_VALUE"""),45594.01041666667)</f>
        <v>45594.01042</v>
      </c>
      <c r="C11" s="4" t="b">
        <f>IFERROR(__xludf.DUMMYFUNCTION("""COMPUTED_VALUE"""),FALSE)</f>
        <v>0</v>
      </c>
      <c r="D11" s="21" t="str">
        <f>IFERROR(__xludf.DUMMYFUNCTION("""COMPUTED_VALUE"""),"BetOnline.ag")</f>
        <v>BetOnline.ag</v>
      </c>
      <c r="E11" s="20">
        <f>IFERROR(__xludf.DUMMYFUNCTION("""COMPUTED_VALUE"""),45593.91604166667)</f>
        <v>45593.91604</v>
      </c>
      <c r="F11" s="4" t="str">
        <f>IFERROR(__xludf.DUMMYFUNCTION("""COMPUTED_VALUE"""),"Pittsburgh Steelers")</f>
        <v>Pittsburgh Steelers</v>
      </c>
      <c r="G11" s="4" t="str">
        <f>IFERROR(__xludf.DUMMYFUNCTION("""COMPUTED_VALUE"""),"New York Giants")</f>
        <v>New York Giants</v>
      </c>
      <c r="H11" s="4" t="str">
        <f>IFERROR(__xludf.DUMMYFUNCTION("""COMPUTED_VALUE"""),"totals")</f>
        <v>totals</v>
      </c>
      <c r="I11" s="4" t="str">
        <f>IFERROR(__xludf.DUMMYFUNCTION("""COMPUTED_VALUE"""),"Under")</f>
        <v>Under</v>
      </c>
      <c r="J11" s="4"/>
      <c r="K11" s="4">
        <f>IFERROR(__xludf.DUMMYFUNCTION("""COMPUTED_VALUE"""),-110.0)</f>
        <v>-110</v>
      </c>
      <c r="L11" s="4">
        <f>IFERROR(__xludf.DUMMYFUNCTION("""COMPUTED_VALUE"""),37.0)</f>
        <v>37</v>
      </c>
    </row>
    <row r="12">
      <c r="A12" s="4" t="str">
        <f>IFERROR(__xludf.DUMMYFUNCTION("""COMPUTED_VALUE"""),"86278ec4bbdcadd945d79df6c695c2ec")</f>
        <v>86278ec4bbdcadd945d79df6c695c2ec</v>
      </c>
      <c r="B12" s="20">
        <f>IFERROR(__xludf.DUMMYFUNCTION("""COMPUTED_VALUE"""),45594.01041666667)</f>
        <v>45594.01042</v>
      </c>
      <c r="C12" s="4" t="b">
        <f>IFERROR(__xludf.DUMMYFUNCTION("""COMPUTED_VALUE"""),FALSE)</f>
        <v>0</v>
      </c>
      <c r="D12" s="21" t="str">
        <f>IFERROR(__xludf.DUMMYFUNCTION("""COMPUTED_VALUE"""),"LowVig.ag")</f>
        <v>LowVig.ag</v>
      </c>
      <c r="E12" s="20">
        <f>IFERROR(__xludf.DUMMYFUNCTION("""COMPUTED_VALUE"""),45593.91604166667)</f>
        <v>45593.91604</v>
      </c>
      <c r="F12" s="4" t="str">
        <f>IFERROR(__xludf.DUMMYFUNCTION("""COMPUTED_VALUE"""),"Pittsburgh Steelers")</f>
        <v>Pittsburgh Steelers</v>
      </c>
      <c r="G12" s="4" t="str">
        <f>IFERROR(__xludf.DUMMYFUNCTION("""COMPUTED_VALUE"""),"New York Giants")</f>
        <v>New York Giants</v>
      </c>
      <c r="H12" s="4" t="str">
        <f>IFERROR(__xludf.DUMMYFUNCTION("""COMPUTED_VALUE"""),"totals")</f>
        <v>totals</v>
      </c>
      <c r="I12" s="4" t="str">
        <f>IFERROR(__xludf.DUMMYFUNCTION("""COMPUTED_VALUE"""),"Over")</f>
        <v>Over</v>
      </c>
      <c r="J12" s="4"/>
      <c r="K12" s="4">
        <f>IFERROR(__xludf.DUMMYFUNCTION("""COMPUTED_VALUE"""),-110.0)</f>
        <v>-110</v>
      </c>
      <c r="L12" s="4">
        <f>IFERROR(__xludf.DUMMYFUNCTION("""COMPUTED_VALUE"""),37.0)</f>
        <v>37</v>
      </c>
    </row>
    <row r="13">
      <c r="A13" s="4" t="str">
        <f>IFERROR(__xludf.DUMMYFUNCTION("""COMPUTED_VALUE"""),"86278ec4bbdcadd945d79df6c695c2ec")</f>
        <v>86278ec4bbdcadd945d79df6c695c2ec</v>
      </c>
      <c r="B13" s="20">
        <f>IFERROR(__xludf.DUMMYFUNCTION("""COMPUTED_VALUE"""),45594.01041666667)</f>
        <v>45594.01042</v>
      </c>
      <c r="C13" s="4" t="b">
        <f>IFERROR(__xludf.DUMMYFUNCTION("""COMPUTED_VALUE"""),FALSE)</f>
        <v>0</v>
      </c>
      <c r="D13" s="21" t="str">
        <f>IFERROR(__xludf.DUMMYFUNCTION("""COMPUTED_VALUE"""),"LowVig.ag")</f>
        <v>LowVig.ag</v>
      </c>
      <c r="E13" s="20">
        <f>IFERROR(__xludf.DUMMYFUNCTION("""COMPUTED_VALUE"""),45593.91604166667)</f>
        <v>45593.91604</v>
      </c>
      <c r="F13" s="4" t="str">
        <f>IFERROR(__xludf.DUMMYFUNCTION("""COMPUTED_VALUE"""),"Pittsburgh Steelers")</f>
        <v>Pittsburgh Steelers</v>
      </c>
      <c r="G13" s="4" t="str">
        <f>IFERROR(__xludf.DUMMYFUNCTION("""COMPUTED_VALUE"""),"New York Giants")</f>
        <v>New York Giants</v>
      </c>
      <c r="H13" s="4" t="str">
        <f>IFERROR(__xludf.DUMMYFUNCTION("""COMPUTED_VALUE"""),"totals")</f>
        <v>totals</v>
      </c>
      <c r="I13" s="4" t="str">
        <f>IFERROR(__xludf.DUMMYFUNCTION("""COMPUTED_VALUE"""),"Under")</f>
        <v>Under</v>
      </c>
      <c r="J13" s="4"/>
      <c r="K13" s="4">
        <f>IFERROR(__xludf.DUMMYFUNCTION("""COMPUTED_VALUE"""),-104.0)</f>
        <v>-104</v>
      </c>
      <c r="L13" s="4">
        <f>IFERROR(__xludf.DUMMYFUNCTION("""COMPUTED_VALUE"""),37.0)</f>
        <v>37</v>
      </c>
    </row>
    <row r="14">
      <c r="A14" s="4" t="str">
        <f>IFERROR(__xludf.DUMMYFUNCTION("""COMPUTED_VALUE"""),"86278ec4bbdcadd945d79df6c695c2ec")</f>
        <v>86278ec4bbdcadd945d79df6c695c2ec</v>
      </c>
      <c r="B14" s="20">
        <f>IFERROR(__xludf.DUMMYFUNCTION("""COMPUTED_VALUE"""),45594.01041666667)</f>
        <v>45594.01042</v>
      </c>
      <c r="C14" s="4" t="b">
        <f>IFERROR(__xludf.DUMMYFUNCTION("""COMPUTED_VALUE"""),FALSE)</f>
        <v>0</v>
      </c>
      <c r="D14" s="4" t="str">
        <f>IFERROR(__xludf.DUMMYFUNCTION("""COMPUTED_VALUE"""),"BetRivers")</f>
        <v>BetRivers</v>
      </c>
      <c r="E14" s="20">
        <f>IFERROR(__xludf.DUMMYFUNCTION("""COMPUTED_VALUE"""),45593.91564814815)</f>
        <v>45593.91565</v>
      </c>
      <c r="F14" s="4" t="str">
        <f>IFERROR(__xludf.DUMMYFUNCTION("""COMPUTED_VALUE"""),"Pittsburgh Steelers")</f>
        <v>Pittsburgh Steelers</v>
      </c>
      <c r="G14" s="4" t="str">
        <f>IFERROR(__xludf.DUMMYFUNCTION("""COMPUTED_VALUE"""),"New York Giants")</f>
        <v>New York Giants</v>
      </c>
      <c r="H14" s="4" t="str">
        <f>IFERROR(__xludf.DUMMYFUNCTION("""COMPUTED_VALUE"""),"totals")</f>
        <v>totals</v>
      </c>
      <c r="I14" s="4" t="str">
        <f>IFERROR(__xludf.DUMMYFUNCTION("""COMPUTED_VALUE"""),"Over")</f>
        <v>Over</v>
      </c>
      <c r="J14" s="4"/>
      <c r="K14" s="4">
        <f>IFERROR(__xludf.DUMMYFUNCTION("""COMPUTED_VALUE"""),-108.0)</f>
        <v>-108</v>
      </c>
      <c r="L14" s="4">
        <f>IFERROR(__xludf.DUMMYFUNCTION("""COMPUTED_VALUE"""),37.0)</f>
        <v>37</v>
      </c>
    </row>
    <row r="15">
      <c r="A15" s="4" t="str">
        <f>IFERROR(__xludf.DUMMYFUNCTION("""COMPUTED_VALUE"""),"86278ec4bbdcadd945d79df6c695c2ec")</f>
        <v>86278ec4bbdcadd945d79df6c695c2ec</v>
      </c>
      <c r="B15" s="20">
        <f>IFERROR(__xludf.DUMMYFUNCTION("""COMPUTED_VALUE"""),45594.01041666667)</f>
        <v>45594.01042</v>
      </c>
      <c r="C15" s="4" t="b">
        <f>IFERROR(__xludf.DUMMYFUNCTION("""COMPUTED_VALUE"""),FALSE)</f>
        <v>0</v>
      </c>
      <c r="D15" s="4" t="str">
        <f>IFERROR(__xludf.DUMMYFUNCTION("""COMPUTED_VALUE"""),"BetRivers")</f>
        <v>BetRivers</v>
      </c>
      <c r="E15" s="20">
        <f>IFERROR(__xludf.DUMMYFUNCTION("""COMPUTED_VALUE"""),45593.91564814815)</f>
        <v>45593.91565</v>
      </c>
      <c r="F15" s="4" t="str">
        <f>IFERROR(__xludf.DUMMYFUNCTION("""COMPUTED_VALUE"""),"Pittsburgh Steelers")</f>
        <v>Pittsburgh Steelers</v>
      </c>
      <c r="G15" s="4" t="str">
        <f>IFERROR(__xludf.DUMMYFUNCTION("""COMPUTED_VALUE"""),"New York Giants")</f>
        <v>New York Giants</v>
      </c>
      <c r="H15" s="4" t="str">
        <f>IFERROR(__xludf.DUMMYFUNCTION("""COMPUTED_VALUE"""),"totals")</f>
        <v>totals</v>
      </c>
      <c r="I15" s="4" t="str">
        <f>IFERROR(__xludf.DUMMYFUNCTION("""COMPUTED_VALUE"""),"Under")</f>
        <v>Under</v>
      </c>
      <c r="J15" s="4"/>
      <c r="K15" s="4">
        <f>IFERROR(__xludf.DUMMYFUNCTION("""COMPUTED_VALUE"""),-113.0)</f>
        <v>-113</v>
      </c>
      <c r="L15" s="4">
        <f>IFERROR(__xludf.DUMMYFUNCTION("""COMPUTED_VALUE"""),37.0)</f>
        <v>37</v>
      </c>
    </row>
    <row r="16">
      <c r="A16" s="4" t="str">
        <f>IFERROR(__xludf.DUMMYFUNCTION("""COMPUTED_VALUE"""),"86278ec4bbdcadd945d79df6c695c2ec")</f>
        <v>86278ec4bbdcadd945d79df6c695c2ec</v>
      </c>
      <c r="B16" s="20">
        <f>IFERROR(__xludf.DUMMYFUNCTION("""COMPUTED_VALUE"""),45594.01041666667)</f>
        <v>45594.01042</v>
      </c>
      <c r="C16" s="4" t="b">
        <f>IFERROR(__xludf.DUMMYFUNCTION("""COMPUTED_VALUE"""),FALSE)</f>
        <v>0</v>
      </c>
      <c r="D16" s="4" t="str">
        <f>IFERROR(__xludf.DUMMYFUNCTION("""COMPUTED_VALUE"""),"BetMGM")</f>
        <v>BetMGM</v>
      </c>
      <c r="E16" s="20">
        <f>IFERROR(__xludf.DUMMYFUNCTION("""COMPUTED_VALUE"""),45593.91604166667)</f>
        <v>45593.91604</v>
      </c>
      <c r="F16" s="4" t="str">
        <f>IFERROR(__xludf.DUMMYFUNCTION("""COMPUTED_VALUE"""),"Pittsburgh Steelers")</f>
        <v>Pittsburgh Steelers</v>
      </c>
      <c r="G16" s="4" t="str">
        <f>IFERROR(__xludf.DUMMYFUNCTION("""COMPUTED_VALUE"""),"New York Giants")</f>
        <v>New York Giants</v>
      </c>
      <c r="H16" s="4" t="str">
        <f>IFERROR(__xludf.DUMMYFUNCTION("""COMPUTED_VALUE"""),"totals")</f>
        <v>totals</v>
      </c>
      <c r="I16" s="4" t="str">
        <f>IFERROR(__xludf.DUMMYFUNCTION("""COMPUTED_VALUE"""),"Over")</f>
        <v>Over</v>
      </c>
      <c r="J16" s="4"/>
      <c r="K16" s="4">
        <f>IFERROR(__xludf.DUMMYFUNCTION("""COMPUTED_VALUE"""),-115.0)</f>
        <v>-115</v>
      </c>
      <c r="L16" s="4">
        <f>IFERROR(__xludf.DUMMYFUNCTION("""COMPUTED_VALUE"""),36.5)</f>
        <v>36.5</v>
      </c>
    </row>
    <row r="17">
      <c r="A17" s="4" t="str">
        <f>IFERROR(__xludf.DUMMYFUNCTION("""COMPUTED_VALUE"""),"86278ec4bbdcadd945d79df6c695c2ec")</f>
        <v>86278ec4bbdcadd945d79df6c695c2ec</v>
      </c>
      <c r="B17" s="20">
        <f>IFERROR(__xludf.DUMMYFUNCTION("""COMPUTED_VALUE"""),45594.01041666667)</f>
        <v>45594.01042</v>
      </c>
      <c r="C17" s="4" t="b">
        <f>IFERROR(__xludf.DUMMYFUNCTION("""COMPUTED_VALUE"""),FALSE)</f>
        <v>0</v>
      </c>
      <c r="D17" s="4" t="str">
        <f>IFERROR(__xludf.DUMMYFUNCTION("""COMPUTED_VALUE"""),"BetMGM")</f>
        <v>BetMGM</v>
      </c>
      <c r="E17" s="20">
        <f>IFERROR(__xludf.DUMMYFUNCTION("""COMPUTED_VALUE"""),45593.91604166667)</f>
        <v>45593.91604</v>
      </c>
      <c r="F17" s="4" t="str">
        <f>IFERROR(__xludf.DUMMYFUNCTION("""COMPUTED_VALUE"""),"Pittsburgh Steelers")</f>
        <v>Pittsburgh Steelers</v>
      </c>
      <c r="G17" s="4" t="str">
        <f>IFERROR(__xludf.DUMMYFUNCTION("""COMPUTED_VALUE"""),"New York Giants")</f>
        <v>New York Giants</v>
      </c>
      <c r="H17" s="4" t="str">
        <f>IFERROR(__xludf.DUMMYFUNCTION("""COMPUTED_VALUE"""),"totals")</f>
        <v>totals</v>
      </c>
      <c r="I17" s="4" t="str">
        <f>IFERROR(__xludf.DUMMYFUNCTION("""COMPUTED_VALUE"""),"Under")</f>
        <v>Under</v>
      </c>
      <c r="J17" s="4"/>
      <c r="K17" s="4">
        <f>IFERROR(__xludf.DUMMYFUNCTION("""COMPUTED_VALUE"""),-105.0)</f>
        <v>-105</v>
      </c>
      <c r="L17" s="4">
        <f>IFERROR(__xludf.DUMMYFUNCTION("""COMPUTED_VALUE"""),36.5)</f>
        <v>36.5</v>
      </c>
    </row>
    <row r="18">
      <c r="A18" s="4" t="str">
        <f>IFERROR(__xludf.DUMMYFUNCTION("""COMPUTED_VALUE"""),"86278ec4bbdcadd945d79df6c695c2ec")</f>
        <v>86278ec4bbdcadd945d79df6c695c2ec</v>
      </c>
      <c r="B18" s="20">
        <f>IFERROR(__xludf.DUMMYFUNCTION("""COMPUTED_VALUE"""),45594.01041666667)</f>
        <v>45594.01042</v>
      </c>
      <c r="C18" s="4" t="b">
        <f>IFERROR(__xludf.DUMMYFUNCTION("""COMPUTED_VALUE"""),FALSE)</f>
        <v>0</v>
      </c>
      <c r="D18" s="4" t="str">
        <f>IFERROR(__xludf.DUMMYFUNCTION("""COMPUTED_VALUE"""),"Bovada")</f>
        <v>Bovada</v>
      </c>
      <c r="E18" s="20">
        <f>IFERROR(__xludf.DUMMYFUNCTION("""COMPUTED_VALUE"""),45593.91564814815)</f>
        <v>45593.91565</v>
      </c>
      <c r="F18" s="4" t="str">
        <f>IFERROR(__xludf.DUMMYFUNCTION("""COMPUTED_VALUE"""),"Pittsburgh Steelers")</f>
        <v>Pittsburgh Steelers</v>
      </c>
      <c r="G18" s="4" t="str">
        <f>IFERROR(__xludf.DUMMYFUNCTION("""COMPUTED_VALUE"""),"New York Giants")</f>
        <v>New York Giants</v>
      </c>
      <c r="H18" s="4" t="str">
        <f>IFERROR(__xludf.DUMMYFUNCTION("""COMPUTED_VALUE"""),"totals")</f>
        <v>totals</v>
      </c>
      <c r="I18" s="4" t="str">
        <f>IFERROR(__xludf.DUMMYFUNCTION("""COMPUTED_VALUE"""),"Over")</f>
        <v>Over</v>
      </c>
      <c r="J18" s="4"/>
      <c r="K18" s="4">
        <f>IFERROR(__xludf.DUMMYFUNCTION("""COMPUTED_VALUE"""),-110.0)</f>
        <v>-110</v>
      </c>
      <c r="L18" s="4">
        <f>IFERROR(__xludf.DUMMYFUNCTION("""COMPUTED_VALUE"""),37.5)</f>
        <v>37.5</v>
      </c>
    </row>
    <row r="19">
      <c r="A19" s="4" t="str">
        <f>IFERROR(__xludf.DUMMYFUNCTION("""COMPUTED_VALUE"""),"86278ec4bbdcadd945d79df6c695c2ec")</f>
        <v>86278ec4bbdcadd945d79df6c695c2ec</v>
      </c>
      <c r="B19" s="20">
        <f>IFERROR(__xludf.DUMMYFUNCTION("""COMPUTED_VALUE"""),45594.01041666667)</f>
        <v>45594.01042</v>
      </c>
      <c r="C19" s="4" t="b">
        <f>IFERROR(__xludf.DUMMYFUNCTION("""COMPUTED_VALUE"""),FALSE)</f>
        <v>0</v>
      </c>
      <c r="D19" s="4" t="str">
        <f>IFERROR(__xludf.DUMMYFUNCTION("""COMPUTED_VALUE"""),"Bovada")</f>
        <v>Bovada</v>
      </c>
      <c r="E19" s="20">
        <f>IFERROR(__xludf.DUMMYFUNCTION("""COMPUTED_VALUE"""),45593.91564814815)</f>
        <v>45593.91565</v>
      </c>
      <c r="F19" s="4" t="str">
        <f>IFERROR(__xludf.DUMMYFUNCTION("""COMPUTED_VALUE"""),"Pittsburgh Steelers")</f>
        <v>Pittsburgh Steelers</v>
      </c>
      <c r="G19" s="4" t="str">
        <f>IFERROR(__xludf.DUMMYFUNCTION("""COMPUTED_VALUE"""),"New York Giants")</f>
        <v>New York Giants</v>
      </c>
      <c r="H19" s="4" t="str">
        <f>IFERROR(__xludf.DUMMYFUNCTION("""COMPUTED_VALUE"""),"totals")</f>
        <v>totals</v>
      </c>
      <c r="I19" s="4" t="str">
        <f>IFERROR(__xludf.DUMMYFUNCTION("""COMPUTED_VALUE"""),"Under")</f>
        <v>Under</v>
      </c>
      <c r="J19" s="4"/>
      <c r="K19" s="4">
        <f>IFERROR(__xludf.DUMMYFUNCTION("""COMPUTED_VALUE"""),-110.0)</f>
        <v>-110</v>
      </c>
      <c r="L19" s="4">
        <f>IFERROR(__xludf.DUMMYFUNCTION("""COMPUTED_VALUE"""),37.5)</f>
        <v>37.5</v>
      </c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7" t="s">
        <v>21</v>
      </c>
      <c r="H1" s="7" t="s">
        <v>22</v>
      </c>
      <c r="I1" s="7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>
      <c r="A2" s="4">
        <f>VLOOKUP(B2,map!B:C,2,false)</f>
        <v>8</v>
      </c>
      <c r="B2" s="4" t="str">
        <f>IFERROR(__xludf.DUMMYFUNCTION("UNIQUE(Turnovers!B2:B1000)"),"Washington")</f>
        <v>Washington</v>
      </c>
      <c r="C2" s="4">
        <f>VLOOKUP($B2,Turnovers!$B:$D,3,false)</f>
        <v>0</v>
      </c>
      <c r="D2" s="4">
        <f>VLOOKUP($B2,Takeaways!$B:$D,3,false)</f>
        <v>1.3</v>
      </c>
      <c r="E2" s="4">
        <f>VLOOKUP($B2,YPP!$B:$D,3,false)</f>
        <v>6.3</v>
      </c>
      <c r="F2" s="4">
        <f>AVERAGE(YPP!C$2:C$33)</f>
        <v>5.43125</v>
      </c>
      <c r="G2" s="8">
        <f>VLOOKUP($B2,'3rd Down Conversion Rate'!$B:$D,3,false)</f>
        <v>0.3784</v>
      </c>
      <c r="H2" s="8">
        <f>AVERAGE('3rd Down Conversion Rate'!C$2:C$33)</f>
        <v>0.387028125</v>
      </c>
      <c r="I2" s="8">
        <f>VLOOKUP($B2,'RZ TD %'!$B:$D,3,false)</f>
        <v>0.4167</v>
      </c>
      <c r="J2" s="9">
        <f>AVERAGE('RZ TD %'!C$2:C$33)</f>
        <v>0.5669875</v>
      </c>
      <c r="K2" s="4">
        <f>VLOOKUP($B2,'Yards Allowed per Play'!$B:$D,3,false)</f>
        <v>5.8</v>
      </c>
      <c r="L2" s="4">
        <f>AVERAGE('Yards Allowed per Play'!C$2:C$33)</f>
        <v>5.434375</v>
      </c>
      <c r="M2" s="4">
        <f>VLOOKUP($B2,'D TDs'!$B:$D,3,false)</f>
        <v>0.3</v>
      </c>
      <c r="N2" s="5">
        <f>23 + ((D2-C2) * 0.4) + ((E2-F2) * 0.6) + ((G2-H2) * 0.2) + ((I2-J2) * 0.25) + ((L2-K2) * 0.6) + (M2 * 0.7)</f>
        <v>23.9925775</v>
      </c>
    </row>
    <row r="3">
      <c r="A3" s="4">
        <f>VLOOKUP(B3,map!B:C,2,false)</f>
        <v>11</v>
      </c>
      <c r="B3" s="4" t="str">
        <f>IFERROR(__xludf.DUMMYFUNCTION("""COMPUTED_VALUE"""),"Buffalo")</f>
        <v>Buffalo</v>
      </c>
      <c r="C3" s="4">
        <f>VLOOKUP($B3,Turnovers!$B:$D,3,false)</f>
        <v>0.3</v>
      </c>
      <c r="D3" s="4">
        <f>VLOOKUP($B3,Takeaways!$B:$D,3,false)</f>
        <v>1.7</v>
      </c>
      <c r="E3" s="4">
        <f>VLOOKUP($B3,YPP!$B:$D,3,false)</f>
        <v>6.5</v>
      </c>
      <c r="F3" s="4">
        <f>AVERAGE(YPP!C$2:C$33)</f>
        <v>5.43125</v>
      </c>
      <c r="G3" s="8">
        <f>VLOOKUP($B3,'3rd Down Conversion Rate'!$B:$D,3,false)</f>
        <v>0.4444</v>
      </c>
      <c r="H3" s="8">
        <f>AVERAGE('3rd Down Conversion Rate'!C$2:C$33)</f>
        <v>0.387028125</v>
      </c>
      <c r="I3" s="8">
        <f>VLOOKUP($B3,'RZ TD %'!$B:$D,3,false)</f>
        <v>0.6875</v>
      </c>
      <c r="J3" s="9">
        <f>AVERAGE('RZ TD %'!C$2:C$33)</f>
        <v>0.5669875</v>
      </c>
      <c r="K3" s="4">
        <f>VLOOKUP($B3,'Yards Allowed per Play'!$B:$D,3,false)</f>
        <v>5.3</v>
      </c>
      <c r="L3" s="4">
        <f>AVERAGE('Yards Allowed per Play'!C$2:C$33)</f>
        <v>5.434375</v>
      </c>
      <c r="M3" s="4">
        <f>VLOOKUP($B3,'D TDs'!$B:$D,3,false)</f>
        <v>0</v>
      </c>
      <c r="N3" s="5">
        <f t="shared" ref="N3:N33" si="1">23 + ((D3-C3) * 4) + ((E3-F3) * 6) + ((G3-H3) * 20) + ((I3-J3) * 25) + ((L3-K3) * 6) + (M3 * 7)</f>
        <v>39.979</v>
      </c>
    </row>
    <row r="4">
      <c r="A4" s="4">
        <f>VLOOKUP(B4,map!B:C,2,false)</f>
        <v>29</v>
      </c>
      <c r="B4" s="4" t="str">
        <f>IFERROR(__xludf.DUMMYFUNCTION("""COMPUTED_VALUE"""),"Pittsburgh")</f>
        <v>Pittsburgh</v>
      </c>
      <c r="C4" s="4">
        <f>VLOOKUP($B4,Turnovers!$B:$D,3,false)</f>
        <v>0.3</v>
      </c>
      <c r="D4" s="4">
        <f>VLOOKUP($B4,Takeaways!$B:$D,3,false)</f>
        <v>2.7</v>
      </c>
      <c r="E4" s="4">
        <f>VLOOKUP($B4,YPP!$B:$D,3,false)</f>
        <v>5</v>
      </c>
      <c r="F4" s="4">
        <f>AVERAGE(YPP!C$2:C$33)</f>
        <v>5.43125</v>
      </c>
      <c r="G4" s="8">
        <f>VLOOKUP($B4,'3rd Down Conversion Rate'!$B:$D,3,false)</f>
        <v>0.3077</v>
      </c>
      <c r="H4" s="8">
        <f>AVERAGE('3rd Down Conversion Rate'!C$2:C$33)</f>
        <v>0.387028125</v>
      </c>
      <c r="I4" s="8">
        <f>VLOOKUP($B4,'RZ TD %'!$B:$D,3,false)</f>
        <v>0.6667</v>
      </c>
      <c r="J4" s="9">
        <f>AVERAGE('RZ TD %'!C$2:C$33)</f>
        <v>0.5669875</v>
      </c>
      <c r="K4" s="4">
        <f>VLOOKUP($B4,'Yards Allowed per Play'!$B:$D,3,false)</f>
        <v>5.5</v>
      </c>
      <c r="L4" s="4">
        <f>AVERAGE('Yards Allowed per Play'!C$2:C$33)</f>
        <v>5.434375</v>
      </c>
      <c r="M4" s="4">
        <f>VLOOKUP($B4,'D TDs'!$B:$D,3,false)</f>
        <v>0</v>
      </c>
      <c r="N4" s="5">
        <f t="shared" si="1"/>
        <v>30.525</v>
      </c>
    </row>
    <row r="5">
      <c r="A5" s="4">
        <f>VLOOKUP(B5,map!B:C,2,false)</f>
        <v>7</v>
      </c>
      <c r="B5" s="4" t="str">
        <f>IFERROR(__xludf.DUMMYFUNCTION("""COMPUTED_VALUE"""),"LA Chargers")</f>
        <v>LA Chargers</v>
      </c>
      <c r="C5" s="4">
        <f>VLOOKUP($B5,Turnovers!$B:$D,3,false)</f>
        <v>0.7</v>
      </c>
      <c r="D5" s="4">
        <f>VLOOKUP($B5,Takeaways!$B:$D,3,false)</f>
        <v>1</v>
      </c>
      <c r="E5" s="4">
        <f>VLOOKUP($B5,YPP!$B:$D,3,false)</f>
        <v>5.5</v>
      </c>
      <c r="F5" s="4">
        <f>AVERAGE(YPP!C$2:C$33)</f>
        <v>5.43125</v>
      </c>
      <c r="G5" s="8">
        <f>VLOOKUP($B5,'3rd Down Conversion Rate'!$B:$D,3,false)</f>
        <v>0.4545</v>
      </c>
      <c r="H5" s="8">
        <f>AVERAGE('3rd Down Conversion Rate'!C$2:C$33)</f>
        <v>0.387028125</v>
      </c>
      <c r="I5" s="8">
        <f>VLOOKUP($B5,'RZ TD %'!$B:$D,3,false)</f>
        <v>0.4286</v>
      </c>
      <c r="J5" s="9">
        <f>AVERAGE('RZ TD %'!C$2:C$33)</f>
        <v>0.5669875</v>
      </c>
      <c r="K5" s="4">
        <f>VLOOKUP($B5,'Yards Allowed per Play'!$B:$D,3,false)</f>
        <v>5.7</v>
      </c>
      <c r="L5" s="4">
        <f>AVERAGE('Yards Allowed per Play'!C$2:C$33)</f>
        <v>5.434375</v>
      </c>
      <c r="M5" s="4">
        <f>VLOOKUP($B5,'D TDs'!$B:$D,3,false)</f>
        <v>0</v>
      </c>
      <c r="N5" s="5">
        <f t="shared" si="1"/>
        <v>20.9085</v>
      </c>
    </row>
    <row r="6">
      <c r="A6" s="4">
        <f>VLOOKUP(B6,map!B:C,2,false)</f>
        <v>5</v>
      </c>
      <c r="B6" s="4" t="str">
        <f>IFERROR(__xludf.DUMMYFUNCTION("""COMPUTED_VALUE"""),"Detroit")</f>
        <v>Detroit</v>
      </c>
      <c r="C6" s="4">
        <f>VLOOKUP($B6,Turnovers!$B:$D,3,false)</f>
        <v>0.3</v>
      </c>
      <c r="D6" s="4">
        <f>VLOOKUP($B6,Takeaways!$B:$D,3,false)</f>
        <v>3.3</v>
      </c>
      <c r="E6" s="4">
        <f>VLOOKUP($B6,YPP!$B:$D,3,false)</f>
        <v>6.6</v>
      </c>
      <c r="F6" s="4">
        <f>AVERAGE(YPP!C$2:C$33)</f>
        <v>5.43125</v>
      </c>
      <c r="G6" s="8">
        <f>VLOOKUP($B6,'3rd Down Conversion Rate'!$B:$D,3,false)</f>
        <v>0.3793</v>
      </c>
      <c r="H6" s="8">
        <f>AVERAGE('3rd Down Conversion Rate'!C$2:C$33)</f>
        <v>0.387028125</v>
      </c>
      <c r="I6" s="8">
        <f>VLOOKUP($B6,'RZ TD %'!$B:$D,3,false)</f>
        <v>0.8182</v>
      </c>
      <c r="J6" s="9">
        <f>AVERAGE('RZ TD %'!C$2:C$33)</f>
        <v>0.5669875</v>
      </c>
      <c r="K6" s="4">
        <f>VLOOKUP($B6,'Yards Allowed per Play'!$B:$D,3,false)</f>
        <v>5.6</v>
      </c>
      <c r="L6" s="4">
        <f>AVERAGE('Yards Allowed per Play'!C$2:C$33)</f>
        <v>5.434375</v>
      </c>
      <c r="M6" s="4">
        <f>VLOOKUP($B6,'D TDs'!$B:$D,3,false)</f>
        <v>0</v>
      </c>
      <c r="N6" s="5">
        <f t="shared" si="1"/>
        <v>47.1445</v>
      </c>
    </row>
    <row r="7">
      <c r="A7" s="4">
        <f>VLOOKUP(B7,map!B:C,2,false)</f>
        <v>30</v>
      </c>
      <c r="B7" s="4" t="str">
        <f>IFERROR(__xludf.DUMMYFUNCTION("""COMPUTED_VALUE"""),"Baltimore")</f>
        <v>Baltimore</v>
      </c>
      <c r="C7" s="4">
        <f>VLOOKUP($B7,Turnovers!$B:$D,3,false)</f>
        <v>0.7</v>
      </c>
      <c r="D7" s="4">
        <f>VLOOKUP($B7,Takeaways!$B:$D,3,false)</f>
        <v>1</v>
      </c>
      <c r="E7" s="4">
        <f>VLOOKUP($B7,YPP!$B:$D,3,false)</f>
        <v>7.6</v>
      </c>
      <c r="F7" s="4">
        <f>AVERAGE(YPP!C$2:C$33)</f>
        <v>5.43125</v>
      </c>
      <c r="G7" s="8">
        <f>VLOOKUP($B7,'3rd Down Conversion Rate'!$B:$D,3,false)</f>
        <v>0.3929</v>
      </c>
      <c r="H7" s="8">
        <f>AVERAGE('3rd Down Conversion Rate'!C$2:C$33)</f>
        <v>0.387028125</v>
      </c>
      <c r="I7" s="8">
        <f>VLOOKUP($B7,'RZ TD %'!$B:$D,3,false)</f>
        <v>0.7692</v>
      </c>
      <c r="J7" s="9">
        <f>AVERAGE('RZ TD %'!C$2:C$33)</f>
        <v>0.5669875</v>
      </c>
      <c r="K7" s="4">
        <f>VLOOKUP($B7,'Yards Allowed per Play'!$B:$D,3,false)</f>
        <v>5.9</v>
      </c>
      <c r="L7" s="4">
        <f>AVERAGE('Yards Allowed per Play'!C$2:C$33)</f>
        <v>5.434375</v>
      </c>
      <c r="M7" s="4">
        <f>VLOOKUP($B7,'D TDs'!$B:$D,3,false)</f>
        <v>0</v>
      </c>
      <c r="N7" s="5">
        <f t="shared" si="1"/>
        <v>39.5915</v>
      </c>
    </row>
    <row r="8">
      <c r="A8" s="4">
        <f>VLOOKUP(B8,map!B:C,2,false)</f>
        <v>17</v>
      </c>
      <c r="B8" s="4" t="str">
        <f>IFERROR(__xludf.DUMMYFUNCTION("""COMPUTED_VALUE"""),"Houston")</f>
        <v>Houston</v>
      </c>
      <c r="C8" s="4">
        <f>VLOOKUP($B8,Turnovers!$B:$D,3,false)</f>
        <v>0.7</v>
      </c>
      <c r="D8" s="4">
        <f>VLOOKUP($B8,Takeaways!$B:$D,3,false)</f>
        <v>3</v>
      </c>
      <c r="E8" s="4">
        <f>VLOOKUP($B8,YPP!$B:$D,3,false)</f>
        <v>4.9</v>
      </c>
      <c r="F8" s="4">
        <f>AVERAGE(YPP!C$2:C$33)</f>
        <v>5.43125</v>
      </c>
      <c r="G8" s="8">
        <f>VLOOKUP($B8,'3rd Down Conversion Rate'!$B:$D,3,false)</f>
        <v>0.3243</v>
      </c>
      <c r="H8" s="8">
        <f>AVERAGE('3rd Down Conversion Rate'!C$2:C$33)</f>
        <v>0.387028125</v>
      </c>
      <c r="I8" s="8">
        <f>VLOOKUP($B8,'RZ TD %'!$B:$D,3,false)</f>
        <v>0.5385</v>
      </c>
      <c r="J8" s="9">
        <f>AVERAGE('RZ TD %'!C$2:C$33)</f>
        <v>0.5669875</v>
      </c>
      <c r="K8" s="4">
        <f>VLOOKUP($B8,'Yards Allowed per Play'!$B:$D,3,false)</f>
        <v>4.8</v>
      </c>
      <c r="L8" s="4">
        <f>AVERAGE('Yards Allowed per Play'!C$2:C$33)</f>
        <v>5.434375</v>
      </c>
      <c r="M8" s="4">
        <f>VLOOKUP($B8,'D TDs'!$B:$D,3,false)</f>
        <v>0</v>
      </c>
      <c r="N8" s="5">
        <f t="shared" si="1"/>
        <v>30.852</v>
      </c>
    </row>
    <row r="9">
      <c r="A9" s="4">
        <f>VLOOKUP(B9,map!B:C,2,false)</f>
        <v>22</v>
      </c>
      <c r="B9" s="4" t="str">
        <f>IFERROR(__xludf.DUMMYFUNCTION("""COMPUTED_VALUE"""),"New England")</f>
        <v>New England</v>
      </c>
      <c r="C9" s="4">
        <f>VLOOKUP($B9,Turnovers!$B:$D,3,false)</f>
        <v>1.3</v>
      </c>
      <c r="D9" s="4">
        <f>VLOOKUP($B9,Takeaways!$B:$D,3,false)</f>
        <v>0.3</v>
      </c>
      <c r="E9" s="4">
        <f>VLOOKUP($B9,YPP!$B:$D,3,false)</f>
        <v>4.6</v>
      </c>
      <c r="F9" s="4">
        <f>AVERAGE(YPP!C$2:C$33)</f>
        <v>5.43125</v>
      </c>
      <c r="G9" s="8">
        <f>VLOOKUP($B9,'3rd Down Conversion Rate'!$B:$D,3,false)</f>
        <v>0.4</v>
      </c>
      <c r="H9" s="8">
        <f>AVERAGE('3rd Down Conversion Rate'!C$2:C$33)</f>
        <v>0.387028125</v>
      </c>
      <c r="I9" s="8">
        <f>VLOOKUP($B9,'RZ TD %'!$B:$D,3,false)</f>
        <v>0.8571</v>
      </c>
      <c r="J9" s="9">
        <f>AVERAGE('RZ TD %'!C$2:C$33)</f>
        <v>0.5669875</v>
      </c>
      <c r="K9" s="4">
        <f>VLOOKUP($B9,'Yards Allowed per Play'!$B:$D,3,false)</f>
        <v>6</v>
      </c>
      <c r="L9" s="4">
        <f>AVERAGE('Yards Allowed per Play'!C$2:C$33)</f>
        <v>5.434375</v>
      </c>
      <c r="M9" s="4">
        <f>VLOOKUP($B9,'D TDs'!$B:$D,3,false)</f>
        <v>0</v>
      </c>
      <c r="N9" s="5">
        <f t="shared" si="1"/>
        <v>18.131</v>
      </c>
    </row>
    <row r="10">
      <c r="A10" s="4">
        <f>VLOOKUP(B10,map!B:C,2,false)</f>
        <v>4</v>
      </c>
      <c r="B10" s="4" t="str">
        <f>IFERROR(__xludf.DUMMYFUNCTION("""COMPUTED_VALUE"""),"Cincinnati")</f>
        <v>Cincinnati</v>
      </c>
      <c r="C10" s="4">
        <f>VLOOKUP($B10,Turnovers!$B:$D,3,false)</f>
        <v>1</v>
      </c>
      <c r="D10" s="4">
        <f>VLOOKUP($B10,Takeaways!$B:$D,3,false)</f>
        <v>1</v>
      </c>
      <c r="E10" s="4">
        <f>VLOOKUP($B10,YPP!$B:$D,3,false)</f>
        <v>5</v>
      </c>
      <c r="F10" s="4">
        <f>AVERAGE(YPP!C$2:C$33)</f>
        <v>5.43125</v>
      </c>
      <c r="G10" s="8">
        <f>VLOOKUP($B10,'3rd Down Conversion Rate'!$B:$D,3,false)</f>
        <v>0.4324</v>
      </c>
      <c r="H10" s="8">
        <f>AVERAGE('3rd Down Conversion Rate'!C$2:C$33)</f>
        <v>0.387028125</v>
      </c>
      <c r="I10" s="8">
        <f>VLOOKUP($B10,'RZ TD %'!$B:$D,3,false)</f>
        <v>0.6</v>
      </c>
      <c r="J10" s="9">
        <f>AVERAGE('RZ TD %'!C$2:C$33)</f>
        <v>0.5669875</v>
      </c>
      <c r="K10" s="4">
        <f>VLOOKUP($B10,'Yards Allowed per Play'!$B:$D,3,false)</f>
        <v>5</v>
      </c>
      <c r="L10" s="4">
        <f>AVERAGE('Yards Allowed per Play'!C$2:C$33)</f>
        <v>5.434375</v>
      </c>
      <c r="M10" s="4">
        <f>VLOOKUP($B10,'D TDs'!$B:$D,3,false)</f>
        <v>0</v>
      </c>
      <c r="N10" s="5">
        <f t="shared" si="1"/>
        <v>24.7515</v>
      </c>
    </row>
    <row r="11">
      <c r="A11" s="4">
        <f>VLOOKUP(B11,map!B:C,2,false)</f>
        <v>6</v>
      </c>
      <c r="B11" s="4" t="str">
        <f>IFERROR(__xludf.DUMMYFUNCTION("""COMPUTED_VALUE"""),"Jacksonville")</f>
        <v>Jacksonville</v>
      </c>
      <c r="C11" s="4">
        <f>VLOOKUP($B11,Turnovers!$B:$D,3,false)</f>
        <v>1.3</v>
      </c>
      <c r="D11" s="4">
        <f>VLOOKUP($B11,Takeaways!$B:$D,3,false)</f>
        <v>0.7</v>
      </c>
      <c r="E11" s="4">
        <f>VLOOKUP($B11,YPP!$B:$D,3,false)</f>
        <v>5.9</v>
      </c>
      <c r="F11" s="4">
        <f>AVERAGE(YPP!C$2:C$33)</f>
        <v>5.43125</v>
      </c>
      <c r="G11" s="8">
        <f>VLOOKUP($B11,'3rd Down Conversion Rate'!$B:$D,3,false)</f>
        <v>0.4118</v>
      </c>
      <c r="H11" s="8">
        <f>AVERAGE('3rd Down Conversion Rate'!C$2:C$33)</f>
        <v>0.387028125</v>
      </c>
      <c r="I11" s="8">
        <f>VLOOKUP($B11,'RZ TD %'!$B:$D,3,false)</f>
        <v>0.7273</v>
      </c>
      <c r="J11" s="9">
        <f>AVERAGE('RZ TD %'!C$2:C$33)</f>
        <v>0.5669875</v>
      </c>
      <c r="K11" s="4">
        <f>VLOOKUP($B11,'Yards Allowed per Play'!$B:$D,3,false)</f>
        <v>6</v>
      </c>
      <c r="L11" s="4">
        <f>AVERAGE('Yards Allowed per Play'!C$2:C$33)</f>
        <v>5.434375</v>
      </c>
      <c r="M11" s="4">
        <f>VLOOKUP($B11,'D TDs'!$B:$D,3,false)</f>
        <v>0</v>
      </c>
      <c r="N11" s="5">
        <f t="shared" si="1"/>
        <v>24.522</v>
      </c>
    </row>
    <row r="12">
      <c r="A12" s="4">
        <f>VLOOKUP(B12,map!B:C,2,false)</f>
        <v>19</v>
      </c>
      <c r="B12" s="4" t="str">
        <f>IFERROR(__xludf.DUMMYFUNCTION("""COMPUTED_VALUE"""),"NY Jets")</f>
        <v>NY Jets</v>
      </c>
      <c r="C12" s="4">
        <f>VLOOKUP($B12,Turnovers!$B:$D,3,false)</f>
        <v>1</v>
      </c>
      <c r="D12" s="4">
        <f>VLOOKUP($B12,Takeaways!$B:$D,3,false)</f>
        <v>0</v>
      </c>
      <c r="E12" s="4">
        <f>VLOOKUP($B12,YPP!$B:$D,3,false)</f>
        <v>6.2</v>
      </c>
      <c r="F12" s="4">
        <f>AVERAGE(YPP!C$2:C$33)</f>
        <v>5.43125</v>
      </c>
      <c r="G12" s="8">
        <f>VLOOKUP($B12,'3rd Down Conversion Rate'!$B:$D,3,false)</f>
        <v>0.3438</v>
      </c>
      <c r="H12" s="8">
        <f>AVERAGE('3rd Down Conversion Rate'!C$2:C$33)</f>
        <v>0.387028125</v>
      </c>
      <c r="I12" s="8">
        <f>VLOOKUP($B12,'RZ TD %'!$B:$D,3,false)</f>
        <v>0.5</v>
      </c>
      <c r="J12" s="9">
        <f>AVERAGE('RZ TD %'!C$2:C$33)</f>
        <v>0.5669875</v>
      </c>
      <c r="K12" s="4">
        <f>VLOOKUP($B12,'Yards Allowed per Play'!$B:$D,3,false)</f>
        <v>5.4</v>
      </c>
      <c r="L12" s="4">
        <f>AVERAGE('Yards Allowed per Play'!C$2:C$33)</f>
        <v>5.434375</v>
      </c>
      <c r="M12" s="4">
        <f>VLOOKUP($B12,'D TDs'!$B:$D,3,false)</f>
        <v>0</v>
      </c>
      <c r="N12" s="5">
        <f t="shared" si="1"/>
        <v>21.2795</v>
      </c>
    </row>
    <row r="13">
      <c r="A13" s="4">
        <f>VLOOKUP(B13,map!B:C,2,false)</f>
        <v>16</v>
      </c>
      <c r="B13" s="4" t="str">
        <f>IFERROR(__xludf.DUMMYFUNCTION("""COMPUTED_VALUE"""),"Cleveland")</f>
        <v>Cleveland</v>
      </c>
      <c r="C13" s="4">
        <f>VLOOKUP($B13,Turnovers!$B:$D,3,false)</f>
        <v>1</v>
      </c>
      <c r="D13" s="4">
        <f>VLOOKUP($B13,Takeaways!$B:$D,3,false)</f>
        <v>0</v>
      </c>
      <c r="E13" s="4">
        <f>VLOOKUP($B13,YPP!$B:$D,3,false)</f>
        <v>5</v>
      </c>
      <c r="F13" s="4">
        <f>AVERAGE(YPP!C$2:C$33)</f>
        <v>5.43125</v>
      </c>
      <c r="G13" s="8">
        <f>VLOOKUP($B13,'3rd Down Conversion Rate'!$B:$D,3,false)</f>
        <v>0.413</v>
      </c>
      <c r="H13" s="8">
        <f>AVERAGE('3rd Down Conversion Rate'!C$2:C$33)</f>
        <v>0.387028125</v>
      </c>
      <c r="I13" s="8">
        <f>VLOOKUP($B13,'RZ TD %'!$B:$D,3,false)</f>
        <v>0.4</v>
      </c>
      <c r="J13" s="9">
        <f>AVERAGE('RZ TD %'!C$2:C$33)</f>
        <v>0.5669875</v>
      </c>
      <c r="K13" s="4">
        <f>VLOOKUP($B13,'Yards Allowed per Play'!$B:$D,3,false)</f>
        <v>5.5</v>
      </c>
      <c r="L13" s="4">
        <f>AVERAGE('Yards Allowed per Play'!C$2:C$33)</f>
        <v>5.434375</v>
      </c>
      <c r="M13" s="4">
        <f>VLOOKUP($B13,'D TDs'!$B:$D,3,false)</f>
        <v>0</v>
      </c>
      <c r="N13" s="5">
        <f t="shared" si="1"/>
        <v>12.3635</v>
      </c>
    </row>
    <row r="14">
      <c r="A14" s="4">
        <f>VLOOKUP(B14,map!B:C,2,false)</f>
        <v>21</v>
      </c>
      <c r="B14" s="4" t="str">
        <f>IFERROR(__xludf.DUMMYFUNCTION("""COMPUTED_VALUE"""),"Arizona")</f>
        <v>Arizona</v>
      </c>
      <c r="C14" s="4">
        <f>VLOOKUP($B14,Turnovers!$B:$D,3,false)</f>
        <v>1.3</v>
      </c>
      <c r="D14" s="4">
        <f>VLOOKUP($B14,Takeaways!$B:$D,3,false)</f>
        <v>1</v>
      </c>
      <c r="E14" s="4">
        <f>VLOOKUP($B14,YPP!$B:$D,3,false)</f>
        <v>5.9</v>
      </c>
      <c r="F14" s="4">
        <f>AVERAGE(YPP!C$2:C$33)</f>
        <v>5.43125</v>
      </c>
      <c r="G14" s="8">
        <f>VLOOKUP($B14,'3rd Down Conversion Rate'!$B:$D,3,false)</f>
        <v>0.4333</v>
      </c>
      <c r="H14" s="8">
        <f>AVERAGE('3rd Down Conversion Rate'!C$2:C$33)</f>
        <v>0.387028125</v>
      </c>
      <c r="I14" s="8">
        <f>VLOOKUP($B14,'RZ TD %'!$B:$D,3,false)</f>
        <v>0.5</v>
      </c>
      <c r="J14" s="9">
        <f>AVERAGE('RZ TD %'!C$2:C$33)</f>
        <v>0.5669875</v>
      </c>
      <c r="K14" s="4">
        <f>VLOOKUP($B14,'Yards Allowed per Play'!$B:$D,3,false)</f>
        <v>6.1</v>
      </c>
      <c r="L14" s="4">
        <f>AVERAGE('Yards Allowed per Play'!C$2:C$33)</f>
        <v>5.434375</v>
      </c>
      <c r="M14" s="4">
        <f>VLOOKUP($B14,'D TDs'!$B:$D,3,false)</f>
        <v>0</v>
      </c>
      <c r="N14" s="5">
        <f t="shared" si="1"/>
        <v>19.8695</v>
      </c>
    </row>
    <row r="15">
      <c r="A15" s="4">
        <f>VLOOKUP(B15,map!B:C,2,false)</f>
        <v>31</v>
      </c>
      <c r="B15" s="4" t="str">
        <f>IFERROR(__xludf.DUMMYFUNCTION("""COMPUTED_VALUE"""),"Chicago")</f>
        <v>Chicago</v>
      </c>
      <c r="C15" s="4">
        <f>VLOOKUP($B15,Turnovers!$B:$D,3,false)</f>
        <v>0.7</v>
      </c>
      <c r="D15" s="4">
        <f>VLOOKUP($B15,Takeaways!$B:$D,3,false)</f>
        <v>1.7</v>
      </c>
      <c r="E15" s="4">
        <f>VLOOKUP($B15,YPP!$B:$D,3,false)</f>
        <v>5.8</v>
      </c>
      <c r="F15" s="4">
        <f>AVERAGE(YPP!C$2:C$33)</f>
        <v>5.43125</v>
      </c>
      <c r="G15" s="8">
        <f>VLOOKUP($B15,'3rd Down Conversion Rate'!$B:$D,3,false)</f>
        <v>0.3235</v>
      </c>
      <c r="H15" s="8">
        <f>AVERAGE('3rd Down Conversion Rate'!C$2:C$33)</f>
        <v>0.387028125</v>
      </c>
      <c r="I15" s="8">
        <f>VLOOKUP($B15,'RZ TD %'!$B:$D,3,false)</f>
        <v>0.8</v>
      </c>
      <c r="J15" s="9">
        <f>AVERAGE('RZ TD %'!C$2:C$33)</f>
        <v>0.5669875</v>
      </c>
      <c r="K15" s="4">
        <f>VLOOKUP($B15,'Yards Allowed per Play'!$B:$D,3,false)</f>
        <v>5.5</v>
      </c>
      <c r="L15" s="4">
        <f>AVERAGE('Yards Allowed per Play'!C$2:C$33)</f>
        <v>5.434375</v>
      </c>
      <c r="M15" s="4">
        <f>VLOOKUP($B15,'D TDs'!$B:$D,3,false)</f>
        <v>0</v>
      </c>
      <c r="N15" s="5">
        <f t="shared" si="1"/>
        <v>33.3735</v>
      </c>
    </row>
    <row r="16">
      <c r="A16" s="4">
        <f>VLOOKUP(B16,map!B:C,2,false)</f>
        <v>10</v>
      </c>
      <c r="B16" s="4" t="str">
        <f>IFERROR(__xludf.DUMMYFUNCTION("""COMPUTED_VALUE"""),"Miami")</f>
        <v>Miami</v>
      </c>
      <c r="C16" s="4">
        <f>VLOOKUP($B16,Turnovers!$B:$D,3,false)</f>
        <v>1.3</v>
      </c>
      <c r="D16" s="4">
        <f>VLOOKUP($B16,Takeaways!$B:$D,3,false)</f>
        <v>0.3</v>
      </c>
      <c r="E16" s="4">
        <f>VLOOKUP($B16,YPP!$B:$D,3,false)</f>
        <v>5.2</v>
      </c>
      <c r="F16" s="4">
        <f>AVERAGE(YPP!C$2:C$33)</f>
        <v>5.43125</v>
      </c>
      <c r="G16" s="8">
        <f>VLOOKUP($B16,'3rd Down Conversion Rate'!$B:$D,3,false)</f>
        <v>0.4634</v>
      </c>
      <c r="H16" s="8">
        <f>AVERAGE('3rd Down Conversion Rate'!C$2:C$33)</f>
        <v>0.387028125</v>
      </c>
      <c r="I16" s="8">
        <f>VLOOKUP($B16,'RZ TD %'!$B:$D,3,false)</f>
        <v>0.5556</v>
      </c>
      <c r="J16" s="9">
        <f>AVERAGE('RZ TD %'!C$2:C$33)</f>
        <v>0.5669875</v>
      </c>
      <c r="K16" s="4">
        <f>VLOOKUP($B16,'Yards Allowed per Play'!$B:$D,3,false)</f>
        <v>5.5</v>
      </c>
      <c r="L16" s="4">
        <f>AVERAGE('Yards Allowed per Play'!C$2:C$33)</f>
        <v>5.434375</v>
      </c>
      <c r="M16" s="4">
        <f>VLOOKUP($B16,'D TDs'!$B:$D,3,false)</f>
        <v>0</v>
      </c>
      <c r="N16" s="5">
        <f t="shared" si="1"/>
        <v>18.4615</v>
      </c>
    </row>
    <row r="17">
      <c r="A17" s="4">
        <f>VLOOKUP(B17,map!B:C,2,false)</f>
        <v>26</v>
      </c>
      <c r="B17" s="4" t="str">
        <f>IFERROR(__xludf.DUMMYFUNCTION("""COMPUTED_VALUE"""),"NY Giants")</f>
        <v>NY Giants</v>
      </c>
      <c r="C17" s="4">
        <f>VLOOKUP($B17,Turnovers!$B:$D,3,false)</f>
        <v>0.7</v>
      </c>
      <c r="D17" s="4">
        <f>VLOOKUP($B17,Takeaways!$B:$D,3,false)</f>
        <v>0.7</v>
      </c>
      <c r="E17" s="4">
        <f>VLOOKUP($B17,YPP!$B:$D,3,false)</f>
        <v>4.2</v>
      </c>
      <c r="F17" s="4">
        <f>AVERAGE(YPP!C$2:C$33)</f>
        <v>5.43125</v>
      </c>
      <c r="G17" s="8">
        <f>VLOOKUP($B17,'3rd Down Conversion Rate'!$B:$D,3,false)</f>
        <v>0.3333</v>
      </c>
      <c r="H17" s="8">
        <f>AVERAGE('3rd Down Conversion Rate'!C$2:C$33)</f>
        <v>0.387028125</v>
      </c>
      <c r="I17" s="8">
        <f>VLOOKUP($B17,'RZ TD %'!$B:$D,3,false)</f>
        <v>0.2857</v>
      </c>
      <c r="J17" s="9">
        <f>AVERAGE('RZ TD %'!C$2:C$33)</f>
        <v>0.5669875</v>
      </c>
      <c r="K17" s="4">
        <f>VLOOKUP($B17,'Yards Allowed per Play'!$B:$D,3,false)</f>
        <v>5.6</v>
      </c>
      <c r="L17" s="4">
        <f>AVERAGE('Yards Allowed per Play'!C$2:C$33)</f>
        <v>5.434375</v>
      </c>
      <c r="M17" s="4">
        <f>VLOOKUP($B17,'D TDs'!$B:$D,3,false)</f>
        <v>0</v>
      </c>
      <c r="N17" s="5">
        <f t="shared" si="1"/>
        <v>6.512</v>
      </c>
    </row>
    <row r="18">
      <c r="A18" s="4">
        <f>VLOOKUP(B18,map!B:C,2,false)</f>
        <v>18</v>
      </c>
      <c r="B18" s="4" t="str">
        <f>IFERROR(__xludf.DUMMYFUNCTION("""COMPUTED_VALUE"""),"LA Rams")</f>
        <v>LA Rams</v>
      </c>
      <c r="C18" s="4">
        <f>VLOOKUP($B18,Turnovers!$B:$D,3,false)</f>
        <v>1.3</v>
      </c>
      <c r="D18" s="4">
        <f>VLOOKUP($B18,Takeaways!$B:$D,3,false)</f>
        <v>1.7</v>
      </c>
      <c r="E18" s="4">
        <f>VLOOKUP($B18,YPP!$B:$D,3,false)</f>
        <v>5.2</v>
      </c>
      <c r="F18" s="4">
        <f>AVERAGE(YPP!C$2:C$33)</f>
        <v>5.43125</v>
      </c>
      <c r="G18" s="8">
        <f>VLOOKUP($B18,'3rd Down Conversion Rate'!$B:$D,3,false)</f>
        <v>0.3889</v>
      </c>
      <c r="H18" s="8">
        <f>AVERAGE('3rd Down Conversion Rate'!C$2:C$33)</f>
        <v>0.387028125</v>
      </c>
      <c r="I18" s="8">
        <f>VLOOKUP($B18,'RZ TD %'!$B:$D,3,false)</f>
        <v>0.7778</v>
      </c>
      <c r="J18" s="9">
        <f>AVERAGE('RZ TD %'!C$2:C$33)</f>
        <v>0.5669875</v>
      </c>
      <c r="K18" s="4">
        <f>VLOOKUP($B18,'Yards Allowed per Play'!$B:$D,3,false)</f>
        <v>5</v>
      </c>
      <c r="L18" s="4">
        <f>AVERAGE('Yards Allowed per Play'!C$2:C$33)</f>
        <v>5.434375</v>
      </c>
      <c r="M18" s="4">
        <f>VLOOKUP($B18,'D TDs'!$B:$D,3,false)</f>
        <v>0.7</v>
      </c>
      <c r="N18" s="5">
        <f t="shared" si="1"/>
        <v>36.0265</v>
      </c>
    </row>
    <row r="19">
      <c r="A19" s="4">
        <f>VLOOKUP(B19,map!B:C,2,false)</f>
        <v>12</v>
      </c>
      <c r="B19" s="4" t="str">
        <f>IFERROR(__xludf.DUMMYFUNCTION("""COMPUTED_VALUE"""),"Philadelphia")</f>
        <v>Philadelphia</v>
      </c>
      <c r="C19" s="4">
        <f>VLOOKUP($B19,Turnovers!$B:$D,3,false)</f>
        <v>0</v>
      </c>
      <c r="D19" s="4">
        <f>VLOOKUP($B19,Takeaways!$B:$D,3,false)</f>
        <v>0.7</v>
      </c>
      <c r="E19" s="4">
        <f>VLOOKUP($B19,YPP!$B:$D,3,false)</f>
        <v>6</v>
      </c>
      <c r="F19" s="4">
        <f>AVERAGE(YPP!C$2:C$33)</f>
        <v>5.43125</v>
      </c>
      <c r="G19" s="8">
        <f>VLOOKUP($B19,'3rd Down Conversion Rate'!$B:$D,3,false)</f>
        <v>0.3158</v>
      </c>
      <c r="H19" s="8">
        <f>AVERAGE('3rd Down Conversion Rate'!C$2:C$33)</f>
        <v>0.387028125</v>
      </c>
      <c r="I19" s="8">
        <f>VLOOKUP($B19,'RZ TD %'!$B:$D,3,false)</f>
        <v>0.6667</v>
      </c>
      <c r="J19" s="9">
        <f>AVERAGE('RZ TD %'!C$2:C$33)</f>
        <v>0.5669875</v>
      </c>
      <c r="K19" s="4">
        <f>VLOOKUP($B19,'Yards Allowed per Play'!$B:$D,3,false)</f>
        <v>3.9</v>
      </c>
      <c r="L19" s="4">
        <f>AVERAGE('Yards Allowed per Play'!C$2:C$33)</f>
        <v>5.434375</v>
      </c>
      <c r="M19" s="4">
        <f>VLOOKUP($B19,'D TDs'!$B:$D,3,false)</f>
        <v>0</v>
      </c>
      <c r="N19" s="5">
        <f t="shared" si="1"/>
        <v>39.487</v>
      </c>
    </row>
    <row r="20">
      <c r="A20" s="4">
        <f>VLOOKUP(B20,map!B:C,2,false)</f>
        <v>28</v>
      </c>
      <c r="B20" s="4" t="str">
        <f>IFERROR(__xludf.DUMMYFUNCTION("""COMPUTED_VALUE"""),"Atlanta")</f>
        <v>Atlanta</v>
      </c>
      <c r="C20" s="4">
        <f>VLOOKUP($B20,Turnovers!$B:$D,3,false)</f>
        <v>1.3</v>
      </c>
      <c r="D20" s="4">
        <f>VLOOKUP($B20,Takeaways!$B:$D,3,false)</f>
        <v>1.7</v>
      </c>
      <c r="E20" s="4">
        <f>VLOOKUP($B20,YPP!$B:$D,3,false)</f>
        <v>6</v>
      </c>
      <c r="F20" s="4">
        <f>AVERAGE(YPP!C$2:C$33)</f>
        <v>5.43125</v>
      </c>
      <c r="G20" s="8">
        <f>VLOOKUP($B20,'3rd Down Conversion Rate'!$B:$D,3,false)</f>
        <v>0.5128</v>
      </c>
      <c r="H20" s="8">
        <f>AVERAGE('3rd Down Conversion Rate'!C$2:C$33)</f>
        <v>0.387028125</v>
      </c>
      <c r="I20" s="8">
        <f>VLOOKUP($B20,'RZ TD %'!$B:$D,3,false)</f>
        <v>0.6364</v>
      </c>
      <c r="J20" s="9">
        <f>AVERAGE('RZ TD %'!C$2:C$33)</f>
        <v>0.5669875</v>
      </c>
      <c r="K20" s="4">
        <f>VLOOKUP($B20,'Yards Allowed per Play'!$B:$D,3,false)</f>
        <v>5.8</v>
      </c>
      <c r="L20" s="4">
        <f>AVERAGE('Yards Allowed per Play'!C$2:C$33)</f>
        <v>5.434375</v>
      </c>
      <c r="M20" s="4">
        <f>VLOOKUP($B20,'D TDs'!$B:$D,3,false)</f>
        <v>0</v>
      </c>
      <c r="N20" s="5">
        <f t="shared" si="1"/>
        <v>30.0695</v>
      </c>
    </row>
    <row r="21">
      <c r="A21" s="4">
        <f>VLOOKUP(B21,map!B:C,2,false)</f>
        <v>20</v>
      </c>
      <c r="B21" s="4" t="str">
        <f>IFERROR(__xludf.DUMMYFUNCTION("""COMPUTED_VALUE"""),"Indianapolis")</f>
        <v>Indianapolis</v>
      </c>
      <c r="C21" s="4">
        <f>VLOOKUP($B21,Turnovers!$B:$D,3,false)</f>
        <v>1.3</v>
      </c>
      <c r="D21" s="4">
        <f>VLOOKUP($B21,Takeaways!$B:$D,3,false)</f>
        <v>1.3</v>
      </c>
      <c r="E21" s="4">
        <f>VLOOKUP($B21,YPP!$B:$D,3,false)</f>
        <v>4.5</v>
      </c>
      <c r="F21" s="4">
        <f>AVERAGE(YPP!C$2:C$33)</f>
        <v>5.43125</v>
      </c>
      <c r="G21" s="8">
        <f>VLOOKUP($B21,'3rd Down Conversion Rate'!$B:$D,3,false)</f>
        <v>0.3171</v>
      </c>
      <c r="H21" s="8">
        <f>AVERAGE('3rd Down Conversion Rate'!C$2:C$33)</f>
        <v>0.387028125</v>
      </c>
      <c r="I21" s="8">
        <f>VLOOKUP($B21,'RZ TD %'!$B:$D,3,false)</f>
        <v>0.375</v>
      </c>
      <c r="J21" s="9">
        <f>AVERAGE('RZ TD %'!C$2:C$33)</f>
        <v>0.5669875</v>
      </c>
      <c r="K21" s="4">
        <f>VLOOKUP($B21,'Yards Allowed per Play'!$B:$D,3,false)</f>
        <v>4.9</v>
      </c>
      <c r="L21" s="4">
        <f>AVERAGE('Yards Allowed per Play'!C$2:C$33)</f>
        <v>5.434375</v>
      </c>
      <c r="M21" s="4">
        <f>VLOOKUP($B21,'D TDs'!$B:$D,3,false)</f>
        <v>0</v>
      </c>
      <c r="N21" s="5">
        <f t="shared" si="1"/>
        <v>14.4205</v>
      </c>
    </row>
    <row r="22">
      <c r="A22" s="4">
        <f>VLOOKUP(B22,map!B:C,2,false)</f>
        <v>9</v>
      </c>
      <c r="B22" s="4" t="str">
        <f>IFERROR(__xludf.DUMMYFUNCTION("""COMPUTED_VALUE"""),"New Orleans")</f>
        <v>New Orleans</v>
      </c>
      <c r="C22" s="4">
        <f>VLOOKUP($B22,Turnovers!$B:$D,3,false)</f>
        <v>1.7</v>
      </c>
      <c r="D22" s="4">
        <f>VLOOKUP($B22,Takeaways!$B:$D,3,false)</f>
        <v>1.3</v>
      </c>
      <c r="E22" s="4">
        <f>VLOOKUP($B22,YPP!$B:$D,3,false)</f>
        <v>4.7</v>
      </c>
      <c r="F22" s="4">
        <f>AVERAGE(YPP!C$2:C$33)</f>
        <v>5.43125</v>
      </c>
      <c r="G22" s="8">
        <f>VLOOKUP($B22,'3rd Down Conversion Rate'!$B:$D,3,false)</f>
        <v>0.2391</v>
      </c>
      <c r="H22" s="8">
        <f>AVERAGE('3rd Down Conversion Rate'!C$2:C$33)</f>
        <v>0.387028125</v>
      </c>
      <c r="I22" s="8">
        <f>VLOOKUP($B22,'RZ TD %'!$B:$D,3,false)</f>
        <v>0.4286</v>
      </c>
      <c r="J22" s="9">
        <f>AVERAGE('RZ TD %'!C$2:C$33)</f>
        <v>0.5669875</v>
      </c>
      <c r="K22" s="4">
        <f>VLOOKUP($B22,'Yards Allowed per Play'!$B:$D,3,false)</f>
        <v>6.9</v>
      </c>
      <c r="L22" s="4">
        <f>AVERAGE('Yards Allowed per Play'!C$2:C$33)</f>
        <v>5.434375</v>
      </c>
      <c r="M22" s="4">
        <f>VLOOKUP($B22,'D TDs'!$B:$D,3,false)</f>
        <v>0</v>
      </c>
      <c r="N22" s="5">
        <f t="shared" si="1"/>
        <v>1.8005</v>
      </c>
    </row>
    <row r="23">
      <c r="A23" s="4">
        <f>VLOOKUP(B23,map!B:C,2,false)</f>
        <v>25</v>
      </c>
      <c r="B23" s="4" t="str">
        <f>IFERROR(__xludf.DUMMYFUNCTION("""COMPUTED_VALUE"""),"San Francisco")</f>
        <v>San Francisco</v>
      </c>
      <c r="C23" s="4">
        <f>VLOOKUP($B23,Turnovers!$B:$D,3,false)</f>
        <v>1</v>
      </c>
      <c r="D23" s="4">
        <f>VLOOKUP($B23,Takeaways!$B:$D,3,false)</f>
        <v>2.3</v>
      </c>
      <c r="E23" s="4">
        <f>VLOOKUP($B23,YPP!$B:$D,3,false)</f>
        <v>7</v>
      </c>
      <c r="F23" s="4">
        <f>AVERAGE(YPP!C$2:C$33)</f>
        <v>5.43125</v>
      </c>
      <c r="G23" s="8">
        <f>VLOOKUP($B23,'3rd Down Conversion Rate'!$B:$D,3,false)</f>
        <v>0.3846</v>
      </c>
      <c r="H23" s="8">
        <f>AVERAGE('3rd Down Conversion Rate'!C$2:C$33)</f>
        <v>0.387028125</v>
      </c>
      <c r="I23" s="8">
        <f>VLOOKUP($B23,'RZ TD %'!$B:$D,3,false)</f>
        <v>0.6154</v>
      </c>
      <c r="J23" s="9">
        <f>AVERAGE('RZ TD %'!C$2:C$33)</f>
        <v>0.5669875</v>
      </c>
      <c r="K23" s="4">
        <f>VLOOKUP($B23,'Yards Allowed per Play'!$B:$D,3,false)</f>
        <v>4.9</v>
      </c>
      <c r="L23" s="4">
        <f>AVERAGE('Yards Allowed per Play'!C$2:C$33)</f>
        <v>5.434375</v>
      </c>
      <c r="M23" s="4">
        <f>VLOOKUP($B23,'D TDs'!$B:$D,3,false)</f>
        <v>0</v>
      </c>
      <c r="N23" s="5">
        <f t="shared" si="1"/>
        <v>41.9805</v>
      </c>
    </row>
    <row r="24">
      <c r="A24" s="4">
        <f>VLOOKUP(B24,map!B:C,2,false)</f>
        <v>3</v>
      </c>
      <c r="B24" s="4" t="str">
        <f>IFERROR(__xludf.DUMMYFUNCTION("""COMPUTED_VALUE"""),"Minnesota")</f>
        <v>Minnesota</v>
      </c>
      <c r="C24" s="4">
        <f>VLOOKUP($B24,Turnovers!$B:$D,3,false)</f>
        <v>1</v>
      </c>
      <c r="D24" s="4">
        <f>VLOOKUP($B24,Takeaways!$B:$D,3,false)</f>
        <v>1.7</v>
      </c>
      <c r="E24" s="4">
        <f>VLOOKUP($B24,YPP!$B:$D,3,false)</f>
        <v>5.4</v>
      </c>
      <c r="F24" s="4">
        <f>AVERAGE(YPP!C$2:C$33)</f>
        <v>5.43125</v>
      </c>
      <c r="G24" s="8">
        <f>VLOOKUP($B24,'3rd Down Conversion Rate'!$B:$D,3,false)</f>
        <v>0.3333</v>
      </c>
      <c r="H24" s="8">
        <f>AVERAGE('3rd Down Conversion Rate'!C$2:C$33)</f>
        <v>0.387028125</v>
      </c>
      <c r="I24" s="8">
        <f>VLOOKUP($B24,'RZ TD %'!$B:$D,3,false)</f>
        <v>0.6</v>
      </c>
      <c r="J24" s="9">
        <f>AVERAGE('RZ TD %'!C$2:C$33)</f>
        <v>0.5669875</v>
      </c>
      <c r="K24" s="4">
        <f>VLOOKUP($B24,'Yards Allowed per Play'!$B:$D,3,false)</f>
        <v>5.3</v>
      </c>
      <c r="L24" s="4">
        <f>AVERAGE('Yards Allowed per Play'!C$2:C$33)</f>
        <v>5.434375</v>
      </c>
      <c r="M24" s="4">
        <f>VLOOKUP($B24,'D TDs'!$B:$D,3,false)</f>
        <v>0.7</v>
      </c>
      <c r="N24" s="5">
        <f t="shared" si="1"/>
        <v>31.0695</v>
      </c>
    </row>
    <row r="25">
      <c r="A25" s="4">
        <f>VLOOKUP(B25,map!B:C,2,false)</f>
        <v>14</v>
      </c>
      <c r="B25" s="4" t="str">
        <f>IFERROR(__xludf.DUMMYFUNCTION("""COMPUTED_VALUE"""),"Tampa Bay")</f>
        <v>Tampa Bay</v>
      </c>
      <c r="C25" s="4">
        <f>VLOOKUP($B25,Turnovers!$B:$D,3,false)</f>
        <v>2.7</v>
      </c>
      <c r="D25" s="4">
        <f>VLOOKUP($B25,Takeaways!$B:$D,3,false)</f>
        <v>1.3</v>
      </c>
      <c r="E25" s="4">
        <f>VLOOKUP($B25,YPP!$B:$D,3,false)</f>
        <v>6.8</v>
      </c>
      <c r="F25" s="4">
        <f>AVERAGE(YPP!C$2:C$33)</f>
        <v>5.43125</v>
      </c>
      <c r="G25" s="8">
        <f>VLOOKUP($B25,'3rd Down Conversion Rate'!$B:$D,3,false)</f>
        <v>0.6341</v>
      </c>
      <c r="H25" s="8">
        <f>AVERAGE('3rd Down Conversion Rate'!C$2:C$33)</f>
        <v>0.387028125</v>
      </c>
      <c r="I25" s="8">
        <f>VLOOKUP($B25,'RZ TD %'!$B:$D,3,false)</f>
        <v>0.7692</v>
      </c>
      <c r="J25" s="9">
        <f>AVERAGE('RZ TD %'!C$2:C$33)</f>
        <v>0.5669875</v>
      </c>
      <c r="K25" s="4">
        <f>VLOOKUP($B25,'Yards Allowed per Play'!$B:$D,3,false)</f>
        <v>6.7</v>
      </c>
      <c r="L25" s="4">
        <f>AVERAGE('Yards Allowed per Play'!C$2:C$33)</f>
        <v>5.434375</v>
      </c>
      <c r="M25" s="4">
        <f>VLOOKUP($B25,'D TDs'!$B:$D,3,false)</f>
        <v>0.3</v>
      </c>
      <c r="N25" s="5">
        <f t="shared" si="1"/>
        <v>30.1155</v>
      </c>
    </row>
    <row r="26">
      <c r="A26" s="4">
        <f>VLOOKUP(B26,map!B:C,2,false)</f>
        <v>27</v>
      </c>
      <c r="B26" s="4" t="str">
        <f>IFERROR(__xludf.DUMMYFUNCTION("""COMPUTED_VALUE"""),"Denver")</f>
        <v>Denver</v>
      </c>
      <c r="C26" s="4">
        <f>VLOOKUP($B26,Turnovers!$B:$D,3,false)</f>
        <v>1.7</v>
      </c>
      <c r="D26" s="4">
        <f>VLOOKUP($B26,Takeaways!$B:$D,3,false)</f>
        <v>1.3</v>
      </c>
      <c r="E26" s="4">
        <f>VLOOKUP($B26,YPP!$B:$D,3,false)</f>
        <v>5.9</v>
      </c>
      <c r="F26" s="4">
        <f>AVERAGE(YPP!C$2:C$33)</f>
        <v>5.43125</v>
      </c>
      <c r="G26" s="8">
        <f>VLOOKUP($B26,'3rd Down Conversion Rate'!$B:$D,3,false)</f>
        <v>0.4615</v>
      </c>
      <c r="H26" s="8">
        <f>AVERAGE('3rd Down Conversion Rate'!C$2:C$33)</f>
        <v>0.387028125</v>
      </c>
      <c r="I26" s="8">
        <f>VLOOKUP($B26,'RZ TD %'!$B:$D,3,false)</f>
        <v>0.8</v>
      </c>
      <c r="J26" s="9">
        <f>AVERAGE('RZ TD %'!C$2:C$33)</f>
        <v>0.5669875</v>
      </c>
      <c r="K26" s="4">
        <f>VLOOKUP($B26,'Yards Allowed per Play'!$B:$D,3,false)</f>
        <v>4.5</v>
      </c>
      <c r="L26" s="4">
        <f>AVERAGE('Yards Allowed per Play'!C$2:C$33)</f>
        <v>5.434375</v>
      </c>
      <c r="M26" s="4">
        <f>VLOOKUP($B26,'D TDs'!$B:$D,3,false)</f>
        <v>0.3</v>
      </c>
      <c r="N26" s="5">
        <f t="shared" si="1"/>
        <v>39.2335</v>
      </c>
    </row>
    <row r="27">
      <c r="A27" s="4">
        <f>VLOOKUP(B27,map!B:C,2,false)</f>
        <v>15</v>
      </c>
      <c r="B27" s="4" t="str">
        <f>IFERROR(__xludf.DUMMYFUNCTION("""COMPUTED_VALUE"""),"Green Bay")</f>
        <v>Green Bay</v>
      </c>
      <c r="C27" s="4">
        <f>VLOOKUP($B27,Turnovers!$B:$D,3,false)</f>
        <v>1.7</v>
      </c>
      <c r="D27" s="4">
        <f>VLOOKUP($B27,Takeaways!$B:$D,3,false)</f>
        <v>1.7</v>
      </c>
      <c r="E27" s="4">
        <f>VLOOKUP($B27,YPP!$B:$D,3,false)</f>
        <v>5.9</v>
      </c>
      <c r="F27" s="4">
        <f>AVERAGE(YPP!C$2:C$33)</f>
        <v>5.43125</v>
      </c>
      <c r="G27" s="8">
        <f>VLOOKUP($B27,'3rd Down Conversion Rate'!$B:$D,3,false)</f>
        <v>0.4242</v>
      </c>
      <c r="H27" s="8">
        <f>AVERAGE('3rd Down Conversion Rate'!C$2:C$33)</f>
        <v>0.387028125</v>
      </c>
      <c r="I27" s="8">
        <f>VLOOKUP($B27,'RZ TD %'!$B:$D,3,false)</f>
        <v>0.5</v>
      </c>
      <c r="J27" s="9">
        <f>AVERAGE('RZ TD %'!C$2:C$33)</f>
        <v>0.5669875</v>
      </c>
      <c r="K27" s="4">
        <f>VLOOKUP($B27,'Yards Allowed per Play'!$B:$D,3,false)</f>
        <v>5.3</v>
      </c>
      <c r="L27" s="4">
        <f>AVERAGE('Yards Allowed per Play'!C$2:C$33)</f>
        <v>5.434375</v>
      </c>
      <c r="M27" s="4">
        <f>VLOOKUP($B27,'D TDs'!$B:$D,3,false)</f>
        <v>0</v>
      </c>
      <c r="N27" s="5">
        <f t="shared" si="1"/>
        <v>25.6875</v>
      </c>
    </row>
    <row r="28">
      <c r="A28" s="4">
        <f>VLOOKUP(B28,map!B:C,2,false)</f>
        <v>13</v>
      </c>
      <c r="B28" s="4" t="str">
        <f>IFERROR(__xludf.DUMMYFUNCTION("""COMPUTED_VALUE"""),"Seattle")</f>
        <v>Seattle</v>
      </c>
      <c r="C28" s="4">
        <f>VLOOKUP($B28,Turnovers!$B:$D,3,false)</f>
        <v>1.7</v>
      </c>
      <c r="D28" s="4">
        <f>VLOOKUP($B28,Takeaways!$B:$D,3,false)</f>
        <v>1.3</v>
      </c>
      <c r="E28" s="4">
        <f>VLOOKUP($B28,YPP!$B:$D,3,false)</f>
        <v>5.3</v>
      </c>
      <c r="F28" s="4">
        <f>AVERAGE(YPP!C$2:C$33)</f>
        <v>5.43125</v>
      </c>
      <c r="G28" s="8">
        <f>VLOOKUP($B28,'3rd Down Conversion Rate'!$B:$D,3,false)</f>
        <v>0.3529</v>
      </c>
      <c r="H28" s="8">
        <f>AVERAGE('3rd Down Conversion Rate'!C$2:C$33)</f>
        <v>0.387028125</v>
      </c>
      <c r="I28" s="8">
        <f>VLOOKUP($B28,'RZ TD %'!$B:$D,3,false)</f>
        <v>0.5</v>
      </c>
      <c r="J28" s="9">
        <f>AVERAGE('RZ TD %'!C$2:C$33)</f>
        <v>0.5669875</v>
      </c>
      <c r="K28" s="4">
        <f>VLOOKUP($B28,'Yards Allowed per Play'!$B:$D,3,false)</f>
        <v>6.5</v>
      </c>
      <c r="L28" s="4">
        <f>AVERAGE('Yards Allowed per Play'!C$2:C$33)</f>
        <v>5.434375</v>
      </c>
      <c r="M28" s="4">
        <f>VLOOKUP($B28,'D TDs'!$B:$D,3,false)</f>
        <v>0.3</v>
      </c>
      <c r="N28" s="5">
        <f t="shared" si="1"/>
        <v>13.9615</v>
      </c>
    </row>
    <row r="29">
      <c r="A29" s="4">
        <f>VLOOKUP(B29,map!B:C,2,false)</f>
        <v>2</v>
      </c>
      <c r="B29" s="4" t="str">
        <f>IFERROR(__xludf.DUMMYFUNCTION("""COMPUTED_VALUE"""),"Kansas City")</f>
        <v>Kansas City</v>
      </c>
      <c r="C29" s="4">
        <f>VLOOKUP($B29,Turnovers!$B:$D,3,false)</f>
        <v>1.3</v>
      </c>
      <c r="D29" s="4">
        <f>VLOOKUP($B29,Takeaways!$B:$D,3,false)</f>
        <v>1.7</v>
      </c>
      <c r="E29" s="4">
        <f>VLOOKUP($B29,YPP!$B:$D,3,false)</f>
        <v>5.2</v>
      </c>
      <c r="F29" s="4">
        <f>AVERAGE(YPP!C$2:C$33)</f>
        <v>5.43125</v>
      </c>
      <c r="G29" s="8">
        <f>VLOOKUP($B29,'3rd Down Conversion Rate'!$B:$D,3,false)</f>
        <v>0.5909</v>
      </c>
      <c r="H29" s="8">
        <f>AVERAGE('3rd Down Conversion Rate'!C$2:C$33)</f>
        <v>0.387028125</v>
      </c>
      <c r="I29" s="8">
        <f>VLOOKUP($B29,'RZ TD %'!$B:$D,3,false)</f>
        <v>0.5625</v>
      </c>
      <c r="J29" s="9">
        <f>AVERAGE('RZ TD %'!C$2:C$33)</f>
        <v>0.5669875</v>
      </c>
      <c r="K29" s="4">
        <f>VLOOKUP($B29,'Yards Allowed per Play'!$B:$D,3,false)</f>
        <v>4.7</v>
      </c>
      <c r="L29" s="4">
        <f>AVERAGE('Yards Allowed per Play'!C$2:C$33)</f>
        <v>5.434375</v>
      </c>
      <c r="M29" s="4">
        <f>VLOOKUP($B29,'D TDs'!$B:$D,3,false)</f>
        <v>0</v>
      </c>
      <c r="N29" s="5">
        <f t="shared" si="1"/>
        <v>31.584</v>
      </c>
    </row>
    <row r="30">
      <c r="A30" s="4">
        <f>VLOOKUP(B30,map!B:C,2,false)</f>
        <v>23</v>
      </c>
      <c r="B30" s="4" t="str">
        <f>IFERROR(__xludf.DUMMYFUNCTION("""COMPUTED_VALUE"""),"Carolina")</f>
        <v>Carolina</v>
      </c>
      <c r="C30" s="4">
        <f>VLOOKUP($B30,Turnovers!$B:$D,3,false)</f>
        <v>2</v>
      </c>
      <c r="D30" s="4">
        <f>VLOOKUP($B30,Takeaways!$B:$D,3,false)</f>
        <v>1</v>
      </c>
      <c r="E30" s="4">
        <f>VLOOKUP($B30,YPP!$B:$D,3,false)</f>
        <v>4.8</v>
      </c>
      <c r="F30" s="4">
        <f>AVERAGE(YPP!C$2:C$33)</f>
        <v>5.43125</v>
      </c>
      <c r="G30" s="8">
        <f>VLOOKUP($B30,'3rd Down Conversion Rate'!$B:$D,3,false)</f>
        <v>0.3714</v>
      </c>
      <c r="H30" s="8">
        <f>AVERAGE('3rd Down Conversion Rate'!C$2:C$33)</f>
        <v>0.387028125</v>
      </c>
      <c r="I30" s="8">
        <f>VLOOKUP($B30,'RZ TD %'!$B:$D,3,false)</f>
        <v>0.7143</v>
      </c>
      <c r="J30" s="9">
        <f>AVERAGE('RZ TD %'!C$2:C$33)</f>
        <v>0.5669875</v>
      </c>
      <c r="K30" s="4">
        <f>VLOOKUP($B30,'Yards Allowed per Play'!$B:$D,3,false)</f>
        <v>6.1</v>
      </c>
      <c r="L30" s="4">
        <f>AVERAGE('Yards Allowed per Play'!C$2:C$33)</f>
        <v>5.434375</v>
      </c>
      <c r="M30" s="4">
        <f>VLOOKUP($B30,'D TDs'!$B:$D,3,false)</f>
        <v>0</v>
      </c>
      <c r="N30" s="5">
        <f t="shared" si="1"/>
        <v>14.589</v>
      </c>
    </row>
    <row r="31">
      <c r="A31" s="4">
        <f>VLOOKUP(B31,map!B:C,2,false)</f>
        <v>1</v>
      </c>
      <c r="B31" s="4" t="str">
        <f>IFERROR(__xludf.DUMMYFUNCTION("""COMPUTED_VALUE"""),"Dallas")</f>
        <v>Dallas</v>
      </c>
      <c r="C31" s="4">
        <f>VLOOKUP($B31,Turnovers!$B:$D,3,false)</f>
        <v>3.3</v>
      </c>
      <c r="D31" s="4">
        <f>VLOOKUP($B31,Takeaways!$B:$D,3,false)</f>
        <v>0.3</v>
      </c>
      <c r="E31" s="4">
        <f>VLOOKUP($B31,YPP!$B:$D,3,false)</f>
        <v>5</v>
      </c>
      <c r="F31" s="4">
        <f>AVERAGE(YPP!C$2:C$33)</f>
        <v>5.43125</v>
      </c>
      <c r="G31" s="8">
        <f>VLOOKUP($B31,'3rd Down Conversion Rate'!$B:$D,3,false)</f>
        <v>0.4</v>
      </c>
      <c r="H31" s="8">
        <f>AVERAGE('3rd Down Conversion Rate'!C$2:C$33)</f>
        <v>0.387028125</v>
      </c>
      <c r="I31" s="8">
        <f>VLOOKUP($B31,'RZ TD %'!$B:$D,3,false)</f>
        <v>0.3</v>
      </c>
      <c r="J31" s="9">
        <f>AVERAGE('RZ TD %'!C$2:C$33)</f>
        <v>0.5669875</v>
      </c>
      <c r="K31" s="4">
        <f>VLOOKUP($B31,'Yards Allowed per Play'!$B:$D,3,false)</f>
        <v>6.3</v>
      </c>
      <c r="L31" s="4">
        <f>AVERAGE('Yards Allowed per Play'!C$2:C$33)</f>
        <v>5.434375</v>
      </c>
      <c r="M31" s="4">
        <f>VLOOKUP($B31,'D TDs'!$B:$D,3,false)</f>
        <v>0</v>
      </c>
      <c r="N31" s="5">
        <f t="shared" si="1"/>
        <v>-3.1965</v>
      </c>
    </row>
    <row r="32">
      <c r="A32" s="4">
        <f>VLOOKUP(B32,map!B:C,2,false)</f>
        <v>24</v>
      </c>
      <c r="B32" s="4" t="str">
        <f>IFERROR(__xludf.DUMMYFUNCTION("""COMPUTED_VALUE"""),"Las Vegas")</f>
        <v>Las Vegas</v>
      </c>
      <c r="C32" s="4">
        <f>VLOOKUP($B32,Turnovers!$B:$D,3,false)</f>
        <v>2.7</v>
      </c>
      <c r="D32" s="4">
        <f>VLOOKUP($B32,Takeaways!$B:$D,3,false)</f>
        <v>0.7</v>
      </c>
      <c r="E32" s="4">
        <f>VLOOKUP($B32,YPP!$B:$D,3,false)</f>
        <v>4.3</v>
      </c>
      <c r="F32" s="4">
        <f>AVERAGE(YPP!C$2:C$33)</f>
        <v>5.43125</v>
      </c>
      <c r="G32" s="8">
        <f>VLOOKUP($B32,'3rd Down Conversion Rate'!$B:$D,3,false)</f>
        <v>0.2821</v>
      </c>
      <c r="H32" s="8">
        <f>AVERAGE('3rd Down Conversion Rate'!C$2:C$33)</f>
        <v>0.387028125</v>
      </c>
      <c r="I32" s="8">
        <f>VLOOKUP($B32,'RZ TD %'!$B:$D,3,false)</f>
        <v>0.4444</v>
      </c>
      <c r="J32" s="9">
        <f>AVERAGE('RZ TD %'!C$2:C$33)</f>
        <v>0.5669875</v>
      </c>
      <c r="K32" s="4">
        <f>VLOOKUP($B32,'Yards Allowed per Play'!$B:$D,3,false)</f>
        <v>4.9</v>
      </c>
      <c r="L32" s="4">
        <f>AVERAGE('Yards Allowed per Play'!C$2:C$33)</f>
        <v>5.434375</v>
      </c>
      <c r="M32" s="4">
        <f>VLOOKUP($B32,'D TDs'!$B:$D,3,false)</f>
        <v>0</v>
      </c>
      <c r="N32" s="5">
        <f t="shared" si="1"/>
        <v>6.2555</v>
      </c>
    </row>
    <row r="33">
      <c r="A33" s="4">
        <f>VLOOKUP(B33,map!B:C,2,false)</f>
        <v>32</v>
      </c>
      <c r="B33" s="4" t="str">
        <f>IFERROR(__xludf.DUMMYFUNCTION("""COMPUTED_VALUE"""),"Tennessee")</f>
        <v>Tennessee</v>
      </c>
      <c r="C33" s="4">
        <f>VLOOKUP($B33,Turnovers!$B:$D,3,false)</f>
        <v>2.3</v>
      </c>
      <c r="D33" s="4">
        <f>VLOOKUP($B33,Takeaways!$B:$D,3,false)</f>
        <v>0.3</v>
      </c>
      <c r="E33" s="4">
        <f>VLOOKUP($B33,YPP!$B:$D,3,false)</f>
        <v>4.9</v>
      </c>
      <c r="F33" s="4">
        <f>AVERAGE(YPP!C$2:C$33)</f>
        <v>5.43125</v>
      </c>
      <c r="G33" s="8">
        <f>VLOOKUP($B33,'3rd Down Conversion Rate'!$B:$D,3,false)</f>
        <v>0.3421</v>
      </c>
      <c r="H33" s="8">
        <f>AVERAGE('3rd Down Conversion Rate'!C$2:C$33)</f>
        <v>0.387028125</v>
      </c>
      <c r="I33" s="8">
        <f>VLOOKUP($B33,'RZ TD %'!$B:$D,3,false)</f>
        <v>0.5556</v>
      </c>
      <c r="J33" s="9">
        <f>AVERAGE('RZ TD %'!C$2:C$33)</f>
        <v>0.5669875</v>
      </c>
      <c r="K33" s="4">
        <f>VLOOKUP($B33,'Yards Allowed per Play'!$B:$D,3,false)</f>
        <v>5.3</v>
      </c>
      <c r="L33" s="4">
        <f>AVERAGE('Yards Allowed per Play'!C$2:C$33)</f>
        <v>5.434375</v>
      </c>
      <c r="M33" s="4">
        <f>VLOOKUP($B33,'D TDs'!$B:$D,3,false)</f>
        <v>0</v>
      </c>
      <c r="N33" s="5">
        <f t="shared" si="1"/>
        <v>11.4355</v>
      </c>
    </row>
    <row r="34">
      <c r="B34" s="4"/>
      <c r="G34" s="8"/>
      <c r="H34" s="8"/>
      <c r="I34" s="8"/>
    </row>
    <row r="35">
      <c r="G35" s="8"/>
      <c r="H35" s="8"/>
      <c r="I35" s="8"/>
    </row>
    <row r="36">
      <c r="G36" s="8"/>
      <c r="H36" s="8"/>
      <c r="I36" s="8"/>
    </row>
    <row r="37">
      <c r="G37" s="8"/>
      <c r="H37" s="8"/>
      <c r="I37" s="8"/>
    </row>
    <row r="38">
      <c r="G38" s="8"/>
      <c r="H38" s="8"/>
      <c r="I38" s="8"/>
    </row>
    <row r="39">
      <c r="G39" s="8"/>
      <c r="H39" s="8"/>
      <c r="I39" s="8"/>
    </row>
    <row r="40">
      <c r="G40" s="8"/>
      <c r="H40" s="8"/>
      <c r="I40" s="8"/>
    </row>
    <row r="41">
      <c r="G41" s="8"/>
      <c r="H41" s="8"/>
      <c r="I41" s="8"/>
    </row>
    <row r="42">
      <c r="G42" s="8"/>
      <c r="H42" s="8"/>
      <c r="I42" s="8"/>
    </row>
    <row r="43">
      <c r="G43" s="8"/>
      <c r="H43" s="8"/>
      <c r="I43" s="8"/>
    </row>
    <row r="44">
      <c r="G44" s="8"/>
      <c r="H44" s="8"/>
      <c r="I44" s="8"/>
    </row>
    <row r="45">
      <c r="G45" s="8"/>
      <c r="H45" s="8"/>
      <c r="I45" s="8"/>
    </row>
    <row r="46">
      <c r="G46" s="8"/>
      <c r="H46" s="8"/>
      <c r="I46" s="8"/>
    </row>
    <row r="47">
      <c r="G47" s="8"/>
      <c r="H47" s="8"/>
      <c r="I47" s="8"/>
    </row>
    <row r="48">
      <c r="G48" s="8"/>
      <c r="H48" s="8"/>
      <c r="I48" s="8"/>
    </row>
    <row r="49">
      <c r="G49" s="8"/>
      <c r="H49" s="8"/>
      <c r="I49" s="8"/>
    </row>
    <row r="50">
      <c r="G50" s="8"/>
      <c r="H50" s="8"/>
      <c r="I50" s="8"/>
    </row>
    <row r="51">
      <c r="G51" s="8"/>
      <c r="H51" s="8"/>
      <c r="I51" s="8"/>
    </row>
    <row r="52">
      <c r="G52" s="8"/>
      <c r="H52" s="8"/>
      <c r="I52" s="8"/>
    </row>
    <row r="53">
      <c r="G53" s="8"/>
      <c r="H53" s="8"/>
      <c r="I53" s="8"/>
    </row>
    <row r="54">
      <c r="G54" s="8"/>
      <c r="H54" s="8"/>
      <c r="I54" s="8"/>
    </row>
    <row r="55">
      <c r="G55" s="8"/>
      <c r="H55" s="8"/>
      <c r="I55" s="8"/>
    </row>
    <row r="56">
      <c r="G56" s="8"/>
      <c r="H56" s="8"/>
      <c r="I56" s="8"/>
    </row>
    <row r="57">
      <c r="G57" s="8"/>
      <c r="H57" s="8"/>
      <c r="I57" s="8"/>
    </row>
    <row r="58">
      <c r="G58" s="8"/>
      <c r="H58" s="8"/>
      <c r="I58" s="8"/>
    </row>
    <row r="59">
      <c r="G59" s="8"/>
      <c r="H59" s="8"/>
      <c r="I59" s="8"/>
    </row>
    <row r="60">
      <c r="G60" s="8"/>
      <c r="H60" s="8"/>
      <c r="I60" s="8"/>
    </row>
    <row r="61">
      <c r="G61" s="8"/>
      <c r="H61" s="8"/>
      <c r="I61" s="8"/>
    </row>
    <row r="62">
      <c r="G62" s="8"/>
      <c r="H62" s="8"/>
      <c r="I62" s="8"/>
    </row>
    <row r="63">
      <c r="G63" s="8"/>
      <c r="H63" s="8"/>
      <c r="I63" s="8"/>
    </row>
    <row r="64">
      <c r="G64" s="8"/>
      <c r="H64" s="8"/>
      <c r="I64" s="8"/>
    </row>
    <row r="65">
      <c r="G65" s="8"/>
      <c r="H65" s="8"/>
      <c r="I65" s="8"/>
    </row>
    <row r="66">
      <c r="G66" s="8"/>
      <c r="H66" s="8"/>
      <c r="I66" s="8"/>
    </row>
    <row r="67">
      <c r="G67" s="8"/>
      <c r="H67" s="8"/>
      <c r="I67" s="8"/>
    </row>
    <row r="68">
      <c r="G68" s="8"/>
      <c r="H68" s="8"/>
      <c r="I68" s="8"/>
    </row>
    <row r="69">
      <c r="G69" s="8"/>
      <c r="H69" s="8"/>
      <c r="I69" s="8"/>
    </row>
    <row r="70">
      <c r="G70" s="8"/>
      <c r="H70" s="8"/>
      <c r="I70" s="8"/>
    </row>
    <row r="71">
      <c r="G71" s="8"/>
      <c r="H71" s="8"/>
      <c r="I71" s="8"/>
    </row>
    <row r="72">
      <c r="G72" s="8"/>
      <c r="H72" s="8"/>
      <c r="I72" s="8"/>
    </row>
    <row r="73">
      <c r="G73" s="8"/>
      <c r="H73" s="8"/>
      <c r="I73" s="8"/>
    </row>
    <row r="74">
      <c r="G74" s="8"/>
      <c r="H74" s="8"/>
      <c r="I74" s="8"/>
    </row>
    <row r="75">
      <c r="G75" s="8"/>
      <c r="H75" s="8"/>
      <c r="I75" s="8"/>
    </row>
    <row r="76">
      <c r="G76" s="8"/>
      <c r="H76" s="8"/>
      <c r="I76" s="8"/>
    </row>
    <row r="77">
      <c r="G77" s="8"/>
      <c r="H77" s="8"/>
      <c r="I77" s="8"/>
    </row>
    <row r="78">
      <c r="G78" s="8"/>
      <c r="H78" s="8"/>
      <c r="I78" s="8"/>
    </row>
    <row r="79">
      <c r="G79" s="8"/>
      <c r="H79" s="8"/>
      <c r="I79" s="8"/>
    </row>
    <row r="80">
      <c r="G80" s="8"/>
      <c r="H80" s="8"/>
      <c r="I80" s="8"/>
    </row>
    <row r="81">
      <c r="G81" s="8"/>
      <c r="H81" s="8"/>
      <c r="I81" s="8"/>
    </row>
    <row r="82">
      <c r="G82" s="8"/>
      <c r="H82" s="8"/>
      <c r="I82" s="8"/>
    </row>
    <row r="83">
      <c r="G83" s="8"/>
      <c r="H83" s="8"/>
      <c r="I83" s="8"/>
    </row>
    <row r="84">
      <c r="G84" s="8"/>
      <c r="H84" s="8"/>
      <c r="I84" s="8"/>
    </row>
    <row r="85">
      <c r="G85" s="8"/>
      <c r="H85" s="8"/>
      <c r="I85" s="8"/>
    </row>
    <row r="86">
      <c r="G86" s="8"/>
      <c r="H86" s="8"/>
      <c r="I86" s="8"/>
    </row>
    <row r="87">
      <c r="G87" s="8"/>
      <c r="H87" s="8"/>
      <c r="I87" s="8"/>
    </row>
    <row r="88">
      <c r="G88" s="8"/>
      <c r="H88" s="8"/>
      <c r="I88" s="8"/>
    </row>
    <row r="89">
      <c r="G89" s="8"/>
      <c r="H89" s="8"/>
      <c r="I89" s="8"/>
    </row>
    <row r="90">
      <c r="G90" s="8"/>
      <c r="H90" s="8"/>
      <c r="I90" s="8"/>
    </row>
    <row r="91">
      <c r="G91" s="8"/>
      <c r="H91" s="8"/>
      <c r="I91" s="8"/>
    </row>
    <row r="92">
      <c r="G92" s="8"/>
      <c r="H92" s="8"/>
      <c r="I92" s="8"/>
    </row>
    <row r="93">
      <c r="G93" s="8"/>
      <c r="H93" s="8"/>
      <c r="I93" s="8"/>
    </row>
    <row r="94">
      <c r="G94" s="8"/>
      <c r="H94" s="8"/>
      <c r="I94" s="8"/>
    </row>
    <row r="95">
      <c r="G95" s="8"/>
      <c r="H95" s="8"/>
      <c r="I95" s="8"/>
    </row>
    <row r="96">
      <c r="G96" s="8"/>
      <c r="H96" s="8"/>
      <c r="I96" s="8"/>
    </row>
    <row r="97">
      <c r="G97" s="8"/>
      <c r="H97" s="8"/>
      <c r="I97" s="8"/>
    </row>
    <row r="98">
      <c r="G98" s="8"/>
      <c r="H98" s="8"/>
      <c r="I98" s="8"/>
    </row>
    <row r="99">
      <c r="G99" s="8"/>
      <c r="H99" s="8"/>
      <c r="I99" s="8"/>
    </row>
    <row r="100">
      <c r="G100" s="8"/>
      <c r="H100" s="8"/>
      <c r="I100" s="8"/>
    </row>
    <row r="101">
      <c r="G101" s="8"/>
      <c r="H101" s="8"/>
      <c r="I101" s="8"/>
    </row>
    <row r="102">
      <c r="G102" s="8"/>
      <c r="H102" s="8"/>
      <c r="I102" s="8"/>
    </row>
    <row r="103">
      <c r="G103" s="8"/>
      <c r="H103" s="8"/>
      <c r="I103" s="8"/>
    </row>
    <row r="104">
      <c r="G104" s="8"/>
      <c r="H104" s="8"/>
      <c r="I104" s="8"/>
    </row>
    <row r="105">
      <c r="G105" s="8"/>
      <c r="H105" s="8"/>
      <c r="I105" s="8"/>
    </row>
    <row r="106">
      <c r="G106" s="8"/>
      <c r="H106" s="8"/>
      <c r="I106" s="8"/>
    </row>
    <row r="107">
      <c r="G107" s="8"/>
      <c r="H107" s="8"/>
      <c r="I107" s="8"/>
    </row>
    <row r="108">
      <c r="G108" s="8"/>
      <c r="H108" s="8"/>
      <c r="I108" s="8"/>
    </row>
    <row r="109">
      <c r="G109" s="8"/>
      <c r="H109" s="8"/>
      <c r="I109" s="8"/>
    </row>
    <row r="110">
      <c r="G110" s="8"/>
      <c r="H110" s="8"/>
      <c r="I110" s="8"/>
    </row>
    <row r="111">
      <c r="G111" s="8"/>
      <c r="H111" s="8"/>
      <c r="I111" s="8"/>
    </row>
    <row r="112">
      <c r="G112" s="8"/>
      <c r="H112" s="8"/>
      <c r="I112" s="8"/>
    </row>
    <row r="113">
      <c r="G113" s="8"/>
      <c r="H113" s="8"/>
      <c r="I113" s="8"/>
    </row>
    <row r="114">
      <c r="G114" s="8"/>
      <c r="H114" s="8"/>
      <c r="I114" s="8"/>
    </row>
    <row r="115">
      <c r="G115" s="8"/>
      <c r="H115" s="8"/>
      <c r="I115" s="8"/>
    </row>
    <row r="116">
      <c r="G116" s="8"/>
      <c r="H116" s="8"/>
      <c r="I116" s="8"/>
    </row>
    <row r="117">
      <c r="G117" s="8"/>
      <c r="H117" s="8"/>
      <c r="I117" s="8"/>
    </row>
    <row r="118">
      <c r="G118" s="8"/>
      <c r="H118" s="8"/>
      <c r="I118" s="8"/>
    </row>
    <row r="119">
      <c r="G119" s="8"/>
      <c r="H119" s="8"/>
      <c r="I119" s="8"/>
    </row>
    <row r="120">
      <c r="G120" s="8"/>
      <c r="H120" s="8"/>
      <c r="I120" s="8"/>
    </row>
    <row r="121">
      <c r="G121" s="8"/>
      <c r="H121" s="8"/>
      <c r="I121" s="8"/>
    </row>
    <row r="122">
      <c r="G122" s="8"/>
      <c r="H122" s="8"/>
      <c r="I122" s="8"/>
    </row>
    <row r="123">
      <c r="G123" s="8"/>
      <c r="H123" s="8"/>
      <c r="I123" s="8"/>
    </row>
    <row r="124">
      <c r="G124" s="8"/>
      <c r="H124" s="8"/>
      <c r="I124" s="8"/>
    </row>
    <row r="125">
      <c r="G125" s="8"/>
      <c r="H125" s="8"/>
      <c r="I125" s="8"/>
    </row>
    <row r="126">
      <c r="G126" s="8"/>
      <c r="H126" s="8"/>
      <c r="I126" s="8"/>
    </row>
    <row r="127">
      <c r="G127" s="8"/>
      <c r="H127" s="8"/>
      <c r="I127" s="8"/>
    </row>
    <row r="128">
      <c r="G128" s="8"/>
      <c r="H128" s="8"/>
      <c r="I128" s="8"/>
    </row>
    <row r="129">
      <c r="G129" s="8"/>
      <c r="H129" s="8"/>
      <c r="I129" s="8"/>
    </row>
    <row r="130">
      <c r="G130" s="8"/>
      <c r="H130" s="8"/>
      <c r="I130" s="8"/>
    </row>
    <row r="131">
      <c r="G131" s="8"/>
      <c r="H131" s="8"/>
      <c r="I131" s="8"/>
    </row>
    <row r="132">
      <c r="G132" s="8"/>
      <c r="H132" s="8"/>
      <c r="I132" s="8"/>
    </row>
    <row r="133">
      <c r="G133" s="8"/>
      <c r="H133" s="8"/>
      <c r="I133" s="8"/>
    </row>
    <row r="134">
      <c r="G134" s="8"/>
      <c r="H134" s="8"/>
      <c r="I134" s="8"/>
    </row>
    <row r="135">
      <c r="G135" s="8"/>
      <c r="H135" s="8"/>
      <c r="I135" s="8"/>
    </row>
    <row r="136">
      <c r="G136" s="8"/>
      <c r="H136" s="8"/>
      <c r="I136" s="8"/>
    </row>
    <row r="137">
      <c r="G137" s="8"/>
      <c r="H137" s="8"/>
      <c r="I137" s="8"/>
    </row>
    <row r="138">
      <c r="G138" s="8"/>
      <c r="H138" s="8"/>
      <c r="I138" s="8"/>
    </row>
    <row r="139">
      <c r="G139" s="8"/>
      <c r="H139" s="8"/>
      <c r="I139" s="8"/>
    </row>
    <row r="140">
      <c r="G140" s="8"/>
      <c r="H140" s="8"/>
      <c r="I140" s="8"/>
    </row>
    <row r="141">
      <c r="G141" s="8"/>
      <c r="H141" s="8"/>
      <c r="I141" s="8"/>
    </row>
    <row r="142">
      <c r="G142" s="8"/>
      <c r="H142" s="8"/>
      <c r="I142" s="8"/>
    </row>
    <row r="143">
      <c r="G143" s="8"/>
      <c r="H143" s="8"/>
      <c r="I143" s="8"/>
    </row>
    <row r="144">
      <c r="G144" s="8"/>
      <c r="H144" s="8"/>
      <c r="I144" s="8"/>
    </row>
    <row r="145">
      <c r="G145" s="8"/>
      <c r="H145" s="8"/>
      <c r="I145" s="8"/>
    </row>
    <row r="146">
      <c r="G146" s="8"/>
      <c r="H146" s="8"/>
      <c r="I146" s="8"/>
    </row>
    <row r="147">
      <c r="G147" s="8"/>
      <c r="H147" s="8"/>
      <c r="I147" s="8"/>
    </row>
    <row r="148">
      <c r="G148" s="8"/>
      <c r="H148" s="8"/>
      <c r="I148" s="8"/>
    </row>
    <row r="149">
      <c r="G149" s="8"/>
      <c r="H149" s="8"/>
      <c r="I149" s="8"/>
    </row>
    <row r="150">
      <c r="G150" s="8"/>
      <c r="H150" s="8"/>
      <c r="I150" s="8"/>
    </row>
    <row r="151">
      <c r="G151" s="8"/>
      <c r="H151" s="8"/>
      <c r="I151" s="8"/>
    </row>
    <row r="152">
      <c r="G152" s="8"/>
      <c r="H152" s="8"/>
      <c r="I152" s="8"/>
    </row>
    <row r="153">
      <c r="G153" s="8"/>
      <c r="H153" s="8"/>
      <c r="I153" s="8"/>
    </row>
    <row r="154">
      <c r="G154" s="8"/>
      <c r="H154" s="8"/>
      <c r="I154" s="8"/>
    </row>
    <row r="155">
      <c r="G155" s="8"/>
      <c r="H155" s="8"/>
      <c r="I155" s="8"/>
    </row>
    <row r="156">
      <c r="G156" s="8"/>
      <c r="H156" s="8"/>
      <c r="I156" s="8"/>
    </row>
    <row r="157">
      <c r="G157" s="8"/>
      <c r="H157" s="8"/>
      <c r="I157" s="8"/>
    </row>
    <row r="158">
      <c r="G158" s="8"/>
      <c r="H158" s="8"/>
      <c r="I158" s="8"/>
    </row>
    <row r="159">
      <c r="G159" s="8"/>
      <c r="H159" s="8"/>
      <c r="I159" s="8"/>
    </row>
    <row r="160">
      <c r="G160" s="8"/>
      <c r="H160" s="8"/>
      <c r="I160" s="8"/>
    </row>
    <row r="161">
      <c r="G161" s="8"/>
      <c r="H161" s="8"/>
      <c r="I161" s="8"/>
    </row>
    <row r="162">
      <c r="G162" s="8"/>
      <c r="H162" s="8"/>
      <c r="I162" s="8"/>
    </row>
    <row r="163">
      <c r="G163" s="8"/>
      <c r="H163" s="8"/>
      <c r="I163" s="8"/>
    </row>
    <row r="164">
      <c r="G164" s="8"/>
      <c r="H164" s="8"/>
      <c r="I164" s="8"/>
    </row>
    <row r="165">
      <c r="G165" s="8"/>
      <c r="H165" s="8"/>
      <c r="I165" s="8"/>
    </row>
    <row r="166">
      <c r="G166" s="8"/>
      <c r="H166" s="8"/>
      <c r="I166" s="8"/>
    </row>
    <row r="167">
      <c r="G167" s="8"/>
      <c r="H167" s="8"/>
      <c r="I167" s="8"/>
    </row>
    <row r="168">
      <c r="G168" s="8"/>
      <c r="H168" s="8"/>
      <c r="I168" s="8"/>
    </row>
    <row r="169">
      <c r="G169" s="8"/>
      <c r="H169" s="8"/>
      <c r="I169" s="8"/>
    </row>
    <row r="170">
      <c r="G170" s="8"/>
      <c r="H170" s="8"/>
      <c r="I170" s="8"/>
    </row>
    <row r="171">
      <c r="G171" s="8"/>
      <c r="H171" s="8"/>
      <c r="I171" s="8"/>
    </row>
    <row r="172">
      <c r="G172" s="8"/>
      <c r="H172" s="8"/>
      <c r="I172" s="8"/>
    </row>
    <row r="173">
      <c r="G173" s="8"/>
      <c r="H173" s="8"/>
      <c r="I173" s="8"/>
    </row>
    <row r="174">
      <c r="G174" s="8"/>
      <c r="H174" s="8"/>
      <c r="I174" s="8"/>
    </row>
    <row r="175">
      <c r="G175" s="8"/>
      <c r="H175" s="8"/>
      <c r="I175" s="8"/>
    </row>
    <row r="176">
      <c r="G176" s="8"/>
      <c r="H176" s="8"/>
      <c r="I176" s="8"/>
    </row>
    <row r="177">
      <c r="G177" s="8"/>
      <c r="H177" s="8"/>
      <c r="I177" s="8"/>
    </row>
    <row r="178">
      <c r="G178" s="8"/>
      <c r="H178" s="8"/>
      <c r="I178" s="8"/>
    </row>
    <row r="179">
      <c r="G179" s="8"/>
      <c r="H179" s="8"/>
      <c r="I179" s="8"/>
    </row>
    <row r="180">
      <c r="G180" s="8"/>
      <c r="H180" s="8"/>
      <c r="I180" s="8"/>
    </row>
    <row r="181">
      <c r="G181" s="8"/>
      <c r="H181" s="8"/>
      <c r="I181" s="8"/>
    </row>
    <row r="182">
      <c r="G182" s="8"/>
      <c r="H182" s="8"/>
      <c r="I182" s="8"/>
    </row>
    <row r="183">
      <c r="G183" s="8"/>
      <c r="H183" s="8"/>
      <c r="I183" s="8"/>
    </row>
    <row r="184">
      <c r="G184" s="8"/>
      <c r="H184" s="8"/>
      <c r="I184" s="8"/>
    </row>
    <row r="185">
      <c r="G185" s="8"/>
      <c r="H185" s="8"/>
      <c r="I185" s="8"/>
    </row>
    <row r="186">
      <c r="G186" s="8"/>
      <c r="H186" s="8"/>
      <c r="I186" s="8"/>
    </row>
    <row r="187">
      <c r="G187" s="8"/>
      <c r="H187" s="8"/>
      <c r="I187" s="8"/>
    </row>
    <row r="188">
      <c r="G188" s="8"/>
      <c r="H188" s="8"/>
      <c r="I188" s="8"/>
    </row>
    <row r="189">
      <c r="G189" s="8"/>
      <c r="H189" s="8"/>
      <c r="I189" s="8"/>
    </row>
    <row r="190">
      <c r="G190" s="8"/>
      <c r="H190" s="8"/>
      <c r="I190" s="8"/>
    </row>
    <row r="191">
      <c r="G191" s="8"/>
      <c r="H191" s="8"/>
      <c r="I191" s="8"/>
    </row>
    <row r="192">
      <c r="G192" s="8"/>
      <c r="H192" s="8"/>
      <c r="I192" s="8"/>
    </row>
    <row r="193">
      <c r="G193" s="8"/>
      <c r="H193" s="8"/>
      <c r="I193" s="8"/>
    </row>
    <row r="194">
      <c r="G194" s="8"/>
      <c r="H194" s="8"/>
      <c r="I194" s="8"/>
    </row>
    <row r="195">
      <c r="G195" s="8"/>
      <c r="H195" s="8"/>
      <c r="I195" s="8"/>
    </row>
    <row r="196">
      <c r="G196" s="8"/>
      <c r="H196" s="8"/>
      <c r="I196" s="8"/>
    </row>
    <row r="197">
      <c r="G197" s="8"/>
      <c r="H197" s="8"/>
      <c r="I197" s="8"/>
    </row>
    <row r="198">
      <c r="G198" s="8"/>
      <c r="H198" s="8"/>
      <c r="I198" s="8"/>
    </row>
    <row r="199">
      <c r="G199" s="8"/>
      <c r="H199" s="8"/>
      <c r="I199" s="8"/>
    </row>
    <row r="200">
      <c r="G200" s="8"/>
      <c r="H200" s="8"/>
      <c r="I200" s="8"/>
    </row>
    <row r="201">
      <c r="G201" s="8"/>
      <c r="H201" s="8"/>
      <c r="I201" s="8"/>
    </row>
    <row r="202">
      <c r="G202" s="8"/>
      <c r="H202" s="8"/>
      <c r="I202" s="8"/>
    </row>
    <row r="203">
      <c r="G203" s="8"/>
      <c r="H203" s="8"/>
      <c r="I203" s="8"/>
    </row>
    <row r="204">
      <c r="G204" s="8"/>
      <c r="H204" s="8"/>
      <c r="I204" s="8"/>
    </row>
    <row r="205">
      <c r="G205" s="8"/>
      <c r="H205" s="8"/>
      <c r="I205" s="8"/>
    </row>
    <row r="206">
      <c r="G206" s="8"/>
      <c r="H206" s="8"/>
      <c r="I206" s="8"/>
    </row>
    <row r="207">
      <c r="G207" s="8"/>
      <c r="H207" s="8"/>
      <c r="I207" s="8"/>
    </row>
    <row r="208">
      <c r="G208" s="8"/>
      <c r="H208" s="8"/>
      <c r="I208" s="8"/>
    </row>
    <row r="209">
      <c r="G209" s="8"/>
      <c r="H209" s="8"/>
      <c r="I209" s="8"/>
    </row>
    <row r="210">
      <c r="G210" s="8"/>
      <c r="H210" s="8"/>
      <c r="I210" s="8"/>
    </row>
    <row r="211">
      <c r="G211" s="8"/>
      <c r="H211" s="8"/>
      <c r="I211" s="8"/>
    </row>
    <row r="212">
      <c r="G212" s="8"/>
      <c r="H212" s="8"/>
      <c r="I212" s="8"/>
    </row>
    <row r="213">
      <c r="G213" s="8"/>
      <c r="H213" s="8"/>
      <c r="I213" s="8"/>
    </row>
    <row r="214">
      <c r="G214" s="8"/>
      <c r="H214" s="8"/>
      <c r="I214" s="8"/>
    </row>
    <row r="215">
      <c r="G215" s="8"/>
      <c r="H215" s="8"/>
      <c r="I215" s="8"/>
    </row>
    <row r="216">
      <c r="G216" s="8"/>
      <c r="H216" s="8"/>
      <c r="I216" s="8"/>
    </row>
    <row r="217">
      <c r="G217" s="8"/>
      <c r="H217" s="8"/>
      <c r="I217" s="8"/>
    </row>
    <row r="218">
      <c r="G218" s="8"/>
      <c r="H218" s="8"/>
      <c r="I218" s="8"/>
    </row>
    <row r="219">
      <c r="G219" s="8"/>
      <c r="H219" s="8"/>
      <c r="I219" s="8"/>
    </row>
    <row r="220">
      <c r="G220" s="8"/>
      <c r="H220" s="8"/>
      <c r="I220" s="8"/>
    </row>
    <row r="221">
      <c r="G221" s="8"/>
      <c r="H221" s="8"/>
      <c r="I221" s="8"/>
    </row>
    <row r="222">
      <c r="G222" s="8"/>
      <c r="H222" s="8"/>
      <c r="I222" s="8"/>
    </row>
    <row r="223">
      <c r="G223" s="8"/>
      <c r="H223" s="8"/>
      <c r="I223" s="8"/>
    </row>
    <row r="224">
      <c r="G224" s="8"/>
      <c r="H224" s="8"/>
      <c r="I224" s="8"/>
    </row>
    <row r="225">
      <c r="G225" s="8"/>
      <c r="H225" s="8"/>
      <c r="I225" s="8"/>
    </row>
    <row r="226">
      <c r="G226" s="8"/>
      <c r="H226" s="8"/>
      <c r="I226" s="8"/>
    </row>
    <row r="227">
      <c r="G227" s="8"/>
      <c r="H227" s="8"/>
      <c r="I227" s="8"/>
    </row>
    <row r="228">
      <c r="G228" s="8"/>
      <c r="H228" s="8"/>
      <c r="I228" s="8"/>
    </row>
    <row r="229">
      <c r="G229" s="8"/>
      <c r="H229" s="8"/>
      <c r="I229" s="8"/>
    </row>
    <row r="230">
      <c r="G230" s="8"/>
      <c r="H230" s="8"/>
      <c r="I230" s="8"/>
    </row>
    <row r="231">
      <c r="G231" s="8"/>
      <c r="H231" s="8"/>
      <c r="I231" s="8"/>
    </row>
    <row r="232">
      <c r="G232" s="8"/>
      <c r="H232" s="8"/>
      <c r="I232" s="8"/>
    </row>
    <row r="233">
      <c r="G233" s="8"/>
      <c r="H233" s="8"/>
      <c r="I233" s="8"/>
    </row>
    <row r="234">
      <c r="G234" s="8"/>
      <c r="H234" s="8"/>
      <c r="I234" s="8"/>
    </row>
    <row r="235">
      <c r="G235" s="8"/>
      <c r="H235" s="8"/>
      <c r="I235" s="8"/>
    </row>
    <row r="236">
      <c r="G236" s="8"/>
      <c r="H236" s="8"/>
      <c r="I236" s="8"/>
    </row>
    <row r="237">
      <c r="G237" s="8"/>
      <c r="H237" s="8"/>
      <c r="I237" s="8"/>
    </row>
    <row r="238">
      <c r="G238" s="8"/>
      <c r="H238" s="8"/>
      <c r="I238" s="8"/>
    </row>
    <row r="239">
      <c r="G239" s="8"/>
      <c r="H239" s="8"/>
      <c r="I239" s="8"/>
    </row>
    <row r="240">
      <c r="G240" s="8"/>
      <c r="H240" s="8"/>
      <c r="I240" s="8"/>
    </row>
    <row r="241">
      <c r="G241" s="8"/>
      <c r="H241" s="8"/>
      <c r="I241" s="8"/>
    </row>
    <row r="242">
      <c r="G242" s="8"/>
      <c r="H242" s="8"/>
      <c r="I242" s="8"/>
    </row>
    <row r="243">
      <c r="G243" s="8"/>
      <c r="H243" s="8"/>
      <c r="I243" s="8"/>
    </row>
    <row r="244">
      <c r="G244" s="8"/>
      <c r="H244" s="8"/>
      <c r="I244" s="8"/>
    </row>
    <row r="245">
      <c r="G245" s="8"/>
      <c r="H245" s="8"/>
      <c r="I245" s="8"/>
    </row>
    <row r="246">
      <c r="G246" s="8"/>
      <c r="H246" s="8"/>
      <c r="I246" s="8"/>
    </row>
    <row r="247">
      <c r="G247" s="8"/>
      <c r="H247" s="8"/>
      <c r="I247" s="8"/>
    </row>
    <row r="248">
      <c r="G248" s="8"/>
      <c r="H248" s="8"/>
      <c r="I248" s="8"/>
    </row>
    <row r="249">
      <c r="G249" s="8"/>
      <c r="H249" s="8"/>
      <c r="I249" s="8"/>
    </row>
    <row r="250">
      <c r="G250" s="8"/>
      <c r="H250" s="8"/>
      <c r="I250" s="8"/>
    </row>
    <row r="251">
      <c r="G251" s="8"/>
      <c r="H251" s="8"/>
      <c r="I251" s="8"/>
    </row>
    <row r="252">
      <c r="G252" s="8"/>
      <c r="H252" s="8"/>
      <c r="I252" s="8"/>
    </row>
    <row r="253">
      <c r="G253" s="8"/>
      <c r="H253" s="8"/>
      <c r="I253" s="8"/>
    </row>
    <row r="254">
      <c r="G254" s="8"/>
      <c r="H254" s="8"/>
      <c r="I254" s="8"/>
    </row>
    <row r="255">
      <c r="G255" s="8"/>
      <c r="H255" s="8"/>
      <c r="I255" s="8"/>
    </row>
    <row r="256">
      <c r="G256" s="8"/>
      <c r="H256" s="8"/>
      <c r="I256" s="8"/>
    </row>
    <row r="257">
      <c r="G257" s="8"/>
      <c r="H257" s="8"/>
      <c r="I257" s="8"/>
    </row>
    <row r="258">
      <c r="G258" s="8"/>
      <c r="H258" s="8"/>
      <c r="I258" s="8"/>
    </row>
    <row r="259">
      <c r="G259" s="8"/>
      <c r="H259" s="8"/>
      <c r="I259" s="8"/>
    </row>
    <row r="260">
      <c r="G260" s="8"/>
      <c r="H260" s="8"/>
      <c r="I260" s="8"/>
    </row>
    <row r="261">
      <c r="G261" s="8"/>
      <c r="H261" s="8"/>
      <c r="I261" s="8"/>
    </row>
    <row r="262">
      <c r="G262" s="8"/>
      <c r="H262" s="8"/>
      <c r="I262" s="8"/>
    </row>
    <row r="263">
      <c r="G263" s="8"/>
      <c r="H263" s="8"/>
      <c r="I263" s="8"/>
    </row>
    <row r="264">
      <c r="G264" s="8"/>
      <c r="H264" s="8"/>
      <c r="I264" s="8"/>
    </row>
    <row r="265">
      <c r="G265" s="8"/>
      <c r="H265" s="8"/>
      <c r="I265" s="8"/>
    </row>
    <row r="266">
      <c r="G266" s="8"/>
      <c r="H266" s="8"/>
      <c r="I266" s="8"/>
    </row>
    <row r="267">
      <c r="G267" s="8"/>
      <c r="H267" s="8"/>
      <c r="I267" s="8"/>
    </row>
    <row r="268">
      <c r="G268" s="8"/>
      <c r="H268" s="8"/>
      <c r="I268" s="8"/>
    </row>
    <row r="269">
      <c r="G269" s="8"/>
      <c r="H269" s="8"/>
      <c r="I269" s="8"/>
    </row>
    <row r="270">
      <c r="G270" s="8"/>
      <c r="H270" s="8"/>
      <c r="I270" s="8"/>
    </row>
    <row r="271">
      <c r="G271" s="8"/>
      <c r="H271" s="8"/>
      <c r="I271" s="8"/>
    </row>
    <row r="272">
      <c r="G272" s="8"/>
      <c r="H272" s="8"/>
      <c r="I272" s="8"/>
    </row>
    <row r="273">
      <c r="G273" s="8"/>
      <c r="H273" s="8"/>
      <c r="I273" s="8"/>
    </row>
    <row r="274">
      <c r="G274" s="8"/>
      <c r="H274" s="8"/>
      <c r="I274" s="8"/>
    </row>
    <row r="275">
      <c r="G275" s="8"/>
      <c r="H275" s="8"/>
      <c r="I275" s="8"/>
    </row>
    <row r="276">
      <c r="G276" s="8"/>
      <c r="H276" s="8"/>
      <c r="I276" s="8"/>
    </row>
    <row r="277">
      <c r="G277" s="8"/>
      <c r="H277" s="8"/>
      <c r="I277" s="8"/>
    </row>
    <row r="278">
      <c r="G278" s="8"/>
      <c r="H278" s="8"/>
      <c r="I278" s="8"/>
    </row>
    <row r="279">
      <c r="G279" s="8"/>
      <c r="H279" s="8"/>
      <c r="I279" s="8"/>
    </row>
    <row r="280">
      <c r="G280" s="8"/>
      <c r="H280" s="8"/>
      <c r="I280" s="8"/>
    </row>
    <row r="281">
      <c r="G281" s="8"/>
      <c r="H281" s="8"/>
      <c r="I281" s="8"/>
    </row>
    <row r="282">
      <c r="G282" s="8"/>
      <c r="H282" s="8"/>
      <c r="I282" s="8"/>
    </row>
    <row r="283">
      <c r="G283" s="8"/>
      <c r="H283" s="8"/>
      <c r="I283" s="8"/>
    </row>
    <row r="284">
      <c r="G284" s="8"/>
      <c r="H284" s="8"/>
      <c r="I284" s="8"/>
    </row>
    <row r="285">
      <c r="G285" s="8"/>
      <c r="H285" s="8"/>
      <c r="I285" s="8"/>
    </row>
    <row r="286">
      <c r="G286" s="8"/>
      <c r="H286" s="8"/>
      <c r="I286" s="8"/>
    </row>
    <row r="287">
      <c r="G287" s="8"/>
      <c r="H287" s="8"/>
      <c r="I287" s="8"/>
    </row>
    <row r="288">
      <c r="G288" s="8"/>
      <c r="H288" s="8"/>
      <c r="I288" s="8"/>
    </row>
    <row r="289">
      <c r="G289" s="8"/>
      <c r="H289" s="8"/>
      <c r="I289" s="8"/>
    </row>
    <row r="290">
      <c r="G290" s="8"/>
      <c r="H290" s="8"/>
      <c r="I290" s="8"/>
    </row>
    <row r="291">
      <c r="G291" s="8"/>
      <c r="H291" s="8"/>
      <c r="I291" s="8"/>
    </row>
    <row r="292">
      <c r="G292" s="8"/>
      <c r="H292" s="8"/>
      <c r="I292" s="8"/>
    </row>
    <row r="293">
      <c r="G293" s="8"/>
      <c r="H293" s="8"/>
      <c r="I293" s="8"/>
    </row>
    <row r="294">
      <c r="G294" s="8"/>
      <c r="H294" s="8"/>
      <c r="I294" s="8"/>
    </row>
    <row r="295">
      <c r="G295" s="8"/>
      <c r="H295" s="8"/>
      <c r="I295" s="8"/>
    </row>
    <row r="296">
      <c r="G296" s="8"/>
      <c r="H296" s="8"/>
      <c r="I296" s="8"/>
    </row>
    <row r="297">
      <c r="G297" s="8"/>
      <c r="H297" s="8"/>
      <c r="I297" s="8"/>
    </row>
    <row r="298">
      <c r="G298" s="8"/>
      <c r="H298" s="8"/>
      <c r="I298" s="8"/>
    </row>
    <row r="299">
      <c r="G299" s="8"/>
      <c r="H299" s="8"/>
      <c r="I299" s="8"/>
    </row>
    <row r="300">
      <c r="G300" s="8"/>
      <c r="H300" s="8"/>
      <c r="I300" s="8"/>
    </row>
    <row r="301">
      <c r="G301" s="8"/>
      <c r="H301" s="8"/>
      <c r="I301" s="8"/>
    </row>
    <row r="302">
      <c r="G302" s="8"/>
      <c r="H302" s="8"/>
      <c r="I302" s="8"/>
    </row>
    <row r="303">
      <c r="G303" s="8"/>
      <c r="H303" s="8"/>
      <c r="I303" s="8"/>
    </row>
    <row r="304">
      <c r="G304" s="8"/>
      <c r="H304" s="8"/>
      <c r="I304" s="8"/>
    </row>
    <row r="305">
      <c r="G305" s="8"/>
      <c r="H305" s="8"/>
      <c r="I305" s="8"/>
    </row>
    <row r="306">
      <c r="G306" s="8"/>
      <c r="H306" s="8"/>
      <c r="I306" s="8"/>
    </row>
    <row r="307">
      <c r="G307" s="8"/>
      <c r="H307" s="8"/>
      <c r="I307" s="8"/>
    </row>
    <row r="308">
      <c r="G308" s="8"/>
      <c r="H308" s="8"/>
      <c r="I308" s="8"/>
    </row>
    <row r="309">
      <c r="G309" s="8"/>
      <c r="H309" s="8"/>
      <c r="I309" s="8"/>
    </row>
    <row r="310">
      <c r="G310" s="8"/>
      <c r="H310" s="8"/>
      <c r="I310" s="8"/>
    </row>
    <row r="311">
      <c r="G311" s="8"/>
      <c r="H311" s="8"/>
      <c r="I311" s="8"/>
    </row>
    <row r="312">
      <c r="G312" s="8"/>
      <c r="H312" s="8"/>
      <c r="I312" s="8"/>
    </row>
    <row r="313">
      <c r="G313" s="8"/>
      <c r="H313" s="8"/>
      <c r="I313" s="8"/>
    </row>
    <row r="314">
      <c r="G314" s="8"/>
      <c r="H314" s="8"/>
      <c r="I314" s="8"/>
    </row>
    <row r="315">
      <c r="G315" s="8"/>
      <c r="H315" s="8"/>
      <c r="I315" s="8"/>
    </row>
    <row r="316">
      <c r="G316" s="8"/>
      <c r="H316" s="8"/>
      <c r="I316" s="8"/>
    </row>
    <row r="317">
      <c r="G317" s="8"/>
      <c r="H317" s="8"/>
      <c r="I317" s="8"/>
    </row>
    <row r="318">
      <c r="G318" s="8"/>
      <c r="H318" s="8"/>
      <c r="I318" s="8"/>
    </row>
    <row r="319">
      <c r="G319" s="8"/>
      <c r="H319" s="8"/>
      <c r="I319" s="8"/>
    </row>
    <row r="320">
      <c r="G320" s="8"/>
      <c r="H320" s="8"/>
      <c r="I320" s="8"/>
    </row>
    <row r="321">
      <c r="G321" s="8"/>
      <c r="H321" s="8"/>
      <c r="I321" s="8"/>
    </row>
    <row r="322">
      <c r="G322" s="8"/>
      <c r="H322" s="8"/>
      <c r="I322" s="8"/>
    </row>
    <row r="323">
      <c r="G323" s="8"/>
      <c r="H323" s="8"/>
      <c r="I323" s="8"/>
    </row>
    <row r="324">
      <c r="G324" s="8"/>
      <c r="H324" s="8"/>
      <c r="I324" s="8"/>
    </row>
    <row r="325">
      <c r="G325" s="8"/>
      <c r="H325" s="8"/>
      <c r="I325" s="8"/>
    </row>
    <row r="326">
      <c r="G326" s="8"/>
      <c r="H326" s="8"/>
      <c r="I326" s="8"/>
    </row>
    <row r="327">
      <c r="G327" s="8"/>
      <c r="H327" s="8"/>
      <c r="I327" s="8"/>
    </row>
    <row r="328">
      <c r="G328" s="8"/>
      <c r="H328" s="8"/>
      <c r="I328" s="8"/>
    </row>
    <row r="329">
      <c r="G329" s="8"/>
      <c r="H329" s="8"/>
      <c r="I329" s="8"/>
    </row>
    <row r="330">
      <c r="G330" s="8"/>
      <c r="H330" s="8"/>
      <c r="I330" s="8"/>
    </row>
    <row r="331">
      <c r="G331" s="8"/>
      <c r="H331" s="8"/>
      <c r="I331" s="8"/>
    </row>
    <row r="332">
      <c r="G332" s="8"/>
      <c r="H332" s="8"/>
      <c r="I332" s="8"/>
    </row>
    <row r="333">
      <c r="G333" s="8"/>
      <c r="H333" s="8"/>
      <c r="I333" s="8"/>
    </row>
    <row r="334">
      <c r="G334" s="8"/>
      <c r="H334" s="8"/>
      <c r="I334" s="8"/>
    </row>
    <row r="335">
      <c r="G335" s="8"/>
      <c r="H335" s="8"/>
      <c r="I335" s="8"/>
    </row>
    <row r="336">
      <c r="G336" s="8"/>
      <c r="H336" s="8"/>
      <c r="I336" s="8"/>
    </row>
    <row r="337">
      <c r="G337" s="8"/>
      <c r="H337" s="8"/>
      <c r="I337" s="8"/>
    </row>
    <row r="338">
      <c r="G338" s="8"/>
      <c r="H338" s="8"/>
      <c r="I338" s="8"/>
    </row>
    <row r="339">
      <c r="G339" s="8"/>
      <c r="H339" s="8"/>
      <c r="I339" s="8"/>
    </row>
    <row r="340">
      <c r="G340" s="8"/>
      <c r="H340" s="8"/>
      <c r="I340" s="8"/>
    </row>
    <row r="341">
      <c r="G341" s="8"/>
      <c r="H341" s="8"/>
      <c r="I341" s="8"/>
    </row>
    <row r="342">
      <c r="G342" s="8"/>
      <c r="H342" s="8"/>
      <c r="I342" s="8"/>
    </row>
    <row r="343">
      <c r="G343" s="8"/>
      <c r="H343" s="8"/>
      <c r="I343" s="8"/>
    </row>
    <row r="344">
      <c r="G344" s="8"/>
      <c r="H344" s="8"/>
      <c r="I344" s="8"/>
    </row>
    <row r="345">
      <c r="G345" s="8"/>
      <c r="H345" s="8"/>
      <c r="I345" s="8"/>
    </row>
    <row r="346">
      <c r="G346" s="8"/>
      <c r="H346" s="8"/>
      <c r="I346" s="8"/>
    </row>
    <row r="347">
      <c r="G347" s="8"/>
      <c r="H347" s="8"/>
      <c r="I347" s="8"/>
    </row>
    <row r="348">
      <c r="G348" s="8"/>
      <c r="H348" s="8"/>
      <c r="I348" s="8"/>
    </row>
    <row r="349">
      <c r="G349" s="8"/>
      <c r="H349" s="8"/>
      <c r="I349" s="8"/>
    </row>
    <row r="350">
      <c r="G350" s="8"/>
      <c r="H350" s="8"/>
      <c r="I350" s="8"/>
    </row>
    <row r="351">
      <c r="G351" s="8"/>
      <c r="H351" s="8"/>
      <c r="I351" s="8"/>
    </row>
    <row r="352">
      <c r="G352" s="8"/>
      <c r="H352" s="8"/>
      <c r="I352" s="8"/>
    </row>
    <row r="353">
      <c r="G353" s="8"/>
      <c r="H353" s="8"/>
      <c r="I353" s="8"/>
    </row>
    <row r="354">
      <c r="G354" s="8"/>
      <c r="H354" s="8"/>
      <c r="I354" s="8"/>
    </row>
    <row r="355">
      <c r="G355" s="8"/>
      <c r="H355" s="8"/>
      <c r="I355" s="8"/>
    </row>
    <row r="356">
      <c r="G356" s="8"/>
      <c r="H356" s="8"/>
      <c r="I356" s="8"/>
    </row>
    <row r="357">
      <c r="G357" s="8"/>
      <c r="H357" s="8"/>
      <c r="I357" s="8"/>
    </row>
    <row r="358">
      <c r="G358" s="8"/>
      <c r="H358" s="8"/>
      <c r="I358" s="8"/>
    </row>
    <row r="359">
      <c r="G359" s="8"/>
      <c r="H359" s="8"/>
      <c r="I359" s="8"/>
    </row>
    <row r="360">
      <c r="G360" s="8"/>
      <c r="H360" s="8"/>
      <c r="I360" s="8"/>
    </row>
    <row r="361">
      <c r="G361" s="8"/>
      <c r="H361" s="8"/>
      <c r="I361" s="8"/>
    </row>
    <row r="362">
      <c r="G362" s="8"/>
      <c r="H362" s="8"/>
      <c r="I362" s="8"/>
    </row>
    <row r="363">
      <c r="G363" s="8"/>
      <c r="H363" s="8"/>
      <c r="I363" s="8"/>
    </row>
    <row r="364">
      <c r="G364" s="8"/>
      <c r="H364" s="8"/>
      <c r="I364" s="8"/>
    </row>
    <row r="365">
      <c r="G365" s="8"/>
      <c r="H365" s="8"/>
      <c r="I365" s="8"/>
    </row>
    <row r="366">
      <c r="G366" s="8"/>
      <c r="H366" s="8"/>
      <c r="I366" s="8"/>
    </row>
    <row r="367">
      <c r="G367" s="8"/>
      <c r="H367" s="8"/>
      <c r="I367" s="8"/>
    </row>
    <row r="368">
      <c r="G368" s="8"/>
      <c r="H368" s="8"/>
      <c r="I368" s="8"/>
    </row>
    <row r="369">
      <c r="G369" s="8"/>
      <c r="H369" s="8"/>
      <c r="I369" s="8"/>
    </row>
    <row r="370">
      <c r="G370" s="8"/>
      <c r="H370" s="8"/>
      <c r="I370" s="8"/>
    </row>
    <row r="371">
      <c r="G371" s="8"/>
      <c r="H371" s="8"/>
      <c r="I371" s="8"/>
    </row>
    <row r="372">
      <c r="G372" s="8"/>
      <c r="H372" s="8"/>
      <c r="I372" s="8"/>
    </row>
    <row r="373">
      <c r="G373" s="8"/>
      <c r="H373" s="8"/>
      <c r="I373" s="8"/>
    </row>
    <row r="374">
      <c r="G374" s="8"/>
      <c r="H374" s="8"/>
      <c r="I374" s="8"/>
    </row>
    <row r="375">
      <c r="G375" s="8"/>
      <c r="H375" s="8"/>
      <c r="I375" s="8"/>
    </row>
    <row r="376">
      <c r="G376" s="8"/>
      <c r="H376" s="8"/>
      <c r="I376" s="8"/>
    </row>
    <row r="377">
      <c r="G377" s="8"/>
      <c r="H377" s="8"/>
      <c r="I377" s="8"/>
    </row>
    <row r="378">
      <c r="G378" s="8"/>
      <c r="H378" s="8"/>
      <c r="I378" s="8"/>
    </row>
    <row r="379">
      <c r="G379" s="8"/>
      <c r="H379" s="8"/>
      <c r="I379" s="8"/>
    </row>
    <row r="380">
      <c r="G380" s="8"/>
      <c r="H380" s="8"/>
      <c r="I380" s="8"/>
    </row>
    <row r="381">
      <c r="G381" s="8"/>
      <c r="H381" s="8"/>
      <c r="I381" s="8"/>
    </row>
    <row r="382">
      <c r="G382" s="8"/>
      <c r="H382" s="8"/>
      <c r="I382" s="8"/>
    </row>
    <row r="383">
      <c r="G383" s="8"/>
      <c r="H383" s="8"/>
      <c r="I383" s="8"/>
    </row>
    <row r="384">
      <c r="G384" s="8"/>
      <c r="H384" s="8"/>
      <c r="I384" s="8"/>
    </row>
    <row r="385">
      <c r="G385" s="8"/>
      <c r="H385" s="8"/>
      <c r="I385" s="8"/>
    </row>
    <row r="386">
      <c r="G386" s="8"/>
      <c r="H386" s="8"/>
      <c r="I386" s="8"/>
    </row>
    <row r="387">
      <c r="G387" s="8"/>
      <c r="H387" s="8"/>
      <c r="I387" s="8"/>
    </row>
    <row r="388">
      <c r="G388" s="8"/>
      <c r="H388" s="8"/>
      <c r="I388" s="8"/>
    </row>
    <row r="389">
      <c r="G389" s="8"/>
      <c r="H389" s="8"/>
      <c r="I389" s="8"/>
    </row>
    <row r="390">
      <c r="G390" s="8"/>
      <c r="H390" s="8"/>
      <c r="I390" s="8"/>
    </row>
    <row r="391">
      <c r="G391" s="8"/>
      <c r="H391" s="8"/>
      <c r="I391" s="8"/>
    </row>
    <row r="392">
      <c r="G392" s="8"/>
      <c r="H392" s="8"/>
      <c r="I392" s="8"/>
    </row>
    <row r="393">
      <c r="G393" s="8"/>
      <c r="H393" s="8"/>
      <c r="I393" s="8"/>
    </row>
    <row r="394">
      <c r="G394" s="8"/>
      <c r="H394" s="8"/>
      <c r="I394" s="8"/>
    </row>
    <row r="395">
      <c r="G395" s="8"/>
      <c r="H395" s="8"/>
      <c r="I395" s="8"/>
    </row>
    <row r="396">
      <c r="G396" s="8"/>
      <c r="H396" s="8"/>
      <c r="I396" s="8"/>
    </row>
    <row r="397">
      <c r="G397" s="8"/>
      <c r="H397" s="8"/>
      <c r="I397" s="8"/>
    </row>
    <row r="398">
      <c r="G398" s="8"/>
      <c r="H398" s="8"/>
      <c r="I398" s="8"/>
    </row>
    <row r="399">
      <c r="G399" s="8"/>
      <c r="H399" s="8"/>
      <c r="I399" s="8"/>
    </row>
    <row r="400">
      <c r="G400" s="8"/>
      <c r="H400" s="8"/>
      <c r="I400" s="8"/>
    </row>
    <row r="401">
      <c r="G401" s="8"/>
      <c r="H401" s="8"/>
      <c r="I401" s="8"/>
    </row>
    <row r="402">
      <c r="G402" s="8"/>
      <c r="H402" s="8"/>
      <c r="I402" s="8"/>
    </row>
    <row r="403">
      <c r="G403" s="8"/>
      <c r="H403" s="8"/>
      <c r="I403" s="8"/>
    </row>
    <row r="404">
      <c r="G404" s="8"/>
      <c r="H404" s="8"/>
      <c r="I404" s="8"/>
    </row>
    <row r="405">
      <c r="G405" s="8"/>
      <c r="H405" s="8"/>
      <c r="I405" s="8"/>
    </row>
    <row r="406">
      <c r="G406" s="8"/>
      <c r="H406" s="8"/>
      <c r="I406" s="8"/>
    </row>
    <row r="407">
      <c r="G407" s="8"/>
      <c r="H407" s="8"/>
      <c r="I407" s="8"/>
    </row>
    <row r="408">
      <c r="G408" s="8"/>
      <c r="H408" s="8"/>
      <c r="I408" s="8"/>
    </row>
    <row r="409">
      <c r="G409" s="8"/>
      <c r="H409" s="8"/>
      <c r="I409" s="8"/>
    </row>
    <row r="410">
      <c r="G410" s="8"/>
      <c r="H410" s="8"/>
      <c r="I410" s="8"/>
    </row>
    <row r="411">
      <c r="G411" s="8"/>
      <c r="H411" s="8"/>
      <c r="I411" s="8"/>
    </row>
    <row r="412">
      <c r="G412" s="8"/>
      <c r="H412" s="8"/>
      <c r="I412" s="8"/>
    </row>
    <row r="413">
      <c r="G413" s="8"/>
      <c r="H413" s="8"/>
      <c r="I413" s="8"/>
    </row>
    <row r="414">
      <c r="G414" s="8"/>
      <c r="H414" s="8"/>
      <c r="I414" s="8"/>
    </row>
    <row r="415">
      <c r="G415" s="8"/>
      <c r="H415" s="8"/>
      <c r="I415" s="8"/>
    </row>
    <row r="416">
      <c r="G416" s="8"/>
      <c r="H416" s="8"/>
      <c r="I416" s="8"/>
    </row>
    <row r="417">
      <c r="G417" s="8"/>
      <c r="H417" s="8"/>
      <c r="I417" s="8"/>
    </row>
    <row r="418">
      <c r="G418" s="8"/>
      <c r="H418" s="8"/>
      <c r="I418" s="8"/>
    </row>
    <row r="419">
      <c r="G419" s="8"/>
      <c r="H419" s="8"/>
      <c r="I419" s="8"/>
    </row>
    <row r="420">
      <c r="G420" s="8"/>
      <c r="H420" s="8"/>
      <c r="I420" s="8"/>
    </row>
    <row r="421">
      <c r="G421" s="8"/>
      <c r="H421" s="8"/>
      <c r="I421" s="8"/>
    </row>
    <row r="422">
      <c r="G422" s="8"/>
      <c r="H422" s="8"/>
      <c r="I422" s="8"/>
    </row>
    <row r="423">
      <c r="G423" s="8"/>
      <c r="H423" s="8"/>
      <c r="I423" s="8"/>
    </row>
    <row r="424">
      <c r="G424" s="8"/>
      <c r="H424" s="8"/>
      <c r="I424" s="8"/>
    </row>
    <row r="425">
      <c r="G425" s="8"/>
      <c r="H425" s="8"/>
      <c r="I425" s="8"/>
    </row>
    <row r="426">
      <c r="G426" s="8"/>
      <c r="H426" s="8"/>
      <c r="I426" s="8"/>
    </row>
    <row r="427">
      <c r="G427" s="8"/>
      <c r="H427" s="8"/>
      <c r="I427" s="8"/>
    </row>
    <row r="428">
      <c r="G428" s="8"/>
      <c r="H428" s="8"/>
      <c r="I428" s="8"/>
    </row>
    <row r="429">
      <c r="G429" s="8"/>
      <c r="H429" s="8"/>
      <c r="I429" s="8"/>
    </row>
    <row r="430">
      <c r="G430" s="8"/>
      <c r="H430" s="8"/>
      <c r="I430" s="8"/>
    </row>
    <row r="431">
      <c r="G431" s="8"/>
      <c r="H431" s="8"/>
      <c r="I431" s="8"/>
    </row>
    <row r="432">
      <c r="G432" s="8"/>
      <c r="H432" s="8"/>
      <c r="I432" s="8"/>
    </row>
    <row r="433">
      <c r="G433" s="8"/>
      <c r="H433" s="8"/>
      <c r="I433" s="8"/>
    </row>
    <row r="434">
      <c r="G434" s="8"/>
      <c r="H434" s="8"/>
      <c r="I434" s="8"/>
    </row>
    <row r="435">
      <c r="G435" s="8"/>
      <c r="H435" s="8"/>
      <c r="I435" s="8"/>
    </row>
    <row r="436">
      <c r="G436" s="8"/>
      <c r="H436" s="8"/>
      <c r="I436" s="8"/>
    </row>
    <row r="437">
      <c r="G437" s="8"/>
      <c r="H437" s="8"/>
      <c r="I437" s="8"/>
    </row>
    <row r="438">
      <c r="G438" s="8"/>
      <c r="H438" s="8"/>
      <c r="I438" s="8"/>
    </row>
    <row r="439">
      <c r="G439" s="8"/>
      <c r="H439" s="8"/>
      <c r="I439" s="8"/>
    </row>
    <row r="440">
      <c r="G440" s="8"/>
      <c r="H440" s="8"/>
      <c r="I440" s="8"/>
    </row>
    <row r="441">
      <c r="G441" s="8"/>
      <c r="H441" s="8"/>
      <c r="I441" s="8"/>
    </row>
    <row r="442">
      <c r="G442" s="8"/>
      <c r="H442" s="8"/>
      <c r="I442" s="8"/>
    </row>
    <row r="443">
      <c r="G443" s="8"/>
      <c r="H443" s="8"/>
      <c r="I443" s="8"/>
    </row>
    <row r="444">
      <c r="G444" s="8"/>
      <c r="H444" s="8"/>
      <c r="I444" s="8"/>
    </row>
    <row r="445">
      <c r="G445" s="8"/>
      <c r="H445" s="8"/>
      <c r="I445" s="8"/>
    </row>
    <row r="446">
      <c r="G446" s="8"/>
      <c r="H446" s="8"/>
      <c r="I446" s="8"/>
    </row>
    <row r="447">
      <c r="G447" s="8"/>
      <c r="H447" s="8"/>
      <c r="I447" s="8"/>
    </row>
    <row r="448">
      <c r="G448" s="8"/>
      <c r="H448" s="8"/>
      <c r="I448" s="8"/>
    </row>
    <row r="449">
      <c r="G449" s="8"/>
      <c r="H449" s="8"/>
      <c r="I449" s="8"/>
    </row>
    <row r="450">
      <c r="G450" s="8"/>
      <c r="H450" s="8"/>
      <c r="I450" s="8"/>
    </row>
    <row r="451">
      <c r="G451" s="8"/>
      <c r="H451" s="8"/>
      <c r="I451" s="8"/>
    </row>
    <row r="452">
      <c r="G452" s="8"/>
      <c r="H452" s="8"/>
      <c r="I452" s="8"/>
    </row>
    <row r="453">
      <c r="G453" s="8"/>
      <c r="H453" s="8"/>
      <c r="I453" s="8"/>
    </row>
    <row r="454">
      <c r="G454" s="8"/>
      <c r="H454" s="8"/>
      <c r="I454" s="8"/>
    </row>
    <row r="455">
      <c r="G455" s="8"/>
      <c r="H455" s="8"/>
      <c r="I455" s="8"/>
    </row>
    <row r="456">
      <c r="G456" s="8"/>
      <c r="H456" s="8"/>
      <c r="I456" s="8"/>
    </row>
    <row r="457">
      <c r="G457" s="8"/>
      <c r="H457" s="8"/>
      <c r="I457" s="8"/>
    </row>
    <row r="458">
      <c r="G458" s="8"/>
      <c r="H458" s="8"/>
      <c r="I458" s="8"/>
    </row>
    <row r="459">
      <c r="G459" s="8"/>
      <c r="H459" s="8"/>
      <c r="I459" s="8"/>
    </row>
    <row r="460">
      <c r="G460" s="8"/>
      <c r="H460" s="8"/>
      <c r="I460" s="8"/>
    </row>
    <row r="461">
      <c r="G461" s="8"/>
      <c r="H461" s="8"/>
      <c r="I461" s="8"/>
    </row>
    <row r="462">
      <c r="G462" s="8"/>
      <c r="H462" s="8"/>
      <c r="I462" s="8"/>
    </row>
    <row r="463">
      <c r="G463" s="8"/>
      <c r="H463" s="8"/>
      <c r="I463" s="8"/>
    </row>
    <row r="464">
      <c r="G464" s="8"/>
      <c r="H464" s="8"/>
      <c r="I464" s="8"/>
    </row>
    <row r="465">
      <c r="G465" s="8"/>
      <c r="H465" s="8"/>
      <c r="I465" s="8"/>
    </row>
    <row r="466">
      <c r="G466" s="8"/>
      <c r="H466" s="8"/>
      <c r="I466" s="8"/>
    </row>
    <row r="467">
      <c r="G467" s="8"/>
      <c r="H467" s="8"/>
      <c r="I467" s="8"/>
    </row>
    <row r="468">
      <c r="G468" s="8"/>
      <c r="H468" s="8"/>
      <c r="I468" s="8"/>
    </row>
    <row r="469">
      <c r="G469" s="8"/>
      <c r="H469" s="8"/>
      <c r="I469" s="8"/>
    </row>
    <row r="470">
      <c r="G470" s="8"/>
      <c r="H470" s="8"/>
      <c r="I470" s="8"/>
    </row>
    <row r="471">
      <c r="G471" s="8"/>
      <c r="H471" s="8"/>
      <c r="I471" s="8"/>
    </row>
    <row r="472">
      <c r="G472" s="8"/>
      <c r="H472" s="8"/>
      <c r="I472" s="8"/>
    </row>
    <row r="473">
      <c r="G473" s="8"/>
      <c r="H473" s="8"/>
      <c r="I473" s="8"/>
    </row>
    <row r="474">
      <c r="G474" s="8"/>
      <c r="H474" s="8"/>
      <c r="I474" s="8"/>
    </row>
    <row r="475">
      <c r="G475" s="8"/>
      <c r="H475" s="8"/>
      <c r="I475" s="8"/>
    </row>
    <row r="476">
      <c r="G476" s="8"/>
      <c r="H476" s="8"/>
      <c r="I476" s="8"/>
    </row>
    <row r="477">
      <c r="G477" s="8"/>
      <c r="H477" s="8"/>
      <c r="I477" s="8"/>
    </row>
    <row r="478">
      <c r="G478" s="8"/>
      <c r="H478" s="8"/>
      <c r="I478" s="8"/>
    </row>
    <row r="479">
      <c r="G479" s="8"/>
      <c r="H479" s="8"/>
      <c r="I479" s="8"/>
    </row>
    <row r="480">
      <c r="G480" s="8"/>
      <c r="H480" s="8"/>
      <c r="I480" s="8"/>
    </row>
    <row r="481">
      <c r="G481" s="8"/>
      <c r="H481" s="8"/>
      <c r="I481" s="8"/>
    </row>
    <row r="482">
      <c r="G482" s="8"/>
      <c r="H482" s="8"/>
      <c r="I482" s="8"/>
    </row>
    <row r="483">
      <c r="G483" s="8"/>
      <c r="H483" s="8"/>
      <c r="I483" s="8"/>
    </row>
    <row r="484">
      <c r="G484" s="8"/>
      <c r="H484" s="8"/>
      <c r="I484" s="8"/>
    </row>
    <row r="485">
      <c r="G485" s="8"/>
      <c r="H485" s="8"/>
      <c r="I485" s="8"/>
    </row>
    <row r="486">
      <c r="G486" s="8"/>
      <c r="H486" s="8"/>
      <c r="I486" s="8"/>
    </row>
    <row r="487">
      <c r="G487" s="8"/>
      <c r="H487" s="8"/>
      <c r="I487" s="8"/>
    </row>
    <row r="488">
      <c r="G488" s="8"/>
      <c r="H488" s="8"/>
      <c r="I488" s="8"/>
    </row>
    <row r="489">
      <c r="G489" s="8"/>
      <c r="H489" s="8"/>
      <c r="I489" s="8"/>
    </row>
    <row r="490">
      <c r="G490" s="8"/>
      <c r="H490" s="8"/>
      <c r="I490" s="8"/>
    </row>
    <row r="491">
      <c r="G491" s="8"/>
      <c r="H491" s="8"/>
      <c r="I491" s="8"/>
    </row>
    <row r="492">
      <c r="G492" s="8"/>
      <c r="H492" s="8"/>
      <c r="I492" s="8"/>
    </row>
    <row r="493">
      <c r="G493" s="8"/>
      <c r="H493" s="8"/>
      <c r="I493" s="8"/>
    </row>
    <row r="494">
      <c r="G494" s="8"/>
      <c r="H494" s="8"/>
      <c r="I494" s="8"/>
    </row>
    <row r="495">
      <c r="G495" s="8"/>
      <c r="H495" s="8"/>
      <c r="I495" s="8"/>
    </row>
    <row r="496">
      <c r="G496" s="8"/>
      <c r="H496" s="8"/>
      <c r="I496" s="8"/>
    </row>
    <row r="497">
      <c r="G497" s="8"/>
      <c r="H497" s="8"/>
      <c r="I497" s="8"/>
    </row>
    <row r="498">
      <c r="G498" s="8"/>
      <c r="H498" s="8"/>
      <c r="I498" s="8"/>
    </row>
    <row r="499">
      <c r="G499" s="8"/>
      <c r="H499" s="8"/>
      <c r="I499" s="8"/>
    </row>
    <row r="500">
      <c r="G500" s="8"/>
      <c r="H500" s="8"/>
      <c r="I500" s="8"/>
    </row>
    <row r="501">
      <c r="G501" s="8"/>
      <c r="H501" s="8"/>
      <c r="I501" s="8"/>
    </row>
    <row r="502">
      <c r="G502" s="8"/>
      <c r="H502" s="8"/>
      <c r="I502" s="8"/>
    </row>
    <row r="503">
      <c r="G503" s="8"/>
      <c r="H503" s="8"/>
      <c r="I503" s="8"/>
    </row>
    <row r="504">
      <c r="G504" s="8"/>
      <c r="H504" s="8"/>
      <c r="I504" s="8"/>
    </row>
    <row r="505">
      <c r="G505" s="8"/>
      <c r="H505" s="8"/>
      <c r="I505" s="8"/>
    </row>
    <row r="506">
      <c r="G506" s="8"/>
      <c r="H506" s="8"/>
      <c r="I506" s="8"/>
    </row>
    <row r="507">
      <c r="G507" s="8"/>
      <c r="H507" s="8"/>
      <c r="I507" s="8"/>
    </row>
    <row r="508">
      <c r="G508" s="8"/>
      <c r="H508" s="8"/>
      <c r="I508" s="8"/>
    </row>
    <row r="509">
      <c r="G509" s="8"/>
      <c r="H509" s="8"/>
      <c r="I509" s="8"/>
    </row>
    <row r="510">
      <c r="G510" s="8"/>
      <c r="H510" s="8"/>
      <c r="I510" s="8"/>
    </row>
    <row r="511">
      <c r="G511" s="8"/>
      <c r="H511" s="8"/>
      <c r="I511" s="8"/>
    </row>
    <row r="512">
      <c r="G512" s="8"/>
      <c r="H512" s="8"/>
      <c r="I512" s="8"/>
    </row>
    <row r="513">
      <c r="G513" s="8"/>
      <c r="H513" s="8"/>
      <c r="I513" s="8"/>
    </row>
    <row r="514">
      <c r="G514" s="8"/>
      <c r="H514" s="8"/>
      <c r="I514" s="8"/>
    </row>
    <row r="515">
      <c r="G515" s="8"/>
      <c r="H515" s="8"/>
      <c r="I515" s="8"/>
    </row>
    <row r="516">
      <c r="G516" s="8"/>
      <c r="H516" s="8"/>
      <c r="I516" s="8"/>
    </row>
    <row r="517">
      <c r="G517" s="8"/>
      <c r="H517" s="8"/>
      <c r="I517" s="8"/>
    </row>
    <row r="518">
      <c r="G518" s="8"/>
      <c r="H518" s="8"/>
      <c r="I518" s="8"/>
    </row>
    <row r="519">
      <c r="G519" s="8"/>
      <c r="H519" s="8"/>
      <c r="I519" s="8"/>
    </row>
    <row r="520">
      <c r="G520" s="8"/>
      <c r="H520" s="8"/>
      <c r="I520" s="8"/>
    </row>
    <row r="521">
      <c r="G521" s="8"/>
      <c r="H521" s="8"/>
      <c r="I521" s="8"/>
    </row>
    <row r="522">
      <c r="G522" s="8"/>
      <c r="H522" s="8"/>
      <c r="I522" s="8"/>
    </row>
    <row r="523">
      <c r="G523" s="8"/>
      <c r="H523" s="8"/>
      <c r="I523" s="8"/>
    </row>
    <row r="524">
      <c r="G524" s="8"/>
      <c r="H524" s="8"/>
      <c r="I524" s="8"/>
    </row>
    <row r="525">
      <c r="G525" s="8"/>
      <c r="H525" s="8"/>
      <c r="I525" s="8"/>
    </row>
    <row r="526">
      <c r="G526" s="8"/>
      <c r="H526" s="8"/>
      <c r="I526" s="8"/>
    </row>
    <row r="527">
      <c r="G527" s="8"/>
      <c r="H527" s="8"/>
      <c r="I527" s="8"/>
    </row>
    <row r="528">
      <c r="G528" s="8"/>
      <c r="H528" s="8"/>
      <c r="I528" s="8"/>
    </row>
    <row r="529">
      <c r="G529" s="8"/>
      <c r="H529" s="8"/>
      <c r="I529" s="8"/>
    </row>
    <row r="530">
      <c r="G530" s="8"/>
      <c r="H530" s="8"/>
      <c r="I530" s="8"/>
    </row>
    <row r="531">
      <c r="G531" s="8"/>
      <c r="H531" s="8"/>
      <c r="I531" s="8"/>
    </row>
    <row r="532">
      <c r="G532" s="8"/>
      <c r="H532" s="8"/>
      <c r="I532" s="8"/>
    </row>
    <row r="533">
      <c r="G533" s="8"/>
      <c r="H533" s="8"/>
      <c r="I533" s="8"/>
    </row>
    <row r="534">
      <c r="G534" s="8"/>
      <c r="H534" s="8"/>
      <c r="I534" s="8"/>
    </row>
    <row r="535">
      <c r="G535" s="8"/>
      <c r="H535" s="8"/>
      <c r="I535" s="8"/>
    </row>
    <row r="536">
      <c r="G536" s="8"/>
      <c r="H536" s="8"/>
      <c r="I536" s="8"/>
    </row>
    <row r="537">
      <c r="G537" s="8"/>
      <c r="H537" s="8"/>
      <c r="I537" s="8"/>
    </row>
    <row r="538">
      <c r="G538" s="8"/>
      <c r="H538" s="8"/>
      <c r="I538" s="8"/>
    </row>
    <row r="539">
      <c r="G539" s="8"/>
      <c r="H539" s="8"/>
      <c r="I539" s="8"/>
    </row>
    <row r="540">
      <c r="G540" s="8"/>
      <c r="H540" s="8"/>
      <c r="I540" s="8"/>
    </row>
    <row r="541">
      <c r="G541" s="8"/>
      <c r="H541" s="8"/>
      <c r="I541" s="8"/>
    </row>
    <row r="542">
      <c r="G542" s="8"/>
      <c r="H542" s="8"/>
      <c r="I542" s="8"/>
    </row>
    <row r="543">
      <c r="G543" s="8"/>
      <c r="H543" s="8"/>
      <c r="I543" s="8"/>
    </row>
    <row r="544">
      <c r="G544" s="8"/>
      <c r="H544" s="8"/>
      <c r="I544" s="8"/>
    </row>
    <row r="545">
      <c r="G545" s="8"/>
      <c r="H545" s="8"/>
      <c r="I545" s="8"/>
    </row>
    <row r="546">
      <c r="G546" s="8"/>
      <c r="H546" s="8"/>
      <c r="I546" s="8"/>
    </row>
    <row r="547">
      <c r="G547" s="8"/>
      <c r="H547" s="8"/>
      <c r="I547" s="8"/>
    </row>
    <row r="548">
      <c r="G548" s="8"/>
      <c r="H548" s="8"/>
      <c r="I548" s="8"/>
    </row>
    <row r="549">
      <c r="G549" s="8"/>
      <c r="H549" s="8"/>
      <c r="I549" s="8"/>
    </row>
    <row r="550">
      <c r="G550" s="8"/>
      <c r="H550" s="8"/>
      <c r="I550" s="8"/>
    </row>
    <row r="551">
      <c r="G551" s="8"/>
      <c r="H551" s="8"/>
      <c r="I551" s="8"/>
    </row>
    <row r="552">
      <c r="G552" s="8"/>
      <c r="H552" s="8"/>
      <c r="I552" s="8"/>
    </row>
    <row r="553">
      <c r="G553" s="8"/>
      <c r="H553" s="8"/>
      <c r="I553" s="8"/>
    </row>
    <row r="554">
      <c r="G554" s="8"/>
      <c r="H554" s="8"/>
      <c r="I554" s="8"/>
    </row>
    <row r="555">
      <c r="G555" s="8"/>
      <c r="H555" s="8"/>
      <c r="I555" s="8"/>
    </row>
    <row r="556">
      <c r="G556" s="8"/>
      <c r="H556" s="8"/>
      <c r="I556" s="8"/>
    </row>
    <row r="557">
      <c r="G557" s="8"/>
      <c r="H557" s="8"/>
      <c r="I557" s="8"/>
    </row>
    <row r="558">
      <c r="G558" s="8"/>
      <c r="H558" s="8"/>
      <c r="I558" s="8"/>
    </row>
    <row r="559">
      <c r="G559" s="8"/>
      <c r="H559" s="8"/>
      <c r="I559" s="8"/>
    </row>
    <row r="560">
      <c r="G560" s="8"/>
      <c r="H560" s="8"/>
      <c r="I560" s="8"/>
    </row>
    <row r="561">
      <c r="G561" s="8"/>
      <c r="H561" s="8"/>
      <c r="I561" s="8"/>
    </row>
    <row r="562">
      <c r="G562" s="8"/>
      <c r="H562" s="8"/>
      <c r="I562" s="8"/>
    </row>
    <row r="563">
      <c r="G563" s="8"/>
      <c r="H563" s="8"/>
      <c r="I563" s="8"/>
    </row>
    <row r="564">
      <c r="G564" s="8"/>
      <c r="H564" s="8"/>
      <c r="I564" s="8"/>
    </row>
    <row r="565">
      <c r="G565" s="8"/>
      <c r="H565" s="8"/>
      <c r="I565" s="8"/>
    </row>
    <row r="566">
      <c r="G566" s="8"/>
      <c r="H566" s="8"/>
      <c r="I566" s="8"/>
    </row>
    <row r="567">
      <c r="G567" s="8"/>
      <c r="H567" s="8"/>
      <c r="I567" s="8"/>
    </row>
    <row r="568">
      <c r="G568" s="8"/>
      <c r="H568" s="8"/>
      <c r="I568" s="8"/>
    </row>
    <row r="569">
      <c r="G569" s="8"/>
      <c r="H569" s="8"/>
      <c r="I569" s="8"/>
    </row>
    <row r="570">
      <c r="G570" s="8"/>
      <c r="H570" s="8"/>
      <c r="I570" s="8"/>
    </row>
    <row r="571">
      <c r="G571" s="8"/>
      <c r="H571" s="8"/>
      <c r="I571" s="8"/>
    </row>
    <row r="572">
      <c r="G572" s="8"/>
      <c r="H572" s="8"/>
      <c r="I572" s="8"/>
    </row>
    <row r="573">
      <c r="G573" s="8"/>
      <c r="H573" s="8"/>
      <c r="I573" s="8"/>
    </row>
    <row r="574">
      <c r="G574" s="8"/>
      <c r="H574" s="8"/>
      <c r="I574" s="8"/>
    </row>
    <row r="575">
      <c r="G575" s="8"/>
      <c r="H575" s="8"/>
      <c r="I575" s="8"/>
    </row>
    <row r="576">
      <c r="G576" s="8"/>
      <c r="H576" s="8"/>
      <c r="I576" s="8"/>
    </row>
    <row r="577">
      <c r="G577" s="8"/>
      <c r="H577" s="8"/>
      <c r="I577" s="8"/>
    </row>
    <row r="578">
      <c r="G578" s="8"/>
      <c r="H578" s="8"/>
      <c r="I578" s="8"/>
    </row>
    <row r="579">
      <c r="G579" s="8"/>
      <c r="H579" s="8"/>
      <c r="I579" s="8"/>
    </row>
    <row r="580">
      <c r="G580" s="8"/>
      <c r="H580" s="8"/>
      <c r="I580" s="8"/>
    </row>
    <row r="581">
      <c r="G581" s="8"/>
      <c r="H581" s="8"/>
      <c r="I581" s="8"/>
    </row>
    <row r="582">
      <c r="G582" s="8"/>
      <c r="H582" s="8"/>
      <c r="I582" s="8"/>
    </row>
    <row r="583">
      <c r="G583" s="8"/>
      <c r="H583" s="8"/>
      <c r="I583" s="8"/>
    </row>
    <row r="584">
      <c r="G584" s="8"/>
      <c r="H584" s="8"/>
      <c r="I584" s="8"/>
    </row>
    <row r="585">
      <c r="G585" s="8"/>
      <c r="H585" s="8"/>
      <c r="I585" s="8"/>
    </row>
    <row r="586">
      <c r="G586" s="8"/>
      <c r="H586" s="8"/>
      <c r="I586" s="8"/>
    </row>
    <row r="587">
      <c r="G587" s="8"/>
      <c r="H587" s="8"/>
      <c r="I587" s="8"/>
    </row>
    <row r="588">
      <c r="G588" s="8"/>
      <c r="H588" s="8"/>
      <c r="I588" s="8"/>
    </row>
    <row r="589">
      <c r="G589" s="8"/>
      <c r="H589" s="8"/>
      <c r="I589" s="8"/>
    </row>
    <row r="590">
      <c r="G590" s="8"/>
      <c r="H590" s="8"/>
      <c r="I590" s="8"/>
    </row>
    <row r="591">
      <c r="G591" s="8"/>
      <c r="H591" s="8"/>
      <c r="I591" s="8"/>
    </row>
    <row r="592">
      <c r="G592" s="8"/>
      <c r="H592" s="8"/>
      <c r="I592" s="8"/>
    </row>
    <row r="593">
      <c r="G593" s="8"/>
      <c r="H593" s="8"/>
      <c r="I593" s="8"/>
    </row>
    <row r="594">
      <c r="G594" s="8"/>
      <c r="H594" s="8"/>
      <c r="I594" s="8"/>
    </row>
    <row r="595">
      <c r="G595" s="8"/>
      <c r="H595" s="8"/>
      <c r="I595" s="8"/>
    </row>
    <row r="596">
      <c r="G596" s="8"/>
      <c r="H596" s="8"/>
      <c r="I596" s="8"/>
    </row>
    <row r="597">
      <c r="G597" s="8"/>
      <c r="H597" s="8"/>
      <c r="I597" s="8"/>
    </row>
    <row r="598">
      <c r="G598" s="8"/>
      <c r="H598" s="8"/>
      <c r="I598" s="8"/>
    </row>
    <row r="599">
      <c r="G599" s="8"/>
      <c r="H599" s="8"/>
      <c r="I599" s="8"/>
    </row>
    <row r="600">
      <c r="G600" s="8"/>
      <c r="H600" s="8"/>
      <c r="I600" s="8"/>
    </row>
    <row r="601">
      <c r="G601" s="8"/>
      <c r="H601" s="8"/>
      <c r="I601" s="8"/>
    </row>
    <row r="602">
      <c r="G602" s="8"/>
      <c r="H602" s="8"/>
      <c r="I602" s="8"/>
    </row>
    <row r="603">
      <c r="G603" s="8"/>
      <c r="H603" s="8"/>
      <c r="I603" s="8"/>
    </row>
    <row r="604">
      <c r="G604" s="8"/>
      <c r="H604" s="8"/>
      <c r="I604" s="8"/>
    </row>
    <row r="605">
      <c r="G605" s="8"/>
      <c r="H605" s="8"/>
      <c r="I605" s="8"/>
    </row>
    <row r="606">
      <c r="G606" s="8"/>
      <c r="H606" s="8"/>
      <c r="I606" s="8"/>
    </row>
    <row r="607">
      <c r="G607" s="8"/>
      <c r="H607" s="8"/>
      <c r="I607" s="8"/>
    </row>
    <row r="608">
      <c r="G608" s="8"/>
      <c r="H608" s="8"/>
      <c r="I608" s="8"/>
    </row>
    <row r="609">
      <c r="G609" s="8"/>
      <c r="H609" s="8"/>
      <c r="I609" s="8"/>
    </row>
    <row r="610">
      <c r="G610" s="8"/>
      <c r="H610" s="8"/>
      <c r="I610" s="8"/>
    </row>
    <row r="611">
      <c r="G611" s="8"/>
      <c r="H611" s="8"/>
      <c r="I611" s="8"/>
    </row>
    <row r="612">
      <c r="G612" s="8"/>
      <c r="H612" s="8"/>
      <c r="I612" s="8"/>
    </row>
    <row r="613">
      <c r="G613" s="8"/>
      <c r="H613" s="8"/>
      <c r="I613" s="8"/>
    </row>
    <row r="614">
      <c r="G614" s="8"/>
      <c r="H614" s="8"/>
      <c r="I614" s="8"/>
    </row>
    <row r="615">
      <c r="G615" s="8"/>
      <c r="H615" s="8"/>
      <c r="I615" s="8"/>
    </row>
    <row r="616">
      <c r="G616" s="8"/>
      <c r="H616" s="8"/>
      <c r="I616" s="8"/>
    </row>
    <row r="617">
      <c r="G617" s="8"/>
      <c r="H617" s="8"/>
      <c r="I617" s="8"/>
    </row>
    <row r="618">
      <c r="G618" s="8"/>
      <c r="H618" s="8"/>
      <c r="I618" s="8"/>
    </row>
    <row r="619">
      <c r="G619" s="8"/>
      <c r="H619" s="8"/>
      <c r="I619" s="8"/>
    </row>
    <row r="620">
      <c r="G620" s="8"/>
      <c r="H620" s="8"/>
      <c r="I620" s="8"/>
    </row>
    <row r="621">
      <c r="G621" s="8"/>
      <c r="H621" s="8"/>
      <c r="I621" s="8"/>
    </row>
    <row r="622">
      <c r="G622" s="8"/>
      <c r="H622" s="8"/>
      <c r="I622" s="8"/>
    </row>
    <row r="623">
      <c r="G623" s="8"/>
      <c r="H623" s="8"/>
      <c r="I623" s="8"/>
    </row>
    <row r="624">
      <c r="G624" s="8"/>
      <c r="H624" s="8"/>
      <c r="I624" s="8"/>
    </row>
    <row r="625">
      <c r="G625" s="8"/>
      <c r="H625" s="8"/>
      <c r="I625" s="8"/>
    </row>
    <row r="626">
      <c r="G626" s="8"/>
      <c r="H626" s="8"/>
      <c r="I626" s="8"/>
    </row>
    <row r="627">
      <c r="G627" s="8"/>
      <c r="H627" s="8"/>
      <c r="I627" s="8"/>
    </row>
    <row r="628">
      <c r="G628" s="8"/>
      <c r="H628" s="8"/>
      <c r="I628" s="8"/>
    </row>
    <row r="629">
      <c r="G629" s="8"/>
      <c r="H629" s="8"/>
      <c r="I629" s="8"/>
    </row>
    <row r="630">
      <c r="G630" s="8"/>
      <c r="H630" s="8"/>
      <c r="I630" s="8"/>
    </row>
    <row r="631">
      <c r="G631" s="8"/>
      <c r="H631" s="8"/>
      <c r="I631" s="8"/>
    </row>
    <row r="632">
      <c r="G632" s="8"/>
      <c r="H632" s="8"/>
      <c r="I632" s="8"/>
    </row>
    <row r="633">
      <c r="G633" s="8"/>
      <c r="H633" s="8"/>
      <c r="I633" s="8"/>
    </row>
    <row r="634">
      <c r="G634" s="8"/>
      <c r="H634" s="8"/>
      <c r="I634" s="8"/>
    </row>
    <row r="635">
      <c r="G635" s="8"/>
      <c r="H635" s="8"/>
      <c r="I635" s="8"/>
    </row>
    <row r="636">
      <c r="G636" s="8"/>
      <c r="H636" s="8"/>
      <c r="I636" s="8"/>
    </row>
    <row r="637">
      <c r="G637" s="8"/>
      <c r="H637" s="8"/>
      <c r="I637" s="8"/>
    </row>
    <row r="638">
      <c r="G638" s="8"/>
      <c r="H638" s="8"/>
      <c r="I638" s="8"/>
    </row>
    <row r="639">
      <c r="G639" s="8"/>
      <c r="H639" s="8"/>
      <c r="I639" s="8"/>
    </row>
    <row r="640">
      <c r="G640" s="8"/>
      <c r="H640" s="8"/>
      <c r="I640" s="8"/>
    </row>
    <row r="641">
      <c r="G641" s="8"/>
      <c r="H641" s="8"/>
      <c r="I641" s="8"/>
    </row>
    <row r="642">
      <c r="G642" s="8"/>
      <c r="H642" s="8"/>
      <c r="I642" s="8"/>
    </row>
    <row r="643">
      <c r="G643" s="8"/>
      <c r="H643" s="8"/>
      <c r="I643" s="8"/>
    </row>
    <row r="644">
      <c r="G644" s="8"/>
      <c r="H644" s="8"/>
      <c r="I644" s="8"/>
    </row>
    <row r="645">
      <c r="G645" s="8"/>
      <c r="H645" s="8"/>
      <c r="I645" s="8"/>
    </row>
    <row r="646">
      <c r="G646" s="8"/>
      <c r="H646" s="8"/>
      <c r="I646" s="8"/>
    </row>
    <row r="647">
      <c r="G647" s="8"/>
      <c r="H647" s="8"/>
      <c r="I647" s="8"/>
    </row>
    <row r="648">
      <c r="G648" s="8"/>
      <c r="H648" s="8"/>
      <c r="I648" s="8"/>
    </row>
    <row r="649">
      <c r="G649" s="8"/>
      <c r="H649" s="8"/>
      <c r="I649" s="8"/>
    </row>
    <row r="650">
      <c r="G650" s="8"/>
      <c r="H650" s="8"/>
      <c r="I650" s="8"/>
    </row>
    <row r="651">
      <c r="G651" s="8"/>
      <c r="H651" s="8"/>
      <c r="I651" s="8"/>
    </row>
    <row r="652">
      <c r="G652" s="8"/>
      <c r="H652" s="8"/>
      <c r="I652" s="8"/>
    </row>
    <row r="653">
      <c r="G653" s="8"/>
      <c r="H653" s="8"/>
      <c r="I653" s="8"/>
    </row>
    <row r="654">
      <c r="G654" s="8"/>
      <c r="H654" s="8"/>
      <c r="I654" s="8"/>
    </row>
    <row r="655">
      <c r="G655" s="8"/>
      <c r="H655" s="8"/>
      <c r="I655" s="8"/>
    </row>
    <row r="656">
      <c r="G656" s="8"/>
      <c r="H656" s="8"/>
      <c r="I656" s="8"/>
    </row>
    <row r="657">
      <c r="G657" s="8"/>
      <c r="H657" s="8"/>
      <c r="I657" s="8"/>
    </row>
    <row r="658">
      <c r="G658" s="8"/>
      <c r="H658" s="8"/>
      <c r="I658" s="8"/>
    </row>
    <row r="659">
      <c r="G659" s="8"/>
      <c r="H659" s="8"/>
      <c r="I659" s="8"/>
    </row>
    <row r="660">
      <c r="G660" s="8"/>
      <c r="H660" s="8"/>
      <c r="I660" s="8"/>
    </row>
    <row r="661">
      <c r="G661" s="8"/>
      <c r="H661" s="8"/>
      <c r="I661" s="8"/>
    </row>
    <row r="662">
      <c r="G662" s="8"/>
      <c r="H662" s="8"/>
      <c r="I662" s="8"/>
    </row>
    <row r="663">
      <c r="G663" s="8"/>
      <c r="H663" s="8"/>
      <c r="I663" s="8"/>
    </row>
    <row r="664">
      <c r="G664" s="8"/>
      <c r="H664" s="8"/>
      <c r="I664" s="8"/>
    </row>
    <row r="665">
      <c r="G665" s="8"/>
      <c r="H665" s="8"/>
      <c r="I665" s="8"/>
    </row>
    <row r="666">
      <c r="G666" s="8"/>
      <c r="H666" s="8"/>
      <c r="I666" s="8"/>
    </row>
    <row r="667">
      <c r="G667" s="8"/>
      <c r="H667" s="8"/>
      <c r="I667" s="8"/>
    </row>
    <row r="668">
      <c r="G668" s="8"/>
      <c r="H668" s="8"/>
      <c r="I668" s="8"/>
    </row>
    <row r="669">
      <c r="G669" s="8"/>
      <c r="H669" s="8"/>
      <c r="I669" s="8"/>
    </row>
    <row r="670">
      <c r="G670" s="8"/>
      <c r="H670" s="8"/>
      <c r="I670" s="8"/>
    </row>
    <row r="671">
      <c r="G671" s="8"/>
      <c r="H671" s="8"/>
      <c r="I671" s="8"/>
    </row>
    <row r="672">
      <c r="G672" s="8"/>
      <c r="H672" s="8"/>
      <c r="I672" s="8"/>
    </row>
    <row r="673">
      <c r="G673" s="8"/>
      <c r="H673" s="8"/>
      <c r="I673" s="8"/>
    </row>
    <row r="674">
      <c r="G674" s="8"/>
      <c r="H674" s="8"/>
      <c r="I674" s="8"/>
    </row>
    <row r="675">
      <c r="G675" s="8"/>
      <c r="H675" s="8"/>
      <c r="I675" s="8"/>
    </row>
    <row r="676">
      <c r="G676" s="8"/>
      <c r="H676" s="8"/>
      <c r="I676" s="8"/>
    </row>
    <row r="677">
      <c r="G677" s="8"/>
      <c r="H677" s="8"/>
      <c r="I677" s="8"/>
    </row>
    <row r="678">
      <c r="G678" s="8"/>
      <c r="H678" s="8"/>
      <c r="I678" s="8"/>
    </row>
    <row r="679">
      <c r="G679" s="8"/>
      <c r="H679" s="8"/>
      <c r="I679" s="8"/>
    </row>
    <row r="680">
      <c r="G680" s="8"/>
      <c r="H680" s="8"/>
      <c r="I680" s="8"/>
    </row>
    <row r="681">
      <c r="G681" s="8"/>
      <c r="H681" s="8"/>
      <c r="I681" s="8"/>
    </row>
    <row r="682">
      <c r="G682" s="8"/>
      <c r="H682" s="8"/>
      <c r="I682" s="8"/>
    </row>
    <row r="683">
      <c r="G683" s="8"/>
      <c r="H683" s="8"/>
      <c r="I683" s="8"/>
    </row>
    <row r="684">
      <c r="G684" s="8"/>
      <c r="H684" s="8"/>
      <c r="I684" s="8"/>
    </row>
    <row r="685">
      <c r="G685" s="8"/>
      <c r="H685" s="8"/>
      <c r="I685" s="8"/>
    </row>
    <row r="686">
      <c r="G686" s="8"/>
      <c r="H686" s="8"/>
      <c r="I686" s="8"/>
    </row>
    <row r="687">
      <c r="G687" s="8"/>
      <c r="H687" s="8"/>
      <c r="I687" s="8"/>
    </row>
    <row r="688">
      <c r="G688" s="8"/>
      <c r="H688" s="8"/>
      <c r="I688" s="8"/>
    </row>
    <row r="689">
      <c r="G689" s="8"/>
      <c r="H689" s="8"/>
      <c r="I689" s="8"/>
    </row>
    <row r="690">
      <c r="G690" s="8"/>
      <c r="H690" s="8"/>
      <c r="I690" s="8"/>
    </row>
    <row r="691">
      <c r="G691" s="8"/>
      <c r="H691" s="8"/>
      <c r="I691" s="8"/>
    </row>
    <row r="692">
      <c r="G692" s="8"/>
      <c r="H692" s="8"/>
      <c r="I692" s="8"/>
    </row>
    <row r="693">
      <c r="G693" s="8"/>
      <c r="H693" s="8"/>
      <c r="I693" s="8"/>
    </row>
    <row r="694">
      <c r="G694" s="8"/>
      <c r="H694" s="8"/>
      <c r="I694" s="8"/>
    </row>
    <row r="695">
      <c r="G695" s="8"/>
      <c r="H695" s="8"/>
      <c r="I695" s="8"/>
    </row>
    <row r="696">
      <c r="G696" s="8"/>
      <c r="H696" s="8"/>
      <c r="I696" s="8"/>
    </row>
    <row r="697">
      <c r="G697" s="8"/>
      <c r="H697" s="8"/>
      <c r="I697" s="8"/>
    </row>
    <row r="698">
      <c r="G698" s="8"/>
      <c r="H698" s="8"/>
      <c r="I698" s="8"/>
    </row>
    <row r="699">
      <c r="G699" s="8"/>
      <c r="H699" s="8"/>
      <c r="I699" s="8"/>
    </row>
    <row r="700">
      <c r="G700" s="8"/>
      <c r="H700" s="8"/>
      <c r="I700" s="8"/>
    </row>
    <row r="701">
      <c r="G701" s="8"/>
      <c r="H701" s="8"/>
      <c r="I701" s="8"/>
    </row>
    <row r="702">
      <c r="G702" s="8"/>
      <c r="H702" s="8"/>
      <c r="I702" s="8"/>
    </row>
    <row r="703">
      <c r="G703" s="8"/>
      <c r="H703" s="8"/>
      <c r="I703" s="8"/>
    </row>
    <row r="704">
      <c r="G704" s="8"/>
      <c r="H704" s="8"/>
      <c r="I704" s="8"/>
    </row>
    <row r="705">
      <c r="G705" s="8"/>
      <c r="H705" s="8"/>
      <c r="I705" s="8"/>
    </row>
    <row r="706">
      <c r="G706" s="8"/>
      <c r="H706" s="8"/>
      <c r="I706" s="8"/>
    </row>
    <row r="707">
      <c r="G707" s="8"/>
      <c r="H707" s="8"/>
      <c r="I707" s="8"/>
    </row>
    <row r="708">
      <c r="G708" s="8"/>
      <c r="H708" s="8"/>
      <c r="I708" s="8"/>
    </row>
    <row r="709">
      <c r="G709" s="8"/>
      <c r="H709" s="8"/>
      <c r="I709" s="8"/>
    </row>
    <row r="710">
      <c r="G710" s="8"/>
      <c r="H710" s="8"/>
      <c r="I710" s="8"/>
    </row>
    <row r="711">
      <c r="G711" s="8"/>
      <c r="H711" s="8"/>
      <c r="I711" s="8"/>
    </row>
    <row r="712">
      <c r="G712" s="8"/>
      <c r="H712" s="8"/>
      <c r="I712" s="8"/>
    </row>
    <row r="713">
      <c r="G713" s="8"/>
      <c r="H713" s="8"/>
      <c r="I713" s="8"/>
    </row>
    <row r="714">
      <c r="G714" s="8"/>
      <c r="H714" s="8"/>
      <c r="I714" s="8"/>
    </row>
    <row r="715">
      <c r="G715" s="8"/>
      <c r="H715" s="8"/>
      <c r="I715" s="8"/>
    </row>
    <row r="716">
      <c r="G716" s="8"/>
      <c r="H716" s="8"/>
      <c r="I716" s="8"/>
    </row>
    <row r="717">
      <c r="G717" s="8"/>
      <c r="H717" s="8"/>
      <c r="I717" s="8"/>
    </row>
    <row r="718">
      <c r="G718" s="8"/>
      <c r="H718" s="8"/>
      <c r="I718" s="8"/>
    </row>
    <row r="719">
      <c r="G719" s="8"/>
      <c r="H719" s="8"/>
      <c r="I719" s="8"/>
    </row>
    <row r="720">
      <c r="G720" s="8"/>
      <c r="H720" s="8"/>
      <c r="I720" s="8"/>
    </row>
    <row r="721">
      <c r="G721" s="8"/>
      <c r="H721" s="8"/>
      <c r="I721" s="8"/>
    </row>
    <row r="722">
      <c r="G722" s="8"/>
      <c r="H722" s="8"/>
      <c r="I722" s="8"/>
    </row>
    <row r="723">
      <c r="G723" s="8"/>
      <c r="H723" s="8"/>
      <c r="I723" s="8"/>
    </row>
    <row r="724">
      <c r="G724" s="8"/>
      <c r="H724" s="8"/>
      <c r="I724" s="8"/>
    </row>
    <row r="725">
      <c r="G725" s="8"/>
      <c r="H725" s="8"/>
      <c r="I725" s="8"/>
    </row>
    <row r="726">
      <c r="G726" s="8"/>
      <c r="H726" s="8"/>
      <c r="I726" s="8"/>
    </row>
    <row r="727">
      <c r="G727" s="8"/>
      <c r="H727" s="8"/>
      <c r="I727" s="8"/>
    </row>
    <row r="728">
      <c r="G728" s="8"/>
      <c r="H728" s="8"/>
      <c r="I728" s="8"/>
    </row>
    <row r="729">
      <c r="G729" s="8"/>
      <c r="H729" s="8"/>
      <c r="I729" s="8"/>
    </row>
    <row r="730">
      <c r="G730" s="8"/>
      <c r="H730" s="8"/>
      <c r="I730" s="8"/>
    </row>
    <row r="731">
      <c r="G731" s="8"/>
      <c r="H731" s="8"/>
      <c r="I731" s="8"/>
    </row>
    <row r="732">
      <c r="G732" s="8"/>
      <c r="H732" s="8"/>
      <c r="I732" s="8"/>
    </row>
    <row r="733">
      <c r="G733" s="8"/>
      <c r="H733" s="8"/>
      <c r="I733" s="8"/>
    </row>
    <row r="734">
      <c r="G734" s="8"/>
      <c r="H734" s="8"/>
      <c r="I734" s="8"/>
    </row>
    <row r="735">
      <c r="G735" s="8"/>
      <c r="H735" s="8"/>
      <c r="I735" s="8"/>
    </row>
    <row r="736">
      <c r="G736" s="8"/>
      <c r="H736" s="8"/>
      <c r="I736" s="8"/>
    </row>
    <row r="737">
      <c r="G737" s="8"/>
      <c r="H737" s="8"/>
      <c r="I737" s="8"/>
    </row>
    <row r="738">
      <c r="G738" s="8"/>
      <c r="H738" s="8"/>
      <c r="I738" s="8"/>
    </row>
    <row r="739">
      <c r="G739" s="8"/>
      <c r="H739" s="8"/>
      <c r="I739" s="8"/>
    </row>
    <row r="740">
      <c r="G740" s="8"/>
      <c r="H740" s="8"/>
      <c r="I740" s="8"/>
    </row>
    <row r="741">
      <c r="G741" s="8"/>
      <c r="H741" s="8"/>
      <c r="I741" s="8"/>
    </row>
    <row r="742">
      <c r="G742" s="8"/>
      <c r="H742" s="8"/>
      <c r="I742" s="8"/>
    </row>
    <row r="743">
      <c r="G743" s="8"/>
      <c r="H743" s="8"/>
      <c r="I743" s="8"/>
    </row>
    <row r="744">
      <c r="G744" s="8"/>
      <c r="H744" s="8"/>
      <c r="I744" s="8"/>
    </row>
    <row r="745">
      <c r="G745" s="8"/>
      <c r="H745" s="8"/>
      <c r="I745" s="8"/>
    </row>
    <row r="746">
      <c r="G746" s="8"/>
      <c r="H746" s="8"/>
      <c r="I746" s="8"/>
    </row>
    <row r="747">
      <c r="G747" s="8"/>
      <c r="H747" s="8"/>
      <c r="I747" s="8"/>
    </row>
    <row r="748">
      <c r="G748" s="8"/>
      <c r="H748" s="8"/>
      <c r="I748" s="8"/>
    </row>
    <row r="749">
      <c r="G749" s="8"/>
      <c r="H749" s="8"/>
      <c r="I749" s="8"/>
    </row>
    <row r="750">
      <c r="G750" s="8"/>
      <c r="H750" s="8"/>
      <c r="I750" s="8"/>
    </row>
    <row r="751">
      <c r="G751" s="8"/>
      <c r="H751" s="8"/>
      <c r="I751" s="8"/>
    </row>
    <row r="752">
      <c r="G752" s="8"/>
      <c r="H752" s="8"/>
      <c r="I752" s="8"/>
    </row>
    <row r="753">
      <c r="G753" s="8"/>
      <c r="H753" s="8"/>
      <c r="I753" s="8"/>
    </row>
    <row r="754">
      <c r="G754" s="8"/>
      <c r="H754" s="8"/>
      <c r="I754" s="8"/>
    </row>
    <row r="755">
      <c r="G755" s="8"/>
      <c r="H755" s="8"/>
      <c r="I755" s="8"/>
    </row>
    <row r="756">
      <c r="G756" s="8"/>
      <c r="H756" s="8"/>
      <c r="I756" s="8"/>
    </row>
    <row r="757">
      <c r="G757" s="8"/>
      <c r="H757" s="8"/>
      <c r="I757" s="8"/>
    </row>
    <row r="758">
      <c r="G758" s="8"/>
      <c r="H758" s="8"/>
      <c r="I758" s="8"/>
    </row>
    <row r="759">
      <c r="G759" s="8"/>
      <c r="H759" s="8"/>
      <c r="I759" s="8"/>
    </row>
    <row r="760">
      <c r="G760" s="8"/>
      <c r="H760" s="8"/>
      <c r="I760" s="8"/>
    </row>
    <row r="761">
      <c r="G761" s="8"/>
      <c r="H761" s="8"/>
      <c r="I761" s="8"/>
    </row>
    <row r="762">
      <c r="G762" s="8"/>
      <c r="H762" s="8"/>
      <c r="I762" s="8"/>
    </row>
    <row r="763">
      <c r="G763" s="8"/>
      <c r="H763" s="8"/>
      <c r="I763" s="8"/>
    </row>
    <row r="764">
      <c r="G764" s="8"/>
      <c r="H764" s="8"/>
      <c r="I764" s="8"/>
    </row>
    <row r="765">
      <c r="G765" s="8"/>
      <c r="H765" s="8"/>
      <c r="I765" s="8"/>
    </row>
    <row r="766">
      <c r="G766" s="8"/>
      <c r="H766" s="8"/>
      <c r="I766" s="8"/>
    </row>
    <row r="767">
      <c r="G767" s="8"/>
      <c r="H767" s="8"/>
      <c r="I767" s="8"/>
    </row>
    <row r="768">
      <c r="G768" s="8"/>
      <c r="H768" s="8"/>
      <c r="I768" s="8"/>
    </row>
    <row r="769">
      <c r="G769" s="8"/>
      <c r="H769" s="8"/>
      <c r="I769" s="8"/>
    </row>
    <row r="770">
      <c r="G770" s="8"/>
      <c r="H770" s="8"/>
      <c r="I770" s="8"/>
    </row>
    <row r="771">
      <c r="G771" s="8"/>
      <c r="H771" s="8"/>
      <c r="I771" s="8"/>
    </row>
    <row r="772">
      <c r="G772" s="8"/>
      <c r="H772" s="8"/>
      <c r="I772" s="8"/>
    </row>
    <row r="773">
      <c r="G773" s="8"/>
      <c r="H773" s="8"/>
      <c r="I773" s="8"/>
    </row>
    <row r="774">
      <c r="G774" s="8"/>
      <c r="H774" s="8"/>
      <c r="I774" s="8"/>
    </row>
    <row r="775">
      <c r="G775" s="8"/>
      <c r="H775" s="8"/>
      <c r="I775" s="8"/>
    </row>
    <row r="776">
      <c r="G776" s="8"/>
      <c r="H776" s="8"/>
      <c r="I776" s="8"/>
    </row>
    <row r="777">
      <c r="G777" s="8"/>
      <c r="H777" s="8"/>
      <c r="I777" s="8"/>
    </row>
    <row r="778">
      <c r="G778" s="8"/>
      <c r="H778" s="8"/>
      <c r="I778" s="8"/>
    </row>
    <row r="779">
      <c r="G779" s="8"/>
      <c r="H779" s="8"/>
      <c r="I779" s="8"/>
    </row>
    <row r="780">
      <c r="G780" s="8"/>
      <c r="H780" s="8"/>
      <c r="I780" s="8"/>
    </row>
    <row r="781">
      <c r="G781" s="8"/>
      <c r="H781" s="8"/>
      <c r="I781" s="8"/>
    </row>
    <row r="782">
      <c r="G782" s="8"/>
      <c r="H782" s="8"/>
      <c r="I782" s="8"/>
    </row>
    <row r="783">
      <c r="G783" s="8"/>
      <c r="H783" s="8"/>
      <c r="I783" s="8"/>
    </row>
    <row r="784">
      <c r="G784" s="8"/>
      <c r="H784" s="8"/>
      <c r="I784" s="8"/>
    </row>
    <row r="785">
      <c r="G785" s="8"/>
      <c r="H785" s="8"/>
      <c r="I785" s="8"/>
    </row>
    <row r="786">
      <c r="G786" s="8"/>
      <c r="H786" s="8"/>
      <c r="I786" s="8"/>
    </row>
    <row r="787">
      <c r="G787" s="8"/>
      <c r="H787" s="8"/>
      <c r="I787" s="8"/>
    </row>
    <row r="788">
      <c r="G788" s="8"/>
      <c r="H788" s="8"/>
      <c r="I788" s="8"/>
    </row>
    <row r="789">
      <c r="G789" s="8"/>
      <c r="H789" s="8"/>
      <c r="I789" s="8"/>
    </row>
    <row r="790">
      <c r="G790" s="8"/>
      <c r="H790" s="8"/>
      <c r="I790" s="8"/>
    </row>
    <row r="791">
      <c r="G791" s="8"/>
      <c r="H791" s="8"/>
      <c r="I791" s="8"/>
    </row>
    <row r="792">
      <c r="G792" s="8"/>
      <c r="H792" s="8"/>
      <c r="I792" s="8"/>
    </row>
    <row r="793">
      <c r="G793" s="8"/>
      <c r="H793" s="8"/>
      <c r="I793" s="8"/>
    </row>
    <row r="794">
      <c r="G794" s="8"/>
      <c r="H794" s="8"/>
      <c r="I794" s="8"/>
    </row>
    <row r="795">
      <c r="G795" s="8"/>
      <c r="H795" s="8"/>
      <c r="I795" s="8"/>
    </row>
    <row r="796">
      <c r="G796" s="8"/>
      <c r="H796" s="8"/>
      <c r="I796" s="8"/>
    </row>
    <row r="797">
      <c r="G797" s="8"/>
      <c r="H797" s="8"/>
      <c r="I797" s="8"/>
    </row>
    <row r="798">
      <c r="G798" s="8"/>
      <c r="H798" s="8"/>
      <c r="I798" s="8"/>
    </row>
    <row r="799">
      <c r="G799" s="8"/>
      <c r="H799" s="8"/>
      <c r="I799" s="8"/>
    </row>
    <row r="800">
      <c r="G800" s="8"/>
      <c r="H800" s="8"/>
      <c r="I800" s="8"/>
    </row>
    <row r="801">
      <c r="G801" s="8"/>
      <c r="H801" s="8"/>
      <c r="I801" s="8"/>
    </row>
    <row r="802">
      <c r="G802" s="8"/>
      <c r="H802" s="8"/>
      <c r="I802" s="8"/>
    </row>
    <row r="803">
      <c r="G803" s="8"/>
      <c r="H803" s="8"/>
      <c r="I803" s="8"/>
    </row>
    <row r="804">
      <c r="G804" s="8"/>
      <c r="H804" s="8"/>
      <c r="I804" s="8"/>
    </row>
    <row r="805">
      <c r="G805" s="8"/>
      <c r="H805" s="8"/>
      <c r="I805" s="8"/>
    </row>
    <row r="806">
      <c r="G806" s="8"/>
      <c r="H806" s="8"/>
      <c r="I806" s="8"/>
    </row>
    <row r="807">
      <c r="G807" s="8"/>
      <c r="H807" s="8"/>
      <c r="I807" s="8"/>
    </row>
    <row r="808">
      <c r="G808" s="8"/>
      <c r="H808" s="8"/>
      <c r="I808" s="8"/>
    </row>
    <row r="809">
      <c r="G809" s="8"/>
      <c r="H809" s="8"/>
      <c r="I809" s="8"/>
    </row>
    <row r="810">
      <c r="G810" s="8"/>
      <c r="H810" s="8"/>
      <c r="I810" s="8"/>
    </row>
    <row r="811">
      <c r="G811" s="8"/>
      <c r="H811" s="8"/>
      <c r="I811" s="8"/>
    </row>
    <row r="812">
      <c r="G812" s="8"/>
      <c r="H812" s="8"/>
      <c r="I812" s="8"/>
    </row>
    <row r="813">
      <c r="G813" s="8"/>
      <c r="H813" s="8"/>
      <c r="I813" s="8"/>
    </row>
    <row r="814">
      <c r="G814" s="8"/>
      <c r="H814" s="8"/>
      <c r="I814" s="8"/>
    </row>
    <row r="815">
      <c r="G815" s="8"/>
      <c r="H815" s="8"/>
      <c r="I815" s="8"/>
    </row>
    <row r="816">
      <c r="G816" s="8"/>
      <c r="H816" s="8"/>
      <c r="I816" s="8"/>
    </row>
    <row r="817">
      <c r="G817" s="8"/>
      <c r="H817" s="8"/>
      <c r="I817" s="8"/>
    </row>
    <row r="818">
      <c r="G818" s="8"/>
      <c r="H818" s="8"/>
      <c r="I818" s="8"/>
    </row>
    <row r="819">
      <c r="G819" s="8"/>
      <c r="H819" s="8"/>
      <c r="I819" s="8"/>
    </row>
    <row r="820">
      <c r="G820" s="8"/>
      <c r="H820" s="8"/>
      <c r="I820" s="8"/>
    </row>
    <row r="821">
      <c r="G821" s="8"/>
      <c r="H821" s="8"/>
      <c r="I821" s="8"/>
    </row>
    <row r="822">
      <c r="G822" s="8"/>
      <c r="H822" s="8"/>
      <c r="I822" s="8"/>
    </row>
    <row r="823">
      <c r="G823" s="8"/>
      <c r="H823" s="8"/>
      <c r="I823" s="8"/>
    </row>
    <row r="824">
      <c r="G824" s="8"/>
      <c r="H824" s="8"/>
      <c r="I824" s="8"/>
    </row>
    <row r="825">
      <c r="G825" s="8"/>
      <c r="H825" s="8"/>
      <c r="I825" s="8"/>
    </row>
    <row r="826">
      <c r="G826" s="8"/>
      <c r="H826" s="8"/>
      <c r="I826" s="8"/>
    </row>
    <row r="827">
      <c r="G827" s="8"/>
      <c r="H827" s="8"/>
      <c r="I827" s="8"/>
    </row>
    <row r="828">
      <c r="G828" s="8"/>
      <c r="H828" s="8"/>
      <c r="I828" s="8"/>
    </row>
    <row r="829">
      <c r="G829" s="8"/>
      <c r="H829" s="8"/>
      <c r="I829" s="8"/>
    </row>
    <row r="830">
      <c r="G830" s="8"/>
      <c r="H830" s="8"/>
      <c r="I830" s="8"/>
    </row>
    <row r="831">
      <c r="G831" s="8"/>
      <c r="H831" s="8"/>
      <c r="I831" s="8"/>
    </row>
    <row r="832">
      <c r="G832" s="8"/>
      <c r="H832" s="8"/>
      <c r="I832" s="8"/>
    </row>
    <row r="833">
      <c r="G833" s="8"/>
      <c r="H833" s="8"/>
      <c r="I833" s="8"/>
    </row>
    <row r="834">
      <c r="G834" s="8"/>
      <c r="H834" s="8"/>
      <c r="I834" s="8"/>
    </row>
    <row r="835">
      <c r="G835" s="8"/>
      <c r="H835" s="8"/>
      <c r="I835" s="8"/>
    </row>
    <row r="836">
      <c r="G836" s="8"/>
      <c r="H836" s="8"/>
      <c r="I836" s="8"/>
    </row>
    <row r="837">
      <c r="G837" s="8"/>
      <c r="H837" s="8"/>
      <c r="I837" s="8"/>
    </row>
    <row r="838">
      <c r="G838" s="8"/>
      <c r="H838" s="8"/>
      <c r="I838" s="8"/>
    </row>
    <row r="839">
      <c r="G839" s="8"/>
      <c r="H839" s="8"/>
      <c r="I839" s="8"/>
    </row>
    <row r="840">
      <c r="G840" s="8"/>
      <c r="H840" s="8"/>
      <c r="I840" s="8"/>
    </row>
    <row r="841">
      <c r="G841" s="8"/>
      <c r="H841" s="8"/>
      <c r="I841" s="8"/>
    </row>
    <row r="842">
      <c r="G842" s="8"/>
      <c r="H842" s="8"/>
      <c r="I842" s="8"/>
    </row>
    <row r="843">
      <c r="G843" s="8"/>
      <c r="H843" s="8"/>
      <c r="I843" s="8"/>
    </row>
    <row r="844">
      <c r="G844" s="8"/>
      <c r="H844" s="8"/>
      <c r="I844" s="8"/>
    </row>
    <row r="845">
      <c r="G845" s="8"/>
      <c r="H845" s="8"/>
      <c r="I845" s="8"/>
    </row>
    <row r="846">
      <c r="G846" s="8"/>
      <c r="H846" s="8"/>
      <c r="I846" s="8"/>
    </row>
    <row r="847">
      <c r="G847" s="8"/>
      <c r="H847" s="8"/>
      <c r="I847" s="8"/>
    </row>
    <row r="848">
      <c r="G848" s="8"/>
      <c r="H848" s="8"/>
      <c r="I848" s="8"/>
    </row>
    <row r="849">
      <c r="G849" s="8"/>
      <c r="H849" s="8"/>
      <c r="I849" s="8"/>
    </row>
    <row r="850">
      <c r="G850" s="8"/>
      <c r="H850" s="8"/>
      <c r="I850" s="8"/>
    </row>
    <row r="851">
      <c r="G851" s="8"/>
      <c r="H851" s="8"/>
      <c r="I851" s="8"/>
    </row>
    <row r="852">
      <c r="G852" s="8"/>
      <c r="H852" s="8"/>
      <c r="I852" s="8"/>
    </row>
    <row r="853">
      <c r="G853" s="8"/>
      <c r="H853" s="8"/>
      <c r="I853" s="8"/>
    </row>
    <row r="854">
      <c r="G854" s="8"/>
      <c r="H854" s="8"/>
      <c r="I854" s="8"/>
    </row>
    <row r="855">
      <c r="G855" s="8"/>
      <c r="H855" s="8"/>
      <c r="I855" s="8"/>
    </row>
    <row r="856">
      <c r="G856" s="8"/>
      <c r="H856" s="8"/>
      <c r="I856" s="8"/>
    </row>
    <row r="857">
      <c r="G857" s="8"/>
      <c r="H857" s="8"/>
      <c r="I857" s="8"/>
    </row>
    <row r="858">
      <c r="G858" s="8"/>
      <c r="H858" s="8"/>
      <c r="I858" s="8"/>
    </row>
    <row r="859">
      <c r="G859" s="8"/>
      <c r="H859" s="8"/>
      <c r="I859" s="8"/>
    </row>
    <row r="860">
      <c r="G860" s="8"/>
      <c r="H860" s="8"/>
      <c r="I860" s="8"/>
    </row>
    <row r="861">
      <c r="G861" s="8"/>
      <c r="H861" s="8"/>
      <c r="I861" s="8"/>
    </row>
    <row r="862">
      <c r="G862" s="8"/>
      <c r="H862" s="8"/>
      <c r="I862" s="8"/>
    </row>
    <row r="863">
      <c r="G863" s="8"/>
      <c r="H863" s="8"/>
      <c r="I863" s="8"/>
    </row>
    <row r="864">
      <c r="G864" s="8"/>
      <c r="H864" s="8"/>
      <c r="I864" s="8"/>
    </row>
    <row r="865">
      <c r="G865" s="8"/>
      <c r="H865" s="8"/>
      <c r="I865" s="8"/>
    </row>
    <row r="866">
      <c r="G866" s="8"/>
      <c r="H866" s="8"/>
      <c r="I866" s="8"/>
    </row>
    <row r="867">
      <c r="G867" s="8"/>
      <c r="H867" s="8"/>
      <c r="I867" s="8"/>
    </row>
    <row r="868">
      <c r="G868" s="8"/>
      <c r="H868" s="8"/>
      <c r="I868" s="8"/>
    </row>
    <row r="869">
      <c r="G869" s="8"/>
      <c r="H869" s="8"/>
      <c r="I869" s="8"/>
    </row>
    <row r="870">
      <c r="G870" s="8"/>
      <c r="H870" s="8"/>
      <c r="I870" s="8"/>
    </row>
    <row r="871">
      <c r="G871" s="8"/>
      <c r="H871" s="8"/>
      <c r="I871" s="8"/>
    </row>
    <row r="872">
      <c r="G872" s="8"/>
      <c r="H872" s="8"/>
      <c r="I872" s="8"/>
    </row>
    <row r="873">
      <c r="G873" s="8"/>
      <c r="H873" s="8"/>
      <c r="I873" s="8"/>
    </row>
    <row r="874">
      <c r="G874" s="8"/>
      <c r="H874" s="8"/>
      <c r="I874" s="8"/>
    </row>
    <row r="875">
      <c r="G875" s="8"/>
      <c r="H875" s="8"/>
      <c r="I875" s="8"/>
    </row>
    <row r="876">
      <c r="G876" s="8"/>
      <c r="H876" s="8"/>
      <c r="I876" s="8"/>
    </row>
    <row r="877">
      <c r="G877" s="8"/>
      <c r="H877" s="8"/>
      <c r="I877" s="8"/>
    </row>
    <row r="878">
      <c r="G878" s="8"/>
      <c r="H878" s="8"/>
      <c r="I878" s="8"/>
    </row>
    <row r="879">
      <c r="G879" s="8"/>
      <c r="H879" s="8"/>
      <c r="I879" s="8"/>
    </row>
    <row r="880">
      <c r="G880" s="8"/>
      <c r="H880" s="8"/>
      <c r="I880" s="8"/>
    </row>
    <row r="881">
      <c r="G881" s="8"/>
      <c r="H881" s="8"/>
      <c r="I881" s="8"/>
    </row>
    <row r="882">
      <c r="G882" s="8"/>
      <c r="H882" s="8"/>
      <c r="I882" s="8"/>
    </row>
    <row r="883">
      <c r="G883" s="8"/>
      <c r="H883" s="8"/>
      <c r="I883" s="8"/>
    </row>
    <row r="884">
      <c r="G884" s="8"/>
      <c r="H884" s="8"/>
      <c r="I884" s="8"/>
    </row>
    <row r="885">
      <c r="G885" s="8"/>
      <c r="H885" s="8"/>
      <c r="I885" s="8"/>
    </row>
    <row r="886">
      <c r="G886" s="8"/>
      <c r="H886" s="8"/>
      <c r="I886" s="8"/>
    </row>
    <row r="887">
      <c r="G887" s="8"/>
      <c r="H887" s="8"/>
      <c r="I887" s="8"/>
    </row>
    <row r="888">
      <c r="G888" s="8"/>
      <c r="H888" s="8"/>
      <c r="I888" s="8"/>
    </row>
    <row r="889">
      <c r="G889" s="8"/>
      <c r="H889" s="8"/>
      <c r="I889" s="8"/>
    </row>
    <row r="890">
      <c r="G890" s="8"/>
      <c r="H890" s="8"/>
      <c r="I890" s="8"/>
    </row>
    <row r="891">
      <c r="G891" s="8"/>
      <c r="H891" s="8"/>
      <c r="I891" s="8"/>
    </row>
    <row r="892">
      <c r="G892" s="8"/>
      <c r="H892" s="8"/>
      <c r="I892" s="8"/>
    </row>
    <row r="893">
      <c r="G893" s="8"/>
      <c r="H893" s="8"/>
      <c r="I893" s="8"/>
    </row>
    <row r="894">
      <c r="G894" s="8"/>
      <c r="H894" s="8"/>
      <c r="I894" s="8"/>
    </row>
    <row r="895">
      <c r="G895" s="8"/>
      <c r="H895" s="8"/>
      <c r="I895" s="8"/>
    </row>
    <row r="896">
      <c r="G896" s="8"/>
      <c r="H896" s="8"/>
      <c r="I896" s="8"/>
    </row>
    <row r="897">
      <c r="G897" s="8"/>
      <c r="H897" s="8"/>
      <c r="I897" s="8"/>
    </row>
    <row r="898">
      <c r="G898" s="8"/>
      <c r="H898" s="8"/>
      <c r="I898" s="8"/>
    </row>
    <row r="899">
      <c r="G899" s="8"/>
      <c r="H899" s="8"/>
      <c r="I899" s="8"/>
    </row>
    <row r="900">
      <c r="G900" s="8"/>
      <c r="H900" s="8"/>
      <c r="I900" s="8"/>
    </row>
    <row r="901">
      <c r="G901" s="8"/>
      <c r="H901" s="8"/>
      <c r="I901" s="8"/>
    </row>
    <row r="902">
      <c r="G902" s="8"/>
      <c r="H902" s="8"/>
      <c r="I902" s="8"/>
    </row>
    <row r="903">
      <c r="G903" s="8"/>
      <c r="H903" s="8"/>
      <c r="I903" s="8"/>
    </row>
    <row r="904">
      <c r="G904" s="8"/>
      <c r="H904" s="8"/>
      <c r="I904" s="8"/>
    </row>
    <row r="905">
      <c r="G905" s="8"/>
      <c r="H905" s="8"/>
      <c r="I905" s="8"/>
    </row>
    <row r="906">
      <c r="G906" s="8"/>
      <c r="H906" s="8"/>
      <c r="I906" s="8"/>
    </row>
    <row r="907">
      <c r="G907" s="8"/>
      <c r="H907" s="8"/>
      <c r="I907" s="8"/>
    </row>
    <row r="908">
      <c r="G908" s="8"/>
      <c r="H908" s="8"/>
      <c r="I908" s="8"/>
    </row>
    <row r="909">
      <c r="G909" s="8"/>
      <c r="H909" s="8"/>
      <c r="I909" s="8"/>
    </row>
    <row r="910">
      <c r="G910" s="8"/>
      <c r="H910" s="8"/>
      <c r="I910" s="8"/>
    </row>
    <row r="911">
      <c r="G911" s="8"/>
      <c r="H911" s="8"/>
      <c r="I911" s="8"/>
    </row>
    <row r="912">
      <c r="G912" s="8"/>
      <c r="H912" s="8"/>
      <c r="I912" s="8"/>
    </row>
    <row r="913">
      <c r="G913" s="8"/>
      <c r="H913" s="8"/>
      <c r="I913" s="8"/>
    </row>
    <row r="914">
      <c r="G914" s="8"/>
      <c r="H914" s="8"/>
      <c r="I914" s="8"/>
    </row>
    <row r="915">
      <c r="G915" s="8"/>
      <c r="H915" s="8"/>
      <c r="I915" s="8"/>
    </row>
    <row r="916">
      <c r="G916" s="8"/>
      <c r="H916" s="8"/>
      <c r="I916" s="8"/>
    </row>
    <row r="917">
      <c r="G917" s="8"/>
      <c r="H917" s="8"/>
      <c r="I917" s="8"/>
    </row>
    <row r="918">
      <c r="G918" s="8"/>
      <c r="H918" s="8"/>
      <c r="I918" s="8"/>
    </row>
    <row r="919">
      <c r="G919" s="8"/>
      <c r="H919" s="8"/>
      <c r="I919" s="8"/>
    </row>
    <row r="920">
      <c r="G920" s="8"/>
      <c r="H920" s="8"/>
      <c r="I920" s="8"/>
    </row>
    <row r="921">
      <c r="G921" s="8"/>
      <c r="H921" s="8"/>
      <c r="I921" s="8"/>
    </row>
    <row r="922">
      <c r="G922" s="8"/>
      <c r="H922" s="8"/>
      <c r="I922" s="8"/>
    </row>
    <row r="923">
      <c r="G923" s="8"/>
      <c r="H923" s="8"/>
      <c r="I923" s="8"/>
    </row>
    <row r="924">
      <c r="G924" s="8"/>
      <c r="H924" s="8"/>
      <c r="I924" s="8"/>
    </row>
    <row r="925">
      <c r="G925" s="8"/>
      <c r="H925" s="8"/>
      <c r="I925" s="8"/>
    </row>
    <row r="926">
      <c r="G926" s="8"/>
      <c r="H926" s="8"/>
      <c r="I926" s="8"/>
    </row>
    <row r="927">
      <c r="G927" s="8"/>
      <c r="H927" s="8"/>
      <c r="I927" s="8"/>
    </row>
    <row r="928">
      <c r="G928" s="8"/>
      <c r="H928" s="8"/>
      <c r="I928" s="8"/>
    </row>
    <row r="929">
      <c r="G929" s="8"/>
      <c r="H929" s="8"/>
      <c r="I929" s="8"/>
    </row>
    <row r="930">
      <c r="G930" s="8"/>
      <c r="H930" s="8"/>
      <c r="I930" s="8"/>
    </row>
    <row r="931">
      <c r="G931" s="8"/>
      <c r="H931" s="8"/>
      <c r="I931" s="8"/>
    </row>
    <row r="932">
      <c r="G932" s="8"/>
      <c r="H932" s="8"/>
      <c r="I932" s="8"/>
    </row>
    <row r="933">
      <c r="G933" s="8"/>
      <c r="H933" s="8"/>
      <c r="I933" s="8"/>
    </row>
    <row r="934">
      <c r="G934" s="8"/>
      <c r="H934" s="8"/>
      <c r="I934" s="8"/>
    </row>
    <row r="935">
      <c r="G935" s="8"/>
      <c r="H935" s="8"/>
      <c r="I935" s="8"/>
    </row>
    <row r="936">
      <c r="G936" s="8"/>
      <c r="H936" s="8"/>
      <c r="I936" s="8"/>
    </row>
    <row r="937">
      <c r="G937" s="8"/>
      <c r="H937" s="8"/>
      <c r="I937" s="8"/>
    </row>
    <row r="938">
      <c r="G938" s="8"/>
      <c r="H938" s="8"/>
      <c r="I938" s="8"/>
    </row>
    <row r="939">
      <c r="G939" s="8"/>
      <c r="H939" s="8"/>
      <c r="I939" s="8"/>
    </row>
    <row r="940">
      <c r="G940" s="8"/>
      <c r="H940" s="8"/>
      <c r="I940" s="8"/>
    </row>
    <row r="941">
      <c r="G941" s="8"/>
      <c r="H941" s="8"/>
      <c r="I941" s="8"/>
    </row>
    <row r="942">
      <c r="G942" s="8"/>
      <c r="H942" s="8"/>
      <c r="I942" s="8"/>
    </row>
    <row r="943">
      <c r="G943" s="8"/>
      <c r="H943" s="8"/>
      <c r="I943" s="8"/>
    </row>
    <row r="944">
      <c r="G944" s="8"/>
      <c r="H944" s="8"/>
      <c r="I944" s="8"/>
    </row>
    <row r="945">
      <c r="G945" s="8"/>
      <c r="H945" s="8"/>
      <c r="I945" s="8"/>
    </row>
    <row r="946">
      <c r="G946" s="8"/>
      <c r="H946" s="8"/>
      <c r="I946" s="8"/>
    </row>
    <row r="947">
      <c r="G947" s="8"/>
      <c r="H947" s="8"/>
      <c r="I947" s="8"/>
    </row>
    <row r="948">
      <c r="G948" s="8"/>
      <c r="H948" s="8"/>
      <c r="I948" s="8"/>
    </row>
    <row r="949">
      <c r="G949" s="8"/>
      <c r="H949" s="8"/>
      <c r="I949" s="8"/>
    </row>
    <row r="950">
      <c r="G950" s="8"/>
      <c r="H950" s="8"/>
      <c r="I950" s="8"/>
    </row>
    <row r="951">
      <c r="G951" s="8"/>
      <c r="H951" s="8"/>
      <c r="I951" s="8"/>
    </row>
    <row r="952">
      <c r="G952" s="8"/>
      <c r="H952" s="8"/>
      <c r="I952" s="8"/>
    </row>
    <row r="953">
      <c r="G953" s="8"/>
      <c r="H953" s="8"/>
      <c r="I953" s="8"/>
    </row>
    <row r="954">
      <c r="G954" s="8"/>
      <c r="H954" s="8"/>
      <c r="I954" s="8"/>
    </row>
    <row r="955">
      <c r="G955" s="8"/>
      <c r="H955" s="8"/>
      <c r="I955" s="8"/>
    </row>
    <row r="956">
      <c r="G956" s="8"/>
      <c r="H956" s="8"/>
      <c r="I956" s="8"/>
    </row>
    <row r="957">
      <c r="G957" s="8"/>
      <c r="H957" s="8"/>
      <c r="I957" s="8"/>
    </row>
    <row r="958">
      <c r="G958" s="8"/>
      <c r="H958" s="8"/>
      <c r="I958" s="8"/>
    </row>
    <row r="959">
      <c r="G959" s="8"/>
      <c r="H959" s="8"/>
      <c r="I959" s="8"/>
    </row>
    <row r="960">
      <c r="G960" s="8"/>
      <c r="H960" s="8"/>
      <c r="I960" s="8"/>
    </row>
    <row r="961">
      <c r="G961" s="8"/>
      <c r="H961" s="8"/>
      <c r="I961" s="8"/>
    </row>
    <row r="962">
      <c r="G962" s="8"/>
      <c r="H962" s="8"/>
      <c r="I962" s="8"/>
    </row>
    <row r="963">
      <c r="G963" s="8"/>
      <c r="H963" s="8"/>
      <c r="I963" s="8"/>
    </row>
    <row r="964">
      <c r="G964" s="8"/>
      <c r="H964" s="8"/>
      <c r="I964" s="8"/>
    </row>
    <row r="965">
      <c r="G965" s="8"/>
      <c r="H965" s="8"/>
      <c r="I965" s="8"/>
    </row>
    <row r="966">
      <c r="G966" s="8"/>
      <c r="H966" s="8"/>
      <c r="I966" s="8"/>
    </row>
    <row r="967">
      <c r="G967" s="8"/>
      <c r="H967" s="8"/>
      <c r="I967" s="8"/>
    </row>
    <row r="968">
      <c r="G968" s="8"/>
      <c r="H968" s="8"/>
      <c r="I968" s="8"/>
    </row>
    <row r="969">
      <c r="G969" s="8"/>
      <c r="H969" s="8"/>
      <c r="I969" s="8"/>
    </row>
    <row r="970">
      <c r="G970" s="8"/>
      <c r="H970" s="8"/>
      <c r="I970" s="8"/>
    </row>
    <row r="971">
      <c r="G971" s="8"/>
      <c r="H971" s="8"/>
      <c r="I971" s="8"/>
    </row>
    <row r="972">
      <c r="G972" s="8"/>
      <c r="H972" s="8"/>
      <c r="I972" s="8"/>
    </row>
    <row r="973">
      <c r="G973" s="8"/>
      <c r="H973" s="8"/>
      <c r="I973" s="8"/>
    </row>
    <row r="974">
      <c r="G974" s="8"/>
      <c r="H974" s="8"/>
      <c r="I974" s="8"/>
    </row>
    <row r="975">
      <c r="G975" s="8"/>
      <c r="H975" s="8"/>
      <c r="I975" s="8"/>
    </row>
    <row r="976">
      <c r="G976" s="8"/>
      <c r="H976" s="8"/>
      <c r="I976" s="8"/>
    </row>
    <row r="977">
      <c r="G977" s="8"/>
      <c r="H977" s="8"/>
      <c r="I977" s="8"/>
    </row>
    <row r="978">
      <c r="G978" s="8"/>
      <c r="H978" s="8"/>
      <c r="I978" s="8"/>
    </row>
    <row r="979">
      <c r="G979" s="8"/>
      <c r="H979" s="8"/>
      <c r="I979" s="8"/>
    </row>
    <row r="980">
      <c r="G980" s="8"/>
      <c r="H980" s="8"/>
      <c r="I980" s="8"/>
    </row>
    <row r="981">
      <c r="G981" s="8"/>
      <c r="H981" s="8"/>
      <c r="I981" s="8"/>
    </row>
    <row r="982">
      <c r="G982" s="8"/>
      <c r="H982" s="8"/>
      <c r="I982" s="8"/>
    </row>
    <row r="983">
      <c r="G983" s="8"/>
      <c r="H983" s="8"/>
      <c r="I983" s="8"/>
    </row>
    <row r="984">
      <c r="G984" s="8"/>
      <c r="H984" s="8"/>
      <c r="I984" s="8"/>
    </row>
    <row r="985">
      <c r="G985" s="8"/>
      <c r="H985" s="8"/>
      <c r="I985" s="8"/>
    </row>
    <row r="986">
      <c r="G986" s="8"/>
      <c r="H986" s="8"/>
      <c r="I986" s="8"/>
    </row>
    <row r="987">
      <c r="G987" s="8"/>
      <c r="H987" s="8"/>
      <c r="I987" s="8"/>
    </row>
    <row r="988">
      <c r="G988" s="8"/>
      <c r="H988" s="8"/>
      <c r="I988" s="8"/>
    </row>
    <row r="989">
      <c r="G989" s="8"/>
      <c r="H989" s="8"/>
      <c r="I989" s="8"/>
    </row>
    <row r="990">
      <c r="G990" s="8"/>
      <c r="H990" s="8"/>
      <c r="I990" s="8"/>
    </row>
    <row r="991">
      <c r="G991" s="8"/>
      <c r="H991" s="8"/>
      <c r="I991" s="8"/>
    </row>
    <row r="992">
      <c r="G992" s="8"/>
      <c r="H992" s="8"/>
      <c r="I992" s="8"/>
    </row>
    <row r="993">
      <c r="G993" s="8"/>
      <c r="H993" s="8"/>
      <c r="I993" s="8"/>
    </row>
    <row r="994">
      <c r="G994" s="8"/>
      <c r="H994" s="8"/>
      <c r="I994" s="8"/>
    </row>
    <row r="995">
      <c r="G995" s="8"/>
      <c r="H995" s="8"/>
      <c r="I995" s="8"/>
    </row>
    <row r="996">
      <c r="G996" s="8"/>
      <c r="H996" s="8"/>
      <c r="I996" s="8"/>
    </row>
    <row r="997">
      <c r="G997" s="8"/>
      <c r="H997" s="8"/>
      <c r="I997" s="8"/>
    </row>
    <row r="998">
      <c r="G998" s="8"/>
      <c r="H998" s="8"/>
      <c r="I998" s="8"/>
    </row>
    <row r="999">
      <c r="G999" s="8"/>
      <c r="H999" s="8"/>
      <c r="I999" s="8"/>
    </row>
    <row r="1000">
      <c r="G1000" s="8"/>
      <c r="H1000" s="8"/>
      <c r="I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28</v>
      </c>
      <c r="B1" s="11" t="str">
        <f>IFERROR(__xludf.DUMMYFUNCTION("QUERY(IMPORTHTML(""https://www.teamrankings.com/nfl/stat/giveaways-per-game?date="" &amp; TEXT(TODAY(),""yyyy-mm-dd""), ""table"", 1, ""en_US""), ""SELECT Col2, Col3, Col4, Col5, Col6, Col7, Col8"")
"),"Team")</f>
        <v>Team</v>
      </c>
      <c r="C1" s="12" t="str">
        <f>IFERROR(__xludf.DUMMYFUNCTION("""COMPUTED_VALUE"""),"2024")</f>
        <v>2024</v>
      </c>
      <c r="D1" s="13" t="str">
        <f>IFERROR(__xludf.DUMMYFUNCTION("""COMPUTED_VALUE"""),"Last 3")</f>
        <v>Last 3</v>
      </c>
      <c r="E1" s="13" t="str">
        <f>IFERROR(__xludf.DUMMYFUNCTION("""COMPUTED_VALUE"""),"Last 1")</f>
        <v>Last 1</v>
      </c>
      <c r="F1" s="12" t="str">
        <f>IFERROR(__xludf.DUMMYFUNCTION("""COMPUTED_VALUE"""),"Home")</f>
        <v>Home</v>
      </c>
      <c r="G1" s="12" t="str">
        <f>IFERROR(__xludf.DUMMYFUNCTION("""COMPUTED_VALUE"""),"Away")</f>
        <v>Away</v>
      </c>
      <c r="H1" s="12" t="str">
        <f>IFERROR(__xludf.DUMMYFUNCTION("""COMPUTED_VALUE"""),"2023")</f>
        <v>2023</v>
      </c>
    </row>
    <row r="2">
      <c r="A2" s="14">
        <f>VLOOKUP(B2,map!B:C,2,false)</f>
        <v>8</v>
      </c>
      <c r="B2" s="15" t="str">
        <f>IFERROR(__xludf.DUMMYFUNCTION("""COMPUTED_VALUE"""),"Washington")</f>
        <v>Washington</v>
      </c>
      <c r="C2" s="16">
        <f>IFERROR(__xludf.DUMMYFUNCTION("""COMPUTED_VALUE"""),0.4)</f>
        <v>0.4</v>
      </c>
      <c r="D2" s="16">
        <f>IFERROR(__xludf.DUMMYFUNCTION("""COMPUTED_VALUE"""),0.0)</f>
        <v>0</v>
      </c>
      <c r="E2" s="16">
        <f>IFERROR(__xludf.DUMMYFUNCTION("""COMPUTED_VALUE"""),0.0)</f>
        <v>0</v>
      </c>
      <c r="F2" s="16">
        <f>IFERROR(__xludf.DUMMYFUNCTION("""COMPUTED_VALUE"""),0.5)</f>
        <v>0.5</v>
      </c>
      <c r="G2" s="16">
        <f>IFERROR(__xludf.DUMMYFUNCTION("""COMPUTED_VALUE"""),0.3)</f>
        <v>0.3</v>
      </c>
      <c r="H2" s="16">
        <f>IFERROR(__xludf.DUMMYFUNCTION("""COMPUTED_VALUE"""),1.9)</f>
        <v>1.9</v>
      </c>
    </row>
    <row r="3">
      <c r="A3" s="14">
        <f>VLOOKUP(B3,map!B:C,2,false)</f>
        <v>11</v>
      </c>
      <c r="B3" s="15" t="str">
        <f>IFERROR(__xludf.DUMMYFUNCTION("""COMPUTED_VALUE"""),"Buffalo")</f>
        <v>Buffalo</v>
      </c>
      <c r="C3" s="16">
        <f>IFERROR(__xludf.DUMMYFUNCTION("""COMPUTED_VALUE"""),0.4)</f>
        <v>0.4</v>
      </c>
      <c r="D3" s="16">
        <f>IFERROR(__xludf.DUMMYFUNCTION("""COMPUTED_VALUE"""),0.3)</f>
        <v>0.3</v>
      </c>
      <c r="E3" s="16">
        <f>IFERROR(__xludf.DUMMYFUNCTION("""COMPUTED_VALUE"""),1.0)</f>
        <v>1</v>
      </c>
      <c r="F3" s="16">
        <f>IFERROR(__xludf.DUMMYFUNCTION("""COMPUTED_VALUE"""),0.3)</f>
        <v>0.3</v>
      </c>
      <c r="G3" s="16">
        <f>IFERROR(__xludf.DUMMYFUNCTION("""COMPUTED_VALUE"""),0.4)</f>
        <v>0.4</v>
      </c>
      <c r="H3" s="16">
        <f>IFERROR(__xludf.DUMMYFUNCTION("""COMPUTED_VALUE"""),1.5)</f>
        <v>1.5</v>
      </c>
    </row>
    <row r="4">
      <c r="A4" s="14">
        <f>VLOOKUP(B4,map!B:C,2,false)</f>
        <v>29</v>
      </c>
      <c r="B4" s="15" t="str">
        <f>IFERROR(__xludf.DUMMYFUNCTION("""COMPUTED_VALUE"""),"Pittsburgh")</f>
        <v>Pittsburgh</v>
      </c>
      <c r="C4" s="16">
        <f>IFERROR(__xludf.DUMMYFUNCTION("""COMPUTED_VALUE"""),0.6)</f>
        <v>0.6</v>
      </c>
      <c r="D4" s="16">
        <f>IFERROR(__xludf.DUMMYFUNCTION("""COMPUTED_VALUE"""),0.3)</f>
        <v>0.3</v>
      </c>
      <c r="E4" s="16">
        <f>IFERROR(__xludf.DUMMYFUNCTION("""COMPUTED_VALUE"""),0.0)</f>
        <v>0</v>
      </c>
      <c r="F4" s="16">
        <f>IFERROR(__xludf.DUMMYFUNCTION("""COMPUTED_VALUE"""),0.7)</f>
        <v>0.7</v>
      </c>
      <c r="G4" s="16">
        <f>IFERROR(__xludf.DUMMYFUNCTION("""COMPUTED_VALUE"""),0.5)</f>
        <v>0.5</v>
      </c>
      <c r="H4" s="16">
        <f>IFERROR(__xludf.DUMMYFUNCTION("""COMPUTED_VALUE"""),1.0)</f>
        <v>1</v>
      </c>
    </row>
    <row r="5">
      <c r="A5" s="14">
        <f>VLOOKUP(B5,map!B:C,2,false)</f>
        <v>7</v>
      </c>
      <c r="B5" s="15" t="str">
        <f>IFERROR(__xludf.DUMMYFUNCTION("""COMPUTED_VALUE"""),"LA Chargers")</f>
        <v>LA Chargers</v>
      </c>
      <c r="C5" s="16">
        <f>IFERROR(__xludf.DUMMYFUNCTION("""COMPUTED_VALUE"""),0.6)</f>
        <v>0.6</v>
      </c>
      <c r="D5" s="16">
        <f>IFERROR(__xludf.DUMMYFUNCTION("""COMPUTED_VALUE"""),0.7)</f>
        <v>0.7</v>
      </c>
      <c r="E5" s="16">
        <f>IFERROR(__xludf.DUMMYFUNCTION("""COMPUTED_VALUE"""),0.0)</f>
        <v>0</v>
      </c>
      <c r="F5" s="16">
        <f>IFERROR(__xludf.DUMMYFUNCTION("""COMPUTED_VALUE"""),0.0)</f>
        <v>0</v>
      </c>
      <c r="G5" s="16">
        <f>IFERROR(__xludf.DUMMYFUNCTION("""COMPUTED_VALUE"""),1.0)</f>
        <v>1</v>
      </c>
      <c r="H5" s="16">
        <f>IFERROR(__xludf.DUMMYFUNCTION("""COMPUTED_VALUE"""),1.2)</f>
        <v>1.2</v>
      </c>
    </row>
    <row r="6">
      <c r="A6" s="14">
        <f>VLOOKUP(B6,map!B:C,2,false)</f>
        <v>5</v>
      </c>
      <c r="B6" s="15" t="str">
        <f>IFERROR(__xludf.DUMMYFUNCTION("""COMPUTED_VALUE"""),"Detroit")</f>
        <v>Detroit</v>
      </c>
      <c r="C6" s="16">
        <f>IFERROR(__xludf.DUMMYFUNCTION("""COMPUTED_VALUE"""),0.7)</f>
        <v>0.7</v>
      </c>
      <c r="D6" s="16">
        <f>IFERROR(__xludf.DUMMYFUNCTION("""COMPUTED_VALUE"""),0.3)</f>
        <v>0.3</v>
      </c>
      <c r="E6" s="16">
        <f>IFERROR(__xludf.DUMMYFUNCTION("""COMPUTED_VALUE"""),0.0)</f>
        <v>0</v>
      </c>
      <c r="F6" s="16">
        <f>IFERROR(__xludf.DUMMYFUNCTION("""COMPUTED_VALUE"""),0.8)</f>
        <v>0.8</v>
      </c>
      <c r="G6" s="16">
        <f>IFERROR(__xludf.DUMMYFUNCTION("""COMPUTED_VALUE"""),0.7)</f>
        <v>0.7</v>
      </c>
      <c r="H6" s="16">
        <f>IFERROR(__xludf.DUMMYFUNCTION("""COMPUTED_VALUE"""),1.2)</f>
        <v>1.2</v>
      </c>
    </row>
    <row r="7">
      <c r="A7" s="14">
        <f>VLOOKUP(B7,map!B:C,2,false)</f>
        <v>30</v>
      </c>
      <c r="B7" s="15" t="str">
        <f>IFERROR(__xludf.DUMMYFUNCTION("""COMPUTED_VALUE"""),"Baltimore")</f>
        <v>Baltimore</v>
      </c>
      <c r="C7" s="16">
        <f>IFERROR(__xludf.DUMMYFUNCTION("""COMPUTED_VALUE"""),0.8)</f>
        <v>0.8</v>
      </c>
      <c r="D7" s="16">
        <f>IFERROR(__xludf.DUMMYFUNCTION("""COMPUTED_VALUE"""),0.7)</f>
        <v>0.7</v>
      </c>
      <c r="E7" s="16">
        <f>IFERROR(__xludf.DUMMYFUNCTION("""COMPUTED_VALUE"""),0.0)</f>
        <v>0</v>
      </c>
      <c r="F7" s="16">
        <f>IFERROR(__xludf.DUMMYFUNCTION("""COMPUTED_VALUE"""),1.0)</f>
        <v>1</v>
      </c>
      <c r="G7" s="16">
        <f>IFERROR(__xludf.DUMMYFUNCTION("""COMPUTED_VALUE"""),0.6)</f>
        <v>0.6</v>
      </c>
      <c r="H7" s="16">
        <f>IFERROR(__xludf.DUMMYFUNCTION("""COMPUTED_VALUE"""),1.2)</f>
        <v>1.2</v>
      </c>
    </row>
    <row r="8">
      <c r="A8" s="14">
        <f>VLOOKUP(B8,map!B:C,2,false)</f>
        <v>17</v>
      </c>
      <c r="B8" s="15" t="str">
        <f>IFERROR(__xludf.DUMMYFUNCTION("""COMPUTED_VALUE"""),"Houston")</f>
        <v>Houston</v>
      </c>
      <c r="C8" s="16">
        <f>IFERROR(__xludf.DUMMYFUNCTION("""COMPUTED_VALUE"""),1.0)</f>
        <v>1</v>
      </c>
      <c r="D8" s="16">
        <f>IFERROR(__xludf.DUMMYFUNCTION("""COMPUTED_VALUE"""),0.7)</f>
        <v>0.7</v>
      </c>
      <c r="E8" s="16">
        <f>IFERROR(__xludf.DUMMYFUNCTION("""COMPUTED_VALUE"""),1.0)</f>
        <v>1</v>
      </c>
      <c r="F8" s="16">
        <f>IFERROR(__xludf.DUMMYFUNCTION("""COMPUTED_VALUE"""),1.3)</f>
        <v>1.3</v>
      </c>
      <c r="G8" s="16">
        <f>IFERROR(__xludf.DUMMYFUNCTION("""COMPUTED_VALUE"""),0.8)</f>
        <v>0.8</v>
      </c>
      <c r="H8" s="16">
        <f>IFERROR(__xludf.DUMMYFUNCTION("""COMPUTED_VALUE"""),0.7)</f>
        <v>0.7</v>
      </c>
    </row>
    <row r="9">
      <c r="A9" s="14">
        <f>VLOOKUP(B9,map!B:C,2,false)</f>
        <v>22</v>
      </c>
      <c r="B9" s="15" t="str">
        <f>IFERROR(__xludf.DUMMYFUNCTION("""COMPUTED_VALUE"""),"New England")</f>
        <v>New England</v>
      </c>
      <c r="C9" s="16">
        <f>IFERROR(__xludf.DUMMYFUNCTION("""COMPUTED_VALUE"""),1.0)</f>
        <v>1</v>
      </c>
      <c r="D9" s="16">
        <f>IFERROR(__xludf.DUMMYFUNCTION("""COMPUTED_VALUE"""),1.3)</f>
        <v>1.3</v>
      </c>
      <c r="E9" s="16">
        <f>IFERROR(__xludf.DUMMYFUNCTION("""COMPUTED_VALUE"""),0.0)</f>
        <v>0</v>
      </c>
      <c r="F9" s="16">
        <f>IFERROR(__xludf.DUMMYFUNCTION("""COMPUTED_VALUE"""),1.0)</f>
        <v>1</v>
      </c>
      <c r="G9" s="16">
        <f>IFERROR(__xludf.DUMMYFUNCTION("""COMPUTED_VALUE"""),1.0)</f>
        <v>1</v>
      </c>
      <c r="H9" s="16">
        <f>IFERROR(__xludf.DUMMYFUNCTION("""COMPUTED_VALUE"""),1.7)</f>
        <v>1.7</v>
      </c>
    </row>
    <row r="10">
      <c r="A10" s="14">
        <f>VLOOKUP(B10,map!B:C,2,false)</f>
        <v>4</v>
      </c>
      <c r="B10" s="15" t="str">
        <f>IFERROR(__xludf.DUMMYFUNCTION("""COMPUTED_VALUE"""),"Cincinnati")</f>
        <v>Cincinnati</v>
      </c>
      <c r="C10" s="16">
        <f>IFERROR(__xludf.DUMMYFUNCTION("""COMPUTED_VALUE"""),1.0)</f>
        <v>1</v>
      </c>
      <c r="D10" s="16">
        <f>IFERROR(__xludf.DUMMYFUNCTION("""COMPUTED_VALUE"""),1.0)</f>
        <v>1</v>
      </c>
      <c r="E10" s="16">
        <f>IFERROR(__xludf.DUMMYFUNCTION("""COMPUTED_VALUE"""),2.0)</f>
        <v>2</v>
      </c>
      <c r="F10" s="16">
        <f>IFERROR(__xludf.DUMMYFUNCTION("""COMPUTED_VALUE"""),1.3)</f>
        <v>1.3</v>
      </c>
      <c r="G10" s="16">
        <f>IFERROR(__xludf.DUMMYFUNCTION("""COMPUTED_VALUE"""),0.8)</f>
        <v>0.8</v>
      </c>
      <c r="H10" s="16">
        <f>IFERROR(__xludf.DUMMYFUNCTION("""COMPUTED_VALUE"""),0.9)</f>
        <v>0.9</v>
      </c>
    </row>
    <row r="11">
      <c r="A11" s="14">
        <f>VLOOKUP(B11,map!B:C,2,false)</f>
        <v>6</v>
      </c>
      <c r="B11" s="15" t="str">
        <f>IFERROR(__xludf.DUMMYFUNCTION("""COMPUTED_VALUE"""),"Jacksonville")</f>
        <v>Jacksonville</v>
      </c>
      <c r="C11" s="16">
        <f>IFERROR(__xludf.DUMMYFUNCTION("""COMPUTED_VALUE"""),1.1)</f>
        <v>1.1</v>
      </c>
      <c r="D11" s="16">
        <f>IFERROR(__xludf.DUMMYFUNCTION("""COMPUTED_VALUE"""),1.3)</f>
        <v>1.3</v>
      </c>
      <c r="E11" s="16">
        <f>IFERROR(__xludf.DUMMYFUNCTION("""COMPUTED_VALUE"""),2.0)</f>
        <v>2</v>
      </c>
      <c r="F11" s="16">
        <f>IFERROR(__xludf.DUMMYFUNCTION("""COMPUTED_VALUE"""),1.3)</f>
        <v>1.3</v>
      </c>
      <c r="G11" s="16">
        <f>IFERROR(__xludf.DUMMYFUNCTION("""COMPUTED_VALUE"""),1.0)</f>
        <v>1</v>
      </c>
      <c r="H11" s="16">
        <f>IFERROR(__xludf.DUMMYFUNCTION("""COMPUTED_VALUE"""),1.8)</f>
        <v>1.8</v>
      </c>
    </row>
    <row r="12">
      <c r="A12" s="14">
        <f>VLOOKUP(B12,map!B:C,2,false)</f>
        <v>19</v>
      </c>
      <c r="B12" s="15" t="str">
        <f>IFERROR(__xludf.DUMMYFUNCTION("""COMPUTED_VALUE"""),"NY Jets")</f>
        <v>NY Jets</v>
      </c>
      <c r="C12" s="16">
        <f>IFERROR(__xludf.DUMMYFUNCTION("""COMPUTED_VALUE"""),1.1)</f>
        <v>1.1</v>
      </c>
      <c r="D12" s="16">
        <f>IFERROR(__xludf.DUMMYFUNCTION("""COMPUTED_VALUE"""),1.0)</f>
        <v>1</v>
      </c>
      <c r="E12" s="16">
        <f>IFERROR(__xludf.DUMMYFUNCTION("""COMPUTED_VALUE"""),0.0)</f>
        <v>0</v>
      </c>
      <c r="F12" s="16">
        <f>IFERROR(__xludf.DUMMYFUNCTION("""COMPUTED_VALUE"""),0.7)</f>
        <v>0.7</v>
      </c>
      <c r="G12" s="16">
        <f>IFERROR(__xludf.DUMMYFUNCTION("""COMPUTED_VALUE"""),1.4)</f>
        <v>1.4</v>
      </c>
      <c r="H12" s="16">
        <f>IFERROR(__xludf.DUMMYFUNCTION("""COMPUTED_VALUE"""),1.9)</f>
        <v>1.9</v>
      </c>
    </row>
    <row r="13">
      <c r="A13" s="14">
        <f>VLOOKUP(B13,map!B:C,2,false)</f>
        <v>16</v>
      </c>
      <c r="B13" s="15" t="str">
        <f>IFERROR(__xludf.DUMMYFUNCTION("""COMPUTED_VALUE"""),"Cleveland")</f>
        <v>Cleveland</v>
      </c>
      <c r="C13" s="16">
        <f>IFERROR(__xludf.DUMMYFUNCTION("""COMPUTED_VALUE"""),1.1)</f>
        <v>1.1</v>
      </c>
      <c r="D13" s="16">
        <f>IFERROR(__xludf.DUMMYFUNCTION("""COMPUTED_VALUE"""),1.0)</f>
        <v>1</v>
      </c>
      <c r="E13" s="16">
        <f>IFERROR(__xludf.DUMMYFUNCTION("""COMPUTED_VALUE"""),1.0)</f>
        <v>1</v>
      </c>
      <c r="F13" s="16">
        <f>IFERROR(__xludf.DUMMYFUNCTION("""COMPUTED_VALUE"""),1.8)</f>
        <v>1.8</v>
      </c>
      <c r="G13" s="16">
        <f>IFERROR(__xludf.DUMMYFUNCTION("""COMPUTED_VALUE"""),0.5)</f>
        <v>0.5</v>
      </c>
      <c r="H13" s="16">
        <f>IFERROR(__xludf.DUMMYFUNCTION("""COMPUTED_VALUE"""),2.2)</f>
        <v>2.2</v>
      </c>
    </row>
    <row r="14">
      <c r="A14" s="14">
        <f>VLOOKUP(B14,map!B:C,2,false)</f>
        <v>21</v>
      </c>
      <c r="B14" s="15" t="str">
        <f>IFERROR(__xludf.DUMMYFUNCTION("""COMPUTED_VALUE"""),"Arizona")</f>
        <v>Arizona</v>
      </c>
      <c r="C14" s="16">
        <f>IFERROR(__xludf.DUMMYFUNCTION("""COMPUTED_VALUE"""),1.1)</f>
        <v>1.1</v>
      </c>
      <c r="D14" s="16">
        <f>IFERROR(__xludf.DUMMYFUNCTION("""COMPUTED_VALUE"""),1.3)</f>
        <v>1.3</v>
      </c>
      <c r="E14" s="16">
        <f>IFERROR(__xludf.DUMMYFUNCTION("""COMPUTED_VALUE"""),0.0)</f>
        <v>0</v>
      </c>
      <c r="F14" s="16">
        <f>IFERROR(__xludf.DUMMYFUNCTION("""COMPUTED_VALUE"""),1.0)</f>
        <v>1</v>
      </c>
      <c r="G14" s="16">
        <f>IFERROR(__xludf.DUMMYFUNCTION("""COMPUTED_VALUE"""),1.3)</f>
        <v>1.3</v>
      </c>
      <c r="H14" s="16">
        <f>IFERROR(__xludf.DUMMYFUNCTION("""COMPUTED_VALUE"""),1.1)</f>
        <v>1.1</v>
      </c>
    </row>
    <row r="15">
      <c r="A15" s="14">
        <f>VLOOKUP(B15,map!B:C,2,false)</f>
        <v>31</v>
      </c>
      <c r="B15" s="15" t="str">
        <f>IFERROR(__xludf.DUMMYFUNCTION("""COMPUTED_VALUE"""),"Chicago")</f>
        <v>Chicago</v>
      </c>
      <c r="C15" s="16">
        <f>IFERROR(__xludf.DUMMYFUNCTION("""COMPUTED_VALUE"""),1.1)</f>
        <v>1.1</v>
      </c>
      <c r="D15" s="16">
        <f>IFERROR(__xludf.DUMMYFUNCTION("""COMPUTED_VALUE"""),0.7)</f>
        <v>0.7</v>
      </c>
      <c r="E15" s="16">
        <f>IFERROR(__xludf.DUMMYFUNCTION("""COMPUTED_VALUE"""),1.0)</f>
        <v>1</v>
      </c>
      <c r="F15" s="16">
        <f>IFERROR(__xludf.DUMMYFUNCTION("""COMPUTED_VALUE"""),0.3)</f>
        <v>0.3</v>
      </c>
      <c r="G15" s="16">
        <f>IFERROR(__xludf.DUMMYFUNCTION("""COMPUTED_VALUE"""),1.8)</f>
        <v>1.8</v>
      </c>
      <c r="H15" s="16">
        <f>IFERROR(__xludf.DUMMYFUNCTION("""COMPUTED_VALUE"""),1.5)</f>
        <v>1.5</v>
      </c>
    </row>
    <row r="16">
      <c r="A16" s="14">
        <f>VLOOKUP(B16,map!B:C,2,false)</f>
        <v>10</v>
      </c>
      <c r="B16" s="15" t="str">
        <f>IFERROR(__xludf.DUMMYFUNCTION("""COMPUTED_VALUE"""),"Miami")</f>
        <v>Miami</v>
      </c>
      <c r="C16" s="16">
        <f>IFERROR(__xludf.DUMMYFUNCTION("""COMPUTED_VALUE"""),1.1)</f>
        <v>1.1</v>
      </c>
      <c r="D16" s="16">
        <f>IFERROR(__xludf.DUMMYFUNCTION("""COMPUTED_VALUE"""),1.3)</f>
        <v>1.3</v>
      </c>
      <c r="E16" s="16">
        <f>IFERROR(__xludf.DUMMYFUNCTION("""COMPUTED_VALUE"""),0.0)</f>
        <v>0</v>
      </c>
      <c r="F16" s="16">
        <f>IFERROR(__xludf.DUMMYFUNCTION("""COMPUTED_VALUE"""),1.0)</f>
        <v>1</v>
      </c>
      <c r="G16" s="16">
        <f>IFERROR(__xludf.DUMMYFUNCTION("""COMPUTED_VALUE"""),1.3)</f>
        <v>1.3</v>
      </c>
      <c r="H16" s="16">
        <f>IFERROR(__xludf.DUMMYFUNCTION("""COMPUTED_VALUE"""),1.4)</f>
        <v>1.4</v>
      </c>
    </row>
    <row r="17">
      <c r="A17" s="14">
        <f>VLOOKUP(B17,map!B:C,2,false)</f>
        <v>26</v>
      </c>
      <c r="B17" s="15" t="str">
        <f>IFERROR(__xludf.DUMMYFUNCTION("""COMPUTED_VALUE"""),"NY Giants")</f>
        <v>NY Giants</v>
      </c>
      <c r="C17" s="16">
        <f>IFERROR(__xludf.DUMMYFUNCTION("""COMPUTED_VALUE"""),1.1)</f>
        <v>1.1</v>
      </c>
      <c r="D17" s="16">
        <f>IFERROR(__xludf.DUMMYFUNCTION("""COMPUTED_VALUE"""),0.7)</f>
        <v>0.7</v>
      </c>
      <c r="E17" s="16">
        <f>IFERROR(__xludf.DUMMYFUNCTION("""COMPUTED_VALUE"""),0.0)</f>
        <v>0</v>
      </c>
      <c r="F17" s="16">
        <f>IFERROR(__xludf.DUMMYFUNCTION("""COMPUTED_VALUE"""),1.0)</f>
        <v>1</v>
      </c>
      <c r="G17" s="16">
        <f>IFERROR(__xludf.DUMMYFUNCTION("""COMPUTED_VALUE"""),1.3)</f>
        <v>1.3</v>
      </c>
      <c r="H17" s="16">
        <f>IFERROR(__xludf.DUMMYFUNCTION("""COMPUTED_VALUE"""),1.1)</f>
        <v>1.1</v>
      </c>
    </row>
    <row r="18">
      <c r="A18" s="14">
        <f>VLOOKUP(B18,map!B:C,2,false)</f>
        <v>18</v>
      </c>
      <c r="B18" s="15" t="str">
        <f>IFERROR(__xludf.DUMMYFUNCTION("""COMPUTED_VALUE"""),"LA Rams")</f>
        <v>LA Rams</v>
      </c>
      <c r="C18" s="16">
        <f>IFERROR(__xludf.DUMMYFUNCTION("""COMPUTED_VALUE"""),1.1)</f>
        <v>1.1</v>
      </c>
      <c r="D18" s="16">
        <f>IFERROR(__xludf.DUMMYFUNCTION("""COMPUTED_VALUE"""),1.3)</f>
        <v>1.3</v>
      </c>
      <c r="E18" s="16">
        <f>IFERROR(__xludf.DUMMYFUNCTION("""COMPUTED_VALUE"""),1.0)</f>
        <v>1</v>
      </c>
      <c r="F18" s="16">
        <f>IFERROR(__xludf.DUMMYFUNCTION("""COMPUTED_VALUE"""),1.0)</f>
        <v>1</v>
      </c>
      <c r="G18" s="16">
        <f>IFERROR(__xludf.DUMMYFUNCTION("""COMPUTED_VALUE"""),1.3)</f>
        <v>1.3</v>
      </c>
      <c r="H18" s="16">
        <f>IFERROR(__xludf.DUMMYFUNCTION("""COMPUTED_VALUE"""),1.0)</f>
        <v>1</v>
      </c>
    </row>
    <row r="19">
      <c r="A19" s="14">
        <f>VLOOKUP(B19,map!B:C,2,false)</f>
        <v>12</v>
      </c>
      <c r="B19" s="15" t="str">
        <f>IFERROR(__xludf.DUMMYFUNCTION("""COMPUTED_VALUE"""),"Philadelphia")</f>
        <v>Philadelphia</v>
      </c>
      <c r="C19" s="16">
        <f>IFERROR(__xludf.DUMMYFUNCTION("""COMPUTED_VALUE"""),1.1)</f>
        <v>1.1</v>
      </c>
      <c r="D19" s="16">
        <f>IFERROR(__xludf.DUMMYFUNCTION("""COMPUTED_VALUE"""),0.0)</f>
        <v>0</v>
      </c>
      <c r="E19" s="16">
        <f>IFERROR(__xludf.DUMMYFUNCTION("""COMPUTED_VALUE"""),0.0)</f>
        <v>0</v>
      </c>
      <c r="F19" s="16">
        <f>IFERROR(__xludf.DUMMYFUNCTION("""COMPUTED_VALUE"""),0.5)</f>
        <v>0.5</v>
      </c>
      <c r="G19" s="16">
        <f>IFERROR(__xludf.DUMMYFUNCTION("""COMPUTED_VALUE"""),1.4)</f>
        <v>1.4</v>
      </c>
      <c r="H19" s="16">
        <f>IFERROR(__xludf.DUMMYFUNCTION("""COMPUTED_VALUE"""),1.6)</f>
        <v>1.6</v>
      </c>
    </row>
    <row r="20">
      <c r="A20" s="14">
        <f>VLOOKUP(B20,map!B:C,2,false)</f>
        <v>28</v>
      </c>
      <c r="B20" s="15" t="str">
        <f>IFERROR(__xludf.DUMMYFUNCTION("""COMPUTED_VALUE"""),"Atlanta")</f>
        <v>Atlanta</v>
      </c>
      <c r="C20" s="16">
        <f>IFERROR(__xludf.DUMMYFUNCTION("""COMPUTED_VALUE"""),1.3)</f>
        <v>1.3</v>
      </c>
      <c r="D20" s="16">
        <f>IFERROR(__xludf.DUMMYFUNCTION("""COMPUTED_VALUE"""),1.3)</f>
        <v>1.3</v>
      </c>
      <c r="E20" s="16">
        <f>IFERROR(__xludf.DUMMYFUNCTION("""COMPUTED_VALUE"""),0.0)</f>
        <v>0</v>
      </c>
      <c r="F20" s="16">
        <f>IFERROR(__xludf.DUMMYFUNCTION("""COMPUTED_VALUE"""),1.8)</f>
        <v>1.8</v>
      </c>
      <c r="G20" s="16">
        <f>IFERROR(__xludf.DUMMYFUNCTION("""COMPUTED_VALUE"""),0.3)</f>
        <v>0.3</v>
      </c>
      <c r="H20" s="16">
        <f>IFERROR(__xludf.DUMMYFUNCTION("""COMPUTED_VALUE"""),1.6)</f>
        <v>1.6</v>
      </c>
    </row>
    <row r="21">
      <c r="A21" s="14">
        <f>VLOOKUP(B21,map!B:C,2,false)</f>
        <v>20</v>
      </c>
      <c r="B21" s="15" t="str">
        <f>IFERROR(__xludf.DUMMYFUNCTION("""COMPUTED_VALUE"""),"Indianapolis")</f>
        <v>Indianapolis</v>
      </c>
      <c r="C21" s="16">
        <f>IFERROR(__xludf.DUMMYFUNCTION("""COMPUTED_VALUE"""),1.4)</f>
        <v>1.4</v>
      </c>
      <c r="D21" s="16">
        <f>IFERROR(__xludf.DUMMYFUNCTION("""COMPUTED_VALUE"""),1.3)</f>
        <v>1.3</v>
      </c>
      <c r="E21" s="16">
        <f>IFERROR(__xludf.DUMMYFUNCTION("""COMPUTED_VALUE"""),2.0)</f>
        <v>2</v>
      </c>
      <c r="F21" s="16">
        <f>IFERROR(__xludf.DUMMYFUNCTION("""COMPUTED_VALUE"""),1.0)</f>
        <v>1</v>
      </c>
      <c r="G21" s="16">
        <f>IFERROR(__xludf.DUMMYFUNCTION("""COMPUTED_VALUE"""),1.8)</f>
        <v>1.8</v>
      </c>
      <c r="H21" s="16">
        <f>IFERROR(__xludf.DUMMYFUNCTION("""COMPUTED_VALUE"""),1.3)</f>
        <v>1.3</v>
      </c>
    </row>
    <row r="22">
      <c r="A22" s="14">
        <f>VLOOKUP(B22,map!B:C,2,false)</f>
        <v>9</v>
      </c>
      <c r="B22" s="15" t="str">
        <f>IFERROR(__xludf.DUMMYFUNCTION("""COMPUTED_VALUE"""),"New Orleans")</f>
        <v>New Orleans</v>
      </c>
      <c r="C22" s="16">
        <f>IFERROR(__xludf.DUMMYFUNCTION("""COMPUTED_VALUE"""),1.4)</f>
        <v>1.4</v>
      </c>
      <c r="D22" s="16">
        <f>IFERROR(__xludf.DUMMYFUNCTION("""COMPUTED_VALUE"""),1.7)</f>
        <v>1.7</v>
      </c>
      <c r="E22" s="16">
        <f>IFERROR(__xludf.DUMMYFUNCTION("""COMPUTED_VALUE"""),0.0)</f>
        <v>0</v>
      </c>
      <c r="F22" s="16">
        <f>IFERROR(__xludf.DUMMYFUNCTION("""COMPUTED_VALUE"""),1.8)</f>
        <v>1.8</v>
      </c>
      <c r="G22" s="16">
        <f>IFERROR(__xludf.DUMMYFUNCTION("""COMPUTED_VALUE"""),1.0)</f>
        <v>1</v>
      </c>
      <c r="H22" s="16">
        <f>IFERROR(__xludf.DUMMYFUNCTION("""COMPUTED_VALUE"""),1.1)</f>
        <v>1.1</v>
      </c>
    </row>
    <row r="23">
      <c r="A23" s="14">
        <f>VLOOKUP(B23,map!B:C,2,false)</f>
        <v>25</v>
      </c>
      <c r="B23" s="15" t="str">
        <f>IFERROR(__xludf.DUMMYFUNCTION("""COMPUTED_VALUE"""),"San Francisco")</f>
        <v>San Francisco</v>
      </c>
      <c r="C23" s="16">
        <f>IFERROR(__xludf.DUMMYFUNCTION("""COMPUTED_VALUE"""),1.4)</f>
        <v>1.4</v>
      </c>
      <c r="D23" s="16">
        <f>IFERROR(__xludf.DUMMYFUNCTION("""COMPUTED_VALUE"""),1.0)</f>
        <v>1</v>
      </c>
      <c r="E23" s="16">
        <f>IFERROR(__xludf.DUMMYFUNCTION("""COMPUTED_VALUE"""),0.0)</f>
        <v>0</v>
      </c>
      <c r="F23" s="16">
        <f>IFERROR(__xludf.DUMMYFUNCTION("""COMPUTED_VALUE"""),1.6)</f>
        <v>1.6</v>
      </c>
      <c r="G23" s="16">
        <f>IFERROR(__xludf.DUMMYFUNCTION("""COMPUTED_VALUE"""),1.0)</f>
        <v>1</v>
      </c>
      <c r="H23" s="16">
        <f>IFERROR(__xludf.DUMMYFUNCTION("""COMPUTED_VALUE"""),1.1)</f>
        <v>1.1</v>
      </c>
    </row>
    <row r="24">
      <c r="A24" s="14">
        <f>VLOOKUP(B24,map!B:C,2,false)</f>
        <v>3</v>
      </c>
      <c r="B24" s="15" t="str">
        <f>IFERROR(__xludf.DUMMYFUNCTION("""COMPUTED_VALUE"""),"Minnesota")</f>
        <v>Minnesota</v>
      </c>
      <c r="C24" s="16">
        <f>IFERROR(__xludf.DUMMYFUNCTION("""COMPUTED_VALUE"""),1.4)</f>
        <v>1.4</v>
      </c>
      <c r="D24" s="16">
        <f>IFERROR(__xludf.DUMMYFUNCTION("""COMPUTED_VALUE"""),1.0)</f>
        <v>1</v>
      </c>
      <c r="E24" s="16">
        <f>IFERROR(__xludf.DUMMYFUNCTION("""COMPUTED_VALUE"""),0.0)</f>
        <v>0</v>
      </c>
      <c r="F24" s="16">
        <f>IFERROR(__xludf.DUMMYFUNCTION("""COMPUTED_VALUE"""),1.0)</f>
        <v>1</v>
      </c>
      <c r="G24" s="16">
        <f>IFERROR(__xludf.DUMMYFUNCTION("""COMPUTED_VALUE"""),1.8)</f>
        <v>1.8</v>
      </c>
      <c r="H24" s="16">
        <f>IFERROR(__xludf.DUMMYFUNCTION("""COMPUTED_VALUE"""),2.0)</f>
        <v>2</v>
      </c>
    </row>
    <row r="25">
      <c r="A25" s="14">
        <f>VLOOKUP(B25,map!B:C,2,false)</f>
        <v>14</v>
      </c>
      <c r="B25" s="15" t="str">
        <f>IFERROR(__xludf.DUMMYFUNCTION("""COMPUTED_VALUE"""),"Tampa Bay")</f>
        <v>Tampa Bay</v>
      </c>
      <c r="C25" s="16">
        <f>IFERROR(__xludf.DUMMYFUNCTION("""COMPUTED_VALUE"""),1.5)</f>
        <v>1.5</v>
      </c>
      <c r="D25" s="16">
        <f>IFERROR(__xludf.DUMMYFUNCTION("""COMPUTED_VALUE"""),2.7)</f>
        <v>2.7</v>
      </c>
      <c r="E25" s="16">
        <f>IFERROR(__xludf.DUMMYFUNCTION("""COMPUTED_VALUE"""),3.0)</f>
        <v>3</v>
      </c>
      <c r="F25" s="16">
        <f>IFERROR(__xludf.DUMMYFUNCTION("""COMPUTED_VALUE"""),1.4)</f>
        <v>1.4</v>
      </c>
      <c r="G25" s="16">
        <f>IFERROR(__xludf.DUMMYFUNCTION("""COMPUTED_VALUE"""),1.7)</f>
        <v>1.7</v>
      </c>
      <c r="H25" s="16">
        <f>IFERROR(__xludf.DUMMYFUNCTION("""COMPUTED_VALUE"""),1.1)</f>
        <v>1.1</v>
      </c>
    </row>
    <row r="26">
      <c r="A26" s="14">
        <f>VLOOKUP(B26,map!B:C,2,false)</f>
        <v>27</v>
      </c>
      <c r="B26" s="15" t="str">
        <f>IFERROR(__xludf.DUMMYFUNCTION("""COMPUTED_VALUE"""),"Denver")</f>
        <v>Denver</v>
      </c>
      <c r="C26" s="16">
        <f>IFERROR(__xludf.DUMMYFUNCTION("""COMPUTED_VALUE"""),1.5)</f>
        <v>1.5</v>
      </c>
      <c r="D26" s="16">
        <f>IFERROR(__xludf.DUMMYFUNCTION("""COMPUTED_VALUE"""),1.7)</f>
        <v>1.7</v>
      </c>
      <c r="E26" s="16">
        <f>IFERROR(__xludf.DUMMYFUNCTION("""COMPUTED_VALUE"""),2.0)</f>
        <v>2</v>
      </c>
      <c r="F26" s="16">
        <f>IFERROR(__xludf.DUMMYFUNCTION("""COMPUTED_VALUE"""),1.5)</f>
        <v>1.5</v>
      </c>
      <c r="G26" s="16">
        <f>IFERROR(__xludf.DUMMYFUNCTION("""COMPUTED_VALUE"""),1.5)</f>
        <v>1.5</v>
      </c>
      <c r="H26" s="16">
        <f>IFERROR(__xludf.DUMMYFUNCTION("""COMPUTED_VALUE"""),1.3)</f>
        <v>1.3</v>
      </c>
    </row>
    <row r="27">
      <c r="A27" s="14">
        <f>VLOOKUP(B27,map!B:C,2,false)</f>
        <v>15</v>
      </c>
      <c r="B27" s="15" t="str">
        <f>IFERROR(__xludf.DUMMYFUNCTION("""COMPUTED_VALUE"""),"Green Bay")</f>
        <v>Green Bay</v>
      </c>
      <c r="C27" s="16">
        <f>IFERROR(__xludf.DUMMYFUNCTION("""COMPUTED_VALUE"""),1.5)</f>
        <v>1.5</v>
      </c>
      <c r="D27" s="16">
        <f>IFERROR(__xludf.DUMMYFUNCTION("""COMPUTED_VALUE"""),1.7)</f>
        <v>1.7</v>
      </c>
      <c r="E27" s="16">
        <f>IFERROR(__xludf.DUMMYFUNCTION("""COMPUTED_VALUE"""),1.0)</f>
        <v>1</v>
      </c>
      <c r="F27" s="16">
        <f>IFERROR(__xludf.DUMMYFUNCTION("""COMPUTED_VALUE"""),2.3)</f>
        <v>2.3</v>
      </c>
      <c r="G27" s="16">
        <f>IFERROR(__xludf.DUMMYFUNCTION("""COMPUTED_VALUE"""),0.8)</f>
        <v>0.8</v>
      </c>
      <c r="H27" s="16">
        <f>IFERROR(__xludf.DUMMYFUNCTION("""COMPUTED_VALUE"""),1.1)</f>
        <v>1.1</v>
      </c>
    </row>
    <row r="28">
      <c r="A28" s="14">
        <f>VLOOKUP(B28,map!B:C,2,false)</f>
        <v>13</v>
      </c>
      <c r="B28" s="15" t="str">
        <f>IFERROR(__xludf.DUMMYFUNCTION("""COMPUTED_VALUE"""),"Seattle")</f>
        <v>Seattle</v>
      </c>
      <c r="C28" s="16">
        <f>IFERROR(__xludf.DUMMYFUNCTION("""COMPUTED_VALUE"""),1.5)</f>
        <v>1.5</v>
      </c>
      <c r="D28" s="16">
        <f>IFERROR(__xludf.DUMMYFUNCTION("""COMPUTED_VALUE"""),1.7)</f>
        <v>1.7</v>
      </c>
      <c r="E28" s="16">
        <f>IFERROR(__xludf.DUMMYFUNCTION("""COMPUTED_VALUE"""),2.0)</f>
        <v>2</v>
      </c>
      <c r="F28" s="16">
        <f>IFERROR(__xludf.DUMMYFUNCTION("""COMPUTED_VALUE"""),2.0)</f>
        <v>2</v>
      </c>
      <c r="G28" s="16">
        <f>IFERROR(__xludf.DUMMYFUNCTION("""COMPUTED_VALUE"""),0.7)</f>
        <v>0.7</v>
      </c>
      <c r="H28" s="16">
        <f>IFERROR(__xludf.DUMMYFUNCTION("""COMPUTED_VALUE"""),1.0)</f>
        <v>1</v>
      </c>
    </row>
    <row r="29">
      <c r="A29" s="14">
        <f>VLOOKUP(B29,map!B:C,2,false)</f>
        <v>2</v>
      </c>
      <c r="B29" s="15" t="str">
        <f>IFERROR(__xludf.DUMMYFUNCTION("""COMPUTED_VALUE"""),"Kansas City")</f>
        <v>Kansas City</v>
      </c>
      <c r="C29" s="16">
        <f>IFERROR(__xludf.DUMMYFUNCTION("""COMPUTED_VALUE"""),1.6)</f>
        <v>1.6</v>
      </c>
      <c r="D29" s="16">
        <f>IFERROR(__xludf.DUMMYFUNCTION("""COMPUTED_VALUE"""),1.3)</f>
        <v>1.3</v>
      </c>
      <c r="E29" s="16">
        <f>IFERROR(__xludf.DUMMYFUNCTION("""COMPUTED_VALUE"""),1.0)</f>
        <v>1</v>
      </c>
      <c r="F29" s="16">
        <f>IFERROR(__xludf.DUMMYFUNCTION("""COMPUTED_VALUE"""),1.7)</f>
        <v>1.7</v>
      </c>
      <c r="G29" s="16">
        <f>IFERROR(__xludf.DUMMYFUNCTION("""COMPUTED_VALUE"""),1.5)</f>
        <v>1.5</v>
      </c>
      <c r="H29" s="16">
        <f>IFERROR(__xludf.DUMMYFUNCTION("""COMPUTED_VALUE"""),1.5)</f>
        <v>1.5</v>
      </c>
    </row>
    <row r="30">
      <c r="A30" s="14">
        <f>VLOOKUP(B30,map!B:C,2,false)</f>
        <v>23</v>
      </c>
      <c r="B30" s="15" t="str">
        <f>IFERROR(__xludf.DUMMYFUNCTION("""COMPUTED_VALUE"""),"Carolina")</f>
        <v>Carolina</v>
      </c>
      <c r="C30" s="16">
        <f>IFERROR(__xludf.DUMMYFUNCTION("""COMPUTED_VALUE"""),1.8)</f>
        <v>1.8</v>
      </c>
      <c r="D30" s="16">
        <f>IFERROR(__xludf.DUMMYFUNCTION("""COMPUTED_VALUE"""),2.0)</f>
        <v>2</v>
      </c>
      <c r="E30" s="16">
        <f>IFERROR(__xludf.DUMMYFUNCTION("""COMPUTED_VALUE"""),2.0)</f>
        <v>2</v>
      </c>
      <c r="F30" s="16">
        <f>IFERROR(__xludf.DUMMYFUNCTION("""COMPUTED_VALUE"""),1.3)</f>
        <v>1.3</v>
      </c>
      <c r="G30" s="16">
        <f>IFERROR(__xludf.DUMMYFUNCTION("""COMPUTED_VALUE"""),2.0)</f>
        <v>2</v>
      </c>
      <c r="H30" s="16">
        <f>IFERROR(__xludf.DUMMYFUNCTION("""COMPUTED_VALUE"""),1.2)</f>
        <v>1.2</v>
      </c>
    </row>
    <row r="31">
      <c r="A31" s="14">
        <f>VLOOKUP(B31,map!B:C,2,false)</f>
        <v>1</v>
      </c>
      <c r="B31" s="15" t="str">
        <f>IFERROR(__xludf.DUMMYFUNCTION("""COMPUTED_VALUE"""),"Dallas")</f>
        <v>Dallas</v>
      </c>
      <c r="C31" s="16">
        <f>IFERROR(__xludf.DUMMYFUNCTION("""COMPUTED_VALUE"""),1.9)</f>
        <v>1.9</v>
      </c>
      <c r="D31" s="16">
        <f>IFERROR(__xludf.DUMMYFUNCTION("""COMPUTED_VALUE"""),3.3)</f>
        <v>3.3</v>
      </c>
      <c r="E31" s="16">
        <f>IFERROR(__xludf.DUMMYFUNCTION("""COMPUTED_VALUE"""),2.0)</f>
        <v>2</v>
      </c>
      <c r="F31" s="16">
        <f>IFERROR(__xludf.DUMMYFUNCTION("""COMPUTED_VALUE"""),2.7)</f>
        <v>2.7</v>
      </c>
      <c r="G31" s="16">
        <f>IFERROR(__xludf.DUMMYFUNCTION("""COMPUTED_VALUE"""),1.3)</f>
        <v>1.3</v>
      </c>
      <c r="H31" s="16">
        <f>IFERROR(__xludf.DUMMYFUNCTION("""COMPUTED_VALUE"""),1.0)</f>
        <v>1</v>
      </c>
    </row>
    <row r="32">
      <c r="A32" s="14">
        <f>VLOOKUP(B32,map!B:C,2,false)</f>
        <v>24</v>
      </c>
      <c r="B32" s="15" t="str">
        <f>IFERROR(__xludf.DUMMYFUNCTION("""COMPUTED_VALUE"""),"Las Vegas")</f>
        <v>Las Vegas</v>
      </c>
      <c r="C32" s="16">
        <f>IFERROR(__xludf.DUMMYFUNCTION("""COMPUTED_VALUE"""),2.1)</f>
        <v>2.1</v>
      </c>
      <c r="D32" s="16">
        <f>IFERROR(__xludf.DUMMYFUNCTION("""COMPUTED_VALUE"""),2.7)</f>
        <v>2.7</v>
      </c>
      <c r="E32" s="16">
        <f>IFERROR(__xludf.DUMMYFUNCTION("""COMPUTED_VALUE"""),1.0)</f>
        <v>1</v>
      </c>
      <c r="F32" s="16">
        <f>IFERROR(__xludf.DUMMYFUNCTION("""COMPUTED_VALUE"""),1.5)</f>
        <v>1.5</v>
      </c>
      <c r="G32" s="16">
        <f>IFERROR(__xludf.DUMMYFUNCTION("""COMPUTED_VALUE"""),2.8)</f>
        <v>2.8</v>
      </c>
      <c r="H32" s="16">
        <f>IFERROR(__xludf.DUMMYFUNCTION("""COMPUTED_VALUE"""),1.4)</f>
        <v>1.4</v>
      </c>
    </row>
    <row r="33">
      <c r="A33" s="14">
        <f>VLOOKUP(B33,map!B:C,2,false)</f>
        <v>32</v>
      </c>
      <c r="B33" s="15" t="str">
        <f>IFERROR(__xludf.DUMMYFUNCTION("""COMPUTED_VALUE"""),"Tennessee")</f>
        <v>Tennessee</v>
      </c>
      <c r="C33" s="16">
        <f>IFERROR(__xludf.DUMMYFUNCTION("""COMPUTED_VALUE"""),2.3)</f>
        <v>2.3</v>
      </c>
      <c r="D33" s="16">
        <f>IFERROR(__xludf.DUMMYFUNCTION("""COMPUTED_VALUE"""),2.3)</f>
        <v>2.3</v>
      </c>
      <c r="E33" s="16">
        <f>IFERROR(__xludf.DUMMYFUNCTION("""COMPUTED_VALUE"""),4.0)</f>
        <v>4</v>
      </c>
      <c r="F33" s="16">
        <f>IFERROR(__xludf.DUMMYFUNCTION("""COMPUTED_VALUE"""),2.0)</f>
        <v>2</v>
      </c>
      <c r="G33" s="16">
        <f>IFERROR(__xludf.DUMMYFUNCTION("""COMPUTED_VALUE"""),2.5)</f>
        <v>2.5</v>
      </c>
      <c r="H33" s="16">
        <f>IFERROR(__xludf.DUMMYFUNCTION("""COMPUTED_VALUE"""),1.2)</f>
        <v>1.2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28</v>
      </c>
      <c r="B1" s="11" t="str">
        <f>IFERROR(__xludf.DUMMYFUNCTION("QUERY(IMPORTHTML(""https://www.teamrankings.com/nfl/stat/takeaways-per-game?date="" &amp; TEXT(TODAY(),""yyyy-mm-dd""), ""table"", 1, ""en_US""), ""SELECT Col2, Col3, Col4, Col5, Col6, Col7, Col8"")
"),"Team")</f>
        <v>Team</v>
      </c>
      <c r="C1" s="12" t="str">
        <f>IFERROR(__xludf.DUMMYFUNCTION("""COMPUTED_VALUE"""),"2024")</f>
        <v>2024</v>
      </c>
      <c r="D1" s="13" t="str">
        <f>IFERROR(__xludf.DUMMYFUNCTION("""COMPUTED_VALUE"""),"Last 3")</f>
        <v>Last 3</v>
      </c>
      <c r="E1" s="13" t="str">
        <f>IFERROR(__xludf.DUMMYFUNCTION("""COMPUTED_VALUE"""),"Last 1")</f>
        <v>Last 1</v>
      </c>
      <c r="F1" s="12" t="str">
        <f>IFERROR(__xludf.DUMMYFUNCTION("""COMPUTED_VALUE"""),"Home")</f>
        <v>Home</v>
      </c>
      <c r="G1" s="12" t="str">
        <f>IFERROR(__xludf.DUMMYFUNCTION("""COMPUTED_VALUE"""),"Away")</f>
        <v>Away</v>
      </c>
      <c r="H1" s="12" t="str">
        <f>IFERROR(__xludf.DUMMYFUNCTION("""COMPUTED_VALUE"""),"2023")</f>
        <v>2023</v>
      </c>
    </row>
    <row r="2">
      <c r="A2" s="14">
        <f>VLOOKUP(B2,map!B:C,2,false)</f>
        <v>15</v>
      </c>
      <c r="B2" s="15" t="str">
        <f>IFERROR(__xludf.DUMMYFUNCTION("""COMPUTED_VALUE"""),"Green Bay")</f>
        <v>Green Bay</v>
      </c>
      <c r="C2" s="16">
        <f>IFERROR(__xludf.DUMMYFUNCTION("""COMPUTED_VALUE"""),2.4)</f>
        <v>2.4</v>
      </c>
      <c r="D2" s="16">
        <f>IFERROR(__xludf.DUMMYFUNCTION("""COMPUTED_VALUE"""),1.7)</f>
        <v>1.7</v>
      </c>
      <c r="E2" s="16">
        <f>IFERROR(__xludf.DUMMYFUNCTION("""COMPUTED_VALUE"""),2.0)</f>
        <v>2</v>
      </c>
      <c r="F2" s="16">
        <f>IFERROR(__xludf.DUMMYFUNCTION("""COMPUTED_VALUE"""),2.3)</f>
        <v>2.3</v>
      </c>
      <c r="G2" s="16">
        <f>IFERROR(__xludf.DUMMYFUNCTION("""COMPUTED_VALUE"""),2.5)</f>
        <v>2.5</v>
      </c>
      <c r="H2" s="16">
        <f>IFERROR(__xludf.DUMMYFUNCTION("""COMPUTED_VALUE"""),1.1)</f>
        <v>1.1</v>
      </c>
    </row>
    <row r="3">
      <c r="A3" s="14">
        <f>VLOOKUP(B3,map!B:C,2,false)</f>
        <v>3</v>
      </c>
      <c r="B3" s="15" t="str">
        <f>IFERROR(__xludf.DUMMYFUNCTION("""COMPUTED_VALUE"""),"Minnesota")</f>
        <v>Minnesota</v>
      </c>
      <c r="C3" s="16">
        <f>IFERROR(__xludf.DUMMYFUNCTION("""COMPUTED_VALUE"""),2.1)</f>
        <v>2.1</v>
      </c>
      <c r="D3" s="16">
        <f>IFERROR(__xludf.DUMMYFUNCTION("""COMPUTED_VALUE"""),1.7)</f>
        <v>1.7</v>
      </c>
      <c r="E3" s="16">
        <f>IFERROR(__xludf.DUMMYFUNCTION("""COMPUTED_VALUE"""),1.0)</f>
        <v>1</v>
      </c>
      <c r="F3" s="16">
        <f>IFERROR(__xludf.DUMMYFUNCTION("""COMPUTED_VALUE"""),1.7)</f>
        <v>1.7</v>
      </c>
      <c r="G3" s="16">
        <f>IFERROR(__xludf.DUMMYFUNCTION("""COMPUTED_VALUE"""),2.5)</f>
        <v>2.5</v>
      </c>
      <c r="H3" s="16">
        <f>IFERROR(__xludf.DUMMYFUNCTION("""COMPUTED_VALUE"""),1.3)</f>
        <v>1.3</v>
      </c>
    </row>
    <row r="4">
      <c r="A4" s="14">
        <f>VLOOKUP(B4,map!B:C,2,false)</f>
        <v>5</v>
      </c>
      <c r="B4" s="15" t="str">
        <f>IFERROR(__xludf.DUMMYFUNCTION("""COMPUTED_VALUE"""),"Detroit")</f>
        <v>Detroit</v>
      </c>
      <c r="C4" s="16">
        <f>IFERROR(__xludf.DUMMYFUNCTION("""COMPUTED_VALUE"""),2.1)</f>
        <v>2.1</v>
      </c>
      <c r="D4" s="16">
        <f>IFERROR(__xludf.DUMMYFUNCTION("""COMPUTED_VALUE"""),3.3)</f>
        <v>3.3</v>
      </c>
      <c r="E4" s="16">
        <f>IFERROR(__xludf.DUMMYFUNCTION("""COMPUTED_VALUE"""),4.0)</f>
        <v>4</v>
      </c>
      <c r="F4" s="16">
        <f>IFERROR(__xludf.DUMMYFUNCTION("""COMPUTED_VALUE"""),2.0)</f>
        <v>2</v>
      </c>
      <c r="G4" s="16">
        <f>IFERROR(__xludf.DUMMYFUNCTION("""COMPUTED_VALUE"""),2.3)</f>
        <v>2.3</v>
      </c>
      <c r="H4" s="16">
        <f>IFERROR(__xludf.DUMMYFUNCTION("""COMPUTED_VALUE"""),1.3)</f>
        <v>1.3</v>
      </c>
    </row>
    <row r="5">
      <c r="A5" s="14">
        <f>VLOOKUP(B5,map!B:C,2,false)</f>
        <v>25</v>
      </c>
      <c r="B5" s="15" t="str">
        <f>IFERROR(__xludf.DUMMYFUNCTION("""COMPUTED_VALUE"""),"San Francisco")</f>
        <v>San Francisco</v>
      </c>
      <c r="C5" s="16">
        <f>IFERROR(__xludf.DUMMYFUNCTION("""COMPUTED_VALUE"""),1.9)</f>
        <v>1.9</v>
      </c>
      <c r="D5" s="16">
        <f>IFERROR(__xludf.DUMMYFUNCTION("""COMPUTED_VALUE"""),2.3)</f>
        <v>2.3</v>
      </c>
      <c r="E5" s="16">
        <f>IFERROR(__xludf.DUMMYFUNCTION("""COMPUTED_VALUE"""),2.0)</f>
        <v>2</v>
      </c>
      <c r="F5" s="16">
        <f>IFERROR(__xludf.DUMMYFUNCTION("""COMPUTED_VALUE"""),2.0)</f>
        <v>2</v>
      </c>
      <c r="G5" s="16">
        <f>IFERROR(__xludf.DUMMYFUNCTION("""COMPUTED_VALUE"""),1.7)</f>
        <v>1.7</v>
      </c>
      <c r="H5" s="16">
        <f>IFERROR(__xludf.DUMMYFUNCTION("""COMPUTED_VALUE"""),1.7)</f>
        <v>1.7</v>
      </c>
    </row>
    <row r="6">
      <c r="A6" s="14">
        <f>VLOOKUP(B6,map!B:C,2,false)</f>
        <v>29</v>
      </c>
      <c r="B6" s="15" t="str">
        <f>IFERROR(__xludf.DUMMYFUNCTION("""COMPUTED_VALUE"""),"Pittsburgh")</f>
        <v>Pittsburgh</v>
      </c>
      <c r="C6" s="16">
        <f>IFERROR(__xludf.DUMMYFUNCTION("""COMPUTED_VALUE"""),1.9)</f>
        <v>1.9</v>
      </c>
      <c r="D6" s="16">
        <f>IFERROR(__xludf.DUMMYFUNCTION("""COMPUTED_VALUE"""),2.7)</f>
        <v>2.7</v>
      </c>
      <c r="E6" s="16">
        <f>IFERROR(__xludf.DUMMYFUNCTION("""COMPUTED_VALUE"""),2.0)</f>
        <v>2</v>
      </c>
      <c r="F6" s="16">
        <f>IFERROR(__xludf.DUMMYFUNCTION("""COMPUTED_VALUE"""),1.7)</f>
        <v>1.7</v>
      </c>
      <c r="G6" s="16">
        <f>IFERROR(__xludf.DUMMYFUNCTION("""COMPUTED_VALUE"""),2.0)</f>
        <v>2</v>
      </c>
      <c r="H6" s="16">
        <f>IFERROR(__xludf.DUMMYFUNCTION("""COMPUTED_VALUE"""),1.5)</f>
        <v>1.5</v>
      </c>
    </row>
    <row r="7">
      <c r="A7" s="14">
        <f>VLOOKUP(B7,map!B:C,2,false)</f>
        <v>31</v>
      </c>
      <c r="B7" s="15" t="str">
        <f>IFERROR(__xludf.DUMMYFUNCTION("""COMPUTED_VALUE"""),"Chicago")</f>
        <v>Chicago</v>
      </c>
      <c r="C7" s="16">
        <f>IFERROR(__xludf.DUMMYFUNCTION("""COMPUTED_VALUE"""),1.9)</f>
        <v>1.9</v>
      </c>
      <c r="D7" s="16">
        <f>IFERROR(__xludf.DUMMYFUNCTION("""COMPUTED_VALUE"""),1.7)</f>
        <v>1.7</v>
      </c>
      <c r="E7" s="16">
        <f>IFERROR(__xludf.DUMMYFUNCTION("""COMPUTED_VALUE"""),0.0)</f>
        <v>0</v>
      </c>
      <c r="F7" s="16">
        <f>IFERROR(__xludf.DUMMYFUNCTION("""COMPUTED_VALUE"""),2.7)</f>
        <v>2.7</v>
      </c>
      <c r="G7" s="16">
        <f>IFERROR(__xludf.DUMMYFUNCTION("""COMPUTED_VALUE"""),1.3)</f>
        <v>1.3</v>
      </c>
      <c r="H7" s="16">
        <f>IFERROR(__xludf.DUMMYFUNCTION("""COMPUTED_VALUE"""),1.6)</f>
        <v>1.6</v>
      </c>
    </row>
    <row r="8">
      <c r="A8" s="14">
        <f>VLOOKUP(B8,map!B:C,2,false)</f>
        <v>11</v>
      </c>
      <c r="B8" s="15" t="str">
        <f>IFERROR(__xludf.DUMMYFUNCTION("""COMPUTED_VALUE"""),"Buffalo")</f>
        <v>Buffalo</v>
      </c>
      <c r="C8" s="16">
        <f>IFERROR(__xludf.DUMMYFUNCTION("""COMPUTED_VALUE"""),1.8)</f>
        <v>1.8</v>
      </c>
      <c r="D8" s="16">
        <f>IFERROR(__xludf.DUMMYFUNCTION("""COMPUTED_VALUE"""),1.7)</f>
        <v>1.7</v>
      </c>
      <c r="E8" s="16">
        <f>IFERROR(__xludf.DUMMYFUNCTION("""COMPUTED_VALUE"""),2.0)</f>
        <v>2</v>
      </c>
      <c r="F8" s="16">
        <f>IFERROR(__xludf.DUMMYFUNCTION("""COMPUTED_VALUE"""),1.7)</f>
        <v>1.7</v>
      </c>
      <c r="G8" s="16">
        <f>IFERROR(__xludf.DUMMYFUNCTION("""COMPUTED_VALUE"""),1.8)</f>
        <v>1.8</v>
      </c>
      <c r="H8" s="16">
        <f>IFERROR(__xludf.DUMMYFUNCTION("""COMPUTED_VALUE"""),1.7)</f>
        <v>1.7</v>
      </c>
    </row>
    <row r="9">
      <c r="A9" s="14">
        <f>VLOOKUP(B9,map!B:C,2,false)</f>
        <v>9</v>
      </c>
      <c r="B9" s="15" t="str">
        <f>IFERROR(__xludf.DUMMYFUNCTION("""COMPUTED_VALUE"""),"New Orleans")</f>
        <v>New Orleans</v>
      </c>
      <c r="C9" s="16">
        <f>IFERROR(__xludf.DUMMYFUNCTION("""COMPUTED_VALUE"""),1.6)</f>
        <v>1.6</v>
      </c>
      <c r="D9" s="16">
        <f>IFERROR(__xludf.DUMMYFUNCTION("""COMPUTED_VALUE"""),1.3)</f>
        <v>1.3</v>
      </c>
      <c r="E9" s="16">
        <f>IFERROR(__xludf.DUMMYFUNCTION("""COMPUTED_VALUE"""),0.0)</f>
        <v>0</v>
      </c>
      <c r="F9" s="16">
        <f>IFERROR(__xludf.DUMMYFUNCTION("""COMPUTED_VALUE"""),2.3)</f>
        <v>2.3</v>
      </c>
      <c r="G9" s="16">
        <f>IFERROR(__xludf.DUMMYFUNCTION("""COMPUTED_VALUE"""),1.0)</f>
        <v>1</v>
      </c>
      <c r="H9" s="16">
        <f>IFERROR(__xludf.DUMMYFUNCTION("""COMPUTED_VALUE"""),1.7)</f>
        <v>1.7</v>
      </c>
    </row>
    <row r="10">
      <c r="A10" s="14">
        <f>VLOOKUP(B10,map!B:C,2,false)</f>
        <v>20</v>
      </c>
      <c r="B10" s="15" t="str">
        <f>IFERROR(__xludf.DUMMYFUNCTION("""COMPUTED_VALUE"""),"Indianapolis")</f>
        <v>Indianapolis</v>
      </c>
      <c r="C10" s="16">
        <f>IFERROR(__xludf.DUMMYFUNCTION("""COMPUTED_VALUE"""),1.5)</f>
        <v>1.5</v>
      </c>
      <c r="D10" s="16">
        <f>IFERROR(__xludf.DUMMYFUNCTION("""COMPUTED_VALUE"""),1.3)</f>
        <v>1.3</v>
      </c>
      <c r="E10" s="16">
        <f>IFERROR(__xludf.DUMMYFUNCTION("""COMPUTED_VALUE"""),1.0)</f>
        <v>1</v>
      </c>
      <c r="F10" s="16">
        <f>IFERROR(__xludf.DUMMYFUNCTION("""COMPUTED_VALUE"""),1.8)</f>
        <v>1.8</v>
      </c>
      <c r="G10" s="16">
        <f>IFERROR(__xludf.DUMMYFUNCTION("""COMPUTED_VALUE"""),1.3)</f>
        <v>1.3</v>
      </c>
      <c r="H10" s="16">
        <f>IFERROR(__xludf.DUMMYFUNCTION("""COMPUTED_VALUE"""),1.4)</f>
        <v>1.4</v>
      </c>
    </row>
    <row r="11">
      <c r="A11" s="14">
        <f>VLOOKUP(B11,map!B:C,2,false)</f>
        <v>17</v>
      </c>
      <c r="B11" s="15" t="str">
        <f>IFERROR(__xludf.DUMMYFUNCTION("""COMPUTED_VALUE"""),"Houston")</f>
        <v>Houston</v>
      </c>
      <c r="C11" s="16">
        <f>IFERROR(__xludf.DUMMYFUNCTION("""COMPUTED_VALUE"""),1.5)</f>
        <v>1.5</v>
      </c>
      <c r="D11" s="16">
        <f>IFERROR(__xludf.DUMMYFUNCTION("""COMPUTED_VALUE"""),3.0)</f>
        <v>3</v>
      </c>
      <c r="E11" s="16">
        <f>IFERROR(__xludf.DUMMYFUNCTION("""COMPUTED_VALUE"""),2.0)</f>
        <v>2</v>
      </c>
      <c r="F11" s="16">
        <f>IFERROR(__xludf.DUMMYFUNCTION("""COMPUTED_VALUE"""),1.0)</f>
        <v>1</v>
      </c>
      <c r="G11" s="16">
        <f>IFERROR(__xludf.DUMMYFUNCTION("""COMPUTED_VALUE"""),2.0)</f>
        <v>2</v>
      </c>
      <c r="H11" s="16">
        <f>IFERROR(__xludf.DUMMYFUNCTION("""COMPUTED_VALUE"""),1.4)</f>
        <v>1.4</v>
      </c>
    </row>
    <row r="12">
      <c r="A12" s="14">
        <f>VLOOKUP(B12,map!B:C,2,false)</f>
        <v>27</v>
      </c>
      <c r="B12" s="15" t="str">
        <f>IFERROR(__xludf.DUMMYFUNCTION("""COMPUTED_VALUE"""),"Denver")</f>
        <v>Denver</v>
      </c>
      <c r="C12" s="16">
        <f>IFERROR(__xludf.DUMMYFUNCTION("""COMPUTED_VALUE"""),1.5)</f>
        <v>1.5</v>
      </c>
      <c r="D12" s="16">
        <f>IFERROR(__xludf.DUMMYFUNCTION("""COMPUTED_VALUE"""),1.3)</f>
        <v>1.3</v>
      </c>
      <c r="E12" s="16">
        <f>IFERROR(__xludf.DUMMYFUNCTION("""COMPUTED_VALUE"""),2.0)</f>
        <v>2</v>
      </c>
      <c r="F12" s="16">
        <f>IFERROR(__xludf.DUMMYFUNCTION("""COMPUTED_VALUE"""),1.3)</f>
        <v>1.3</v>
      </c>
      <c r="G12" s="16">
        <f>IFERROR(__xludf.DUMMYFUNCTION("""COMPUTED_VALUE"""),1.8)</f>
        <v>1.8</v>
      </c>
      <c r="H12" s="16">
        <f>IFERROR(__xludf.DUMMYFUNCTION("""COMPUTED_VALUE"""),1.5)</f>
        <v>1.5</v>
      </c>
    </row>
    <row r="13">
      <c r="A13" s="14">
        <f>VLOOKUP(B13,map!B:C,2,false)</f>
        <v>7</v>
      </c>
      <c r="B13" s="15" t="str">
        <f>IFERROR(__xludf.DUMMYFUNCTION("""COMPUTED_VALUE"""),"LA Chargers")</f>
        <v>LA Chargers</v>
      </c>
      <c r="C13" s="16">
        <f>IFERROR(__xludf.DUMMYFUNCTION("""COMPUTED_VALUE"""),1.4)</f>
        <v>1.4</v>
      </c>
      <c r="D13" s="16">
        <f>IFERROR(__xludf.DUMMYFUNCTION("""COMPUTED_VALUE"""),1.0)</f>
        <v>1</v>
      </c>
      <c r="E13" s="16">
        <f>IFERROR(__xludf.DUMMYFUNCTION("""COMPUTED_VALUE"""),0.0)</f>
        <v>0</v>
      </c>
      <c r="F13" s="16">
        <f>IFERROR(__xludf.DUMMYFUNCTION("""COMPUTED_VALUE"""),1.7)</f>
        <v>1.7</v>
      </c>
      <c r="G13" s="16">
        <f>IFERROR(__xludf.DUMMYFUNCTION("""COMPUTED_VALUE"""),1.3)</f>
        <v>1.3</v>
      </c>
      <c r="H13" s="16">
        <f>IFERROR(__xludf.DUMMYFUNCTION("""COMPUTED_VALUE"""),1.2)</f>
        <v>1.2</v>
      </c>
    </row>
    <row r="14">
      <c r="A14" s="14">
        <f>VLOOKUP(B14,map!B:C,2,false)</f>
        <v>28</v>
      </c>
      <c r="B14" s="15" t="str">
        <f>IFERROR(__xludf.DUMMYFUNCTION("""COMPUTED_VALUE"""),"Atlanta")</f>
        <v>Atlanta</v>
      </c>
      <c r="C14" s="16">
        <f>IFERROR(__xludf.DUMMYFUNCTION("""COMPUTED_VALUE"""),1.3)</f>
        <v>1.3</v>
      </c>
      <c r="D14" s="16">
        <f>IFERROR(__xludf.DUMMYFUNCTION("""COMPUTED_VALUE"""),1.7)</f>
        <v>1.7</v>
      </c>
      <c r="E14" s="16">
        <f>IFERROR(__xludf.DUMMYFUNCTION("""COMPUTED_VALUE"""),3.0)</f>
        <v>3</v>
      </c>
      <c r="F14" s="16">
        <f>IFERROR(__xludf.DUMMYFUNCTION("""COMPUTED_VALUE"""),0.8)</f>
        <v>0.8</v>
      </c>
      <c r="G14" s="16">
        <f>IFERROR(__xludf.DUMMYFUNCTION("""COMPUTED_VALUE"""),2.0)</f>
        <v>2</v>
      </c>
      <c r="H14" s="16">
        <f>IFERROR(__xludf.DUMMYFUNCTION("""COMPUTED_VALUE"""),0.9)</f>
        <v>0.9</v>
      </c>
    </row>
    <row r="15">
      <c r="A15" s="14">
        <f>VLOOKUP(B15,map!B:C,2,false)</f>
        <v>14</v>
      </c>
      <c r="B15" s="15" t="str">
        <f>IFERROR(__xludf.DUMMYFUNCTION("""COMPUTED_VALUE"""),"Tampa Bay")</f>
        <v>Tampa Bay</v>
      </c>
      <c r="C15" s="16">
        <f>IFERROR(__xludf.DUMMYFUNCTION("""COMPUTED_VALUE"""),1.3)</f>
        <v>1.3</v>
      </c>
      <c r="D15" s="16">
        <f>IFERROR(__xludf.DUMMYFUNCTION("""COMPUTED_VALUE"""),1.3)</f>
        <v>1.3</v>
      </c>
      <c r="E15" s="16">
        <f>IFERROR(__xludf.DUMMYFUNCTION("""COMPUTED_VALUE"""),0.0)</f>
        <v>0</v>
      </c>
      <c r="F15" s="16">
        <f>IFERROR(__xludf.DUMMYFUNCTION("""COMPUTED_VALUE"""),0.8)</f>
        <v>0.8</v>
      </c>
      <c r="G15" s="16">
        <f>IFERROR(__xludf.DUMMYFUNCTION("""COMPUTED_VALUE"""),2.0)</f>
        <v>2</v>
      </c>
      <c r="H15" s="16">
        <f>IFERROR(__xludf.DUMMYFUNCTION("""COMPUTED_VALUE"""),1.4)</f>
        <v>1.4</v>
      </c>
    </row>
    <row r="16">
      <c r="A16" s="14">
        <f>VLOOKUP(B16,map!B:C,2,false)</f>
        <v>21</v>
      </c>
      <c r="B16" s="15" t="str">
        <f>IFERROR(__xludf.DUMMYFUNCTION("""COMPUTED_VALUE"""),"Arizona")</f>
        <v>Arizona</v>
      </c>
      <c r="C16" s="16">
        <f>IFERROR(__xludf.DUMMYFUNCTION("""COMPUTED_VALUE"""),1.3)</f>
        <v>1.3</v>
      </c>
      <c r="D16" s="16">
        <f>IFERROR(__xludf.DUMMYFUNCTION("""COMPUTED_VALUE"""),1.0)</f>
        <v>1</v>
      </c>
      <c r="E16" s="16">
        <f>IFERROR(__xludf.DUMMYFUNCTION("""COMPUTED_VALUE"""),0.0)</f>
        <v>0</v>
      </c>
      <c r="F16" s="16">
        <f>IFERROR(__xludf.DUMMYFUNCTION("""COMPUTED_VALUE"""),1.3)</f>
        <v>1.3</v>
      </c>
      <c r="G16" s="16">
        <f>IFERROR(__xludf.DUMMYFUNCTION("""COMPUTED_VALUE"""),1.3)</f>
        <v>1.3</v>
      </c>
      <c r="H16" s="16">
        <f>IFERROR(__xludf.DUMMYFUNCTION("""COMPUTED_VALUE"""),1.0)</f>
        <v>1</v>
      </c>
    </row>
    <row r="17">
      <c r="A17" s="14">
        <f>VLOOKUP(B17,map!B:C,2,false)</f>
        <v>18</v>
      </c>
      <c r="B17" s="15" t="str">
        <f>IFERROR(__xludf.DUMMYFUNCTION("""COMPUTED_VALUE"""),"LA Rams")</f>
        <v>LA Rams</v>
      </c>
      <c r="C17" s="16">
        <f>IFERROR(__xludf.DUMMYFUNCTION("""COMPUTED_VALUE"""),1.1)</f>
        <v>1.1</v>
      </c>
      <c r="D17" s="16">
        <f>IFERROR(__xludf.DUMMYFUNCTION("""COMPUTED_VALUE"""),1.7)</f>
        <v>1.7</v>
      </c>
      <c r="E17" s="16">
        <f>IFERROR(__xludf.DUMMYFUNCTION("""COMPUTED_VALUE"""),0.0)</f>
        <v>0</v>
      </c>
      <c r="F17" s="16">
        <f>IFERROR(__xludf.DUMMYFUNCTION("""COMPUTED_VALUE"""),1.5)</f>
        <v>1.5</v>
      </c>
      <c r="G17" s="16">
        <f>IFERROR(__xludf.DUMMYFUNCTION("""COMPUTED_VALUE"""),0.7)</f>
        <v>0.7</v>
      </c>
      <c r="H17" s="16">
        <f>IFERROR(__xludf.DUMMYFUNCTION("""COMPUTED_VALUE"""),0.8)</f>
        <v>0.8</v>
      </c>
    </row>
    <row r="18">
      <c r="A18" s="14">
        <f>VLOOKUP(B18,map!B:C,2,false)</f>
        <v>2</v>
      </c>
      <c r="B18" s="15" t="str">
        <f>IFERROR(__xludf.DUMMYFUNCTION("""COMPUTED_VALUE"""),"Kansas City")</f>
        <v>Kansas City</v>
      </c>
      <c r="C18" s="16">
        <f>IFERROR(__xludf.DUMMYFUNCTION("""COMPUTED_VALUE"""),1.1)</f>
        <v>1.1</v>
      </c>
      <c r="D18" s="16">
        <f>IFERROR(__xludf.DUMMYFUNCTION("""COMPUTED_VALUE"""),1.7)</f>
        <v>1.7</v>
      </c>
      <c r="E18" s="16">
        <f>IFERROR(__xludf.DUMMYFUNCTION("""COMPUTED_VALUE"""),1.0)</f>
        <v>1</v>
      </c>
      <c r="F18" s="16">
        <f>IFERROR(__xludf.DUMMYFUNCTION("""COMPUTED_VALUE"""),1.0)</f>
        <v>1</v>
      </c>
      <c r="G18" s="16">
        <f>IFERROR(__xludf.DUMMYFUNCTION("""COMPUTED_VALUE"""),1.3)</f>
        <v>1.3</v>
      </c>
      <c r="H18" s="16">
        <f>IFERROR(__xludf.DUMMYFUNCTION("""COMPUTED_VALUE"""),1.1)</f>
        <v>1.1</v>
      </c>
    </row>
    <row r="19">
      <c r="A19" s="14">
        <f>VLOOKUP(B19,map!B:C,2,false)</f>
        <v>4</v>
      </c>
      <c r="B19" s="15" t="str">
        <f>IFERROR(__xludf.DUMMYFUNCTION("""COMPUTED_VALUE"""),"Cincinnati")</f>
        <v>Cincinnati</v>
      </c>
      <c r="C19" s="16">
        <f>IFERROR(__xludf.DUMMYFUNCTION("""COMPUTED_VALUE"""),1.0)</f>
        <v>1</v>
      </c>
      <c r="D19" s="16">
        <f>IFERROR(__xludf.DUMMYFUNCTION("""COMPUTED_VALUE"""),1.0)</f>
        <v>1</v>
      </c>
      <c r="E19" s="16">
        <f>IFERROR(__xludf.DUMMYFUNCTION("""COMPUTED_VALUE"""),0.0)</f>
        <v>0</v>
      </c>
      <c r="F19" s="16">
        <f>IFERROR(__xludf.DUMMYFUNCTION("""COMPUTED_VALUE"""),0.3)</f>
        <v>0.3</v>
      </c>
      <c r="G19" s="16">
        <f>IFERROR(__xludf.DUMMYFUNCTION("""COMPUTED_VALUE"""),1.8)</f>
        <v>1.8</v>
      </c>
      <c r="H19" s="16">
        <f>IFERROR(__xludf.DUMMYFUNCTION("""COMPUTED_VALUE"""),1.5)</f>
        <v>1.5</v>
      </c>
    </row>
    <row r="20">
      <c r="A20" s="14">
        <f>VLOOKUP(B20,map!B:C,2,false)</f>
        <v>30</v>
      </c>
      <c r="B20" s="15" t="str">
        <f>IFERROR(__xludf.DUMMYFUNCTION("""COMPUTED_VALUE"""),"Baltimore")</f>
        <v>Baltimore</v>
      </c>
      <c r="C20" s="16">
        <f>IFERROR(__xludf.DUMMYFUNCTION("""COMPUTED_VALUE"""),1.0)</f>
        <v>1</v>
      </c>
      <c r="D20" s="16">
        <f>IFERROR(__xludf.DUMMYFUNCTION("""COMPUTED_VALUE"""),1.0)</f>
        <v>1</v>
      </c>
      <c r="E20" s="16">
        <f>IFERROR(__xludf.DUMMYFUNCTION("""COMPUTED_VALUE"""),1.0)</f>
        <v>1</v>
      </c>
      <c r="F20" s="16">
        <f>IFERROR(__xludf.DUMMYFUNCTION("""COMPUTED_VALUE"""),0.7)</f>
        <v>0.7</v>
      </c>
      <c r="G20" s="16">
        <f>IFERROR(__xludf.DUMMYFUNCTION("""COMPUTED_VALUE"""),1.2)</f>
        <v>1.2</v>
      </c>
      <c r="H20" s="16">
        <f>IFERROR(__xludf.DUMMYFUNCTION("""COMPUTED_VALUE"""),1.6)</f>
        <v>1.6</v>
      </c>
    </row>
    <row r="21">
      <c r="A21" s="14">
        <f>VLOOKUP(B21,map!B:C,2,false)</f>
        <v>13</v>
      </c>
      <c r="B21" s="15" t="str">
        <f>IFERROR(__xludf.DUMMYFUNCTION("""COMPUTED_VALUE"""),"Seattle")</f>
        <v>Seattle</v>
      </c>
      <c r="C21" s="16">
        <f>IFERROR(__xludf.DUMMYFUNCTION("""COMPUTED_VALUE"""),1.0)</f>
        <v>1</v>
      </c>
      <c r="D21" s="16">
        <f>IFERROR(__xludf.DUMMYFUNCTION("""COMPUTED_VALUE"""),1.3)</f>
        <v>1.3</v>
      </c>
      <c r="E21" s="16">
        <f>IFERROR(__xludf.DUMMYFUNCTION("""COMPUTED_VALUE"""),1.0)</f>
        <v>1</v>
      </c>
      <c r="F21" s="16">
        <f>IFERROR(__xludf.DUMMYFUNCTION("""COMPUTED_VALUE"""),1.0)</f>
        <v>1</v>
      </c>
      <c r="G21" s="16">
        <f>IFERROR(__xludf.DUMMYFUNCTION("""COMPUTED_VALUE"""),1.0)</f>
        <v>1</v>
      </c>
      <c r="H21" s="16">
        <f>IFERROR(__xludf.DUMMYFUNCTION("""COMPUTED_VALUE"""),1.1)</f>
        <v>1.1</v>
      </c>
    </row>
    <row r="22">
      <c r="A22" s="14">
        <f>VLOOKUP(B22,map!B:C,2,false)</f>
        <v>23</v>
      </c>
      <c r="B22" s="15" t="str">
        <f>IFERROR(__xludf.DUMMYFUNCTION("""COMPUTED_VALUE"""),"Carolina")</f>
        <v>Carolina</v>
      </c>
      <c r="C22" s="16">
        <f>IFERROR(__xludf.DUMMYFUNCTION("""COMPUTED_VALUE"""),1.0)</f>
        <v>1</v>
      </c>
      <c r="D22" s="16">
        <f>IFERROR(__xludf.DUMMYFUNCTION("""COMPUTED_VALUE"""),1.0)</f>
        <v>1</v>
      </c>
      <c r="E22" s="16">
        <f>IFERROR(__xludf.DUMMYFUNCTION("""COMPUTED_VALUE"""),2.0)</f>
        <v>2</v>
      </c>
      <c r="F22" s="16">
        <f>IFERROR(__xludf.DUMMYFUNCTION("""COMPUTED_VALUE"""),1.3)</f>
        <v>1.3</v>
      </c>
      <c r="G22" s="16">
        <f>IFERROR(__xludf.DUMMYFUNCTION("""COMPUTED_VALUE"""),0.8)</f>
        <v>0.8</v>
      </c>
      <c r="H22" s="16">
        <f>IFERROR(__xludf.DUMMYFUNCTION("""COMPUTED_VALUE"""),0.6)</f>
        <v>0.6</v>
      </c>
    </row>
    <row r="23">
      <c r="A23" s="14">
        <f>VLOOKUP(B23,map!B:C,2,false)</f>
        <v>8</v>
      </c>
      <c r="B23" s="15" t="str">
        <f>IFERROR(__xludf.DUMMYFUNCTION("""COMPUTED_VALUE"""),"Washington")</f>
        <v>Washington</v>
      </c>
      <c r="C23" s="16">
        <f>IFERROR(__xludf.DUMMYFUNCTION("""COMPUTED_VALUE"""),0.9)</f>
        <v>0.9</v>
      </c>
      <c r="D23" s="16">
        <f>IFERROR(__xludf.DUMMYFUNCTION("""COMPUTED_VALUE"""),1.3)</f>
        <v>1.3</v>
      </c>
      <c r="E23" s="16">
        <f>IFERROR(__xludf.DUMMYFUNCTION("""COMPUTED_VALUE"""),1.0)</f>
        <v>1</v>
      </c>
      <c r="F23" s="16">
        <f>IFERROR(__xludf.DUMMYFUNCTION("""COMPUTED_VALUE"""),1.3)</f>
        <v>1.3</v>
      </c>
      <c r="G23" s="16">
        <f>IFERROR(__xludf.DUMMYFUNCTION("""COMPUTED_VALUE"""),0.5)</f>
        <v>0.5</v>
      </c>
      <c r="H23" s="16">
        <f>IFERROR(__xludf.DUMMYFUNCTION("""COMPUTED_VALUE"""),1.1)</f>
        <v>1.1</v>
      </c>
    </row>
    <row r="24">
      <c r="A24" s="14">
        <f>VLOOKUP(B24,map!B:C,2,false)</f>
        <v>22</v>
      </c>
      <c r="B24" s="15" t="str">
        <f>IFERROR(__xludf.DUMMYFUNCTION("""COMPUTED_VALUE"""),"New England")</f>
        <v>New England</v>
      </c>
      <c r="C24" s="16">
        <f>IFERROR(__xludf.DUMMYFUNCTION("""COMPUTED_VALUE"""),0.9)</f>
        <v>0.9</v>
      </c>
      <c r="D24" s="16">
        <f>IFERROR(__xludf.DUMMYFUNCTION("""COMPUTED_VALUE"""),0.3)</f>
        <v>0.3</v>
      </c>
      <c r="E24" s="16">
        <f>IFERROR(__xludf.DUMMYFUNCTION("""COMPUTED_VALUE"""),0.0)</f>
        <v>0</v>
      </c>
      <c r="F24" s="16">
        <f>IFERROR(__xludf.DUMMYFUNCTION("""COMPUTED_VALUE"""),0.8)</f>
        <v>0.8</v>
      </c>
      <c r="G24" s="16">
        <f>IFERROR(__xludf.DUMMYFUNCTION("""COMPUTED_VALUE"""),1.0)</f>
        <v>1</v>
      </c>
      <c r="H24" s="16">
        <f>IFERROR(__xludf.DUMMYFUNCTION("""COMPUTED_VALUE"""),1.1)</f>
        <v>1.1</v>
      </c>
    </row>
    <row r="25">
      <c r="A25" s="14">
        <f>VLOOKUP(B25,map!B:C,2,false)</f>
        <v>26</v>
      </c>
      <c r="B25" s="15" t="str">
        <f>IFERROR(__xludf.DUMMYFUNCTION("""COMPUTED_VALUE"""),"NY Giants")</f>
        <v>NY Giants</v>
      </c>
      <c r="C25" s="16">
        <f>IFERROR(__xludf.DUMMYFUNCTION("""COMPUTED_VALUE"""),0.9)</f>
        <v>0.9</v>
      </c>
      <c r="D25" s="16">
        <f>IFERROR(__xludf.DUMMYFUNCTION("""COMPUTED_VALUE"""),0.7)</f>
        <v>0.7</v>
      </c>
      <c r="E25" s="16">
        <f>IFERROR(__xludf.DUMMYFUNCTION("""COMPUTED_VALUE"""),0.0)</f>
        <v>0</v>
      </c>
      <c r="F25" s="16">
        <f>IFERROR(__xludf.DUMMYFUNCTION("""COMPUTED_VALUE"""),0.8)</f>
        <v>0.8</v>
      </c>
      <c r="G25" s="16">
        <f>IFERROR(__xludf.DUMMYFUNCTION("""COMPUTED_VALUE"""),1.0)</f>
        <v>1</v>
      </c>
      <c r="H25" s="16">
        <f>IFERROR(__xludf.DUMMYFUNCTION("""COMPUTED_VALUE"""),1.8)</f>
        <v>1.8</v>
      </c>
    </row>
    <row r="26">
      <c r="A26" s="14">
        <f>VLOOKUP(B26,map!B:C,2,false)</f>
        <v>19</v>
      </c>
      <c r="B26" s="15" t="str">
        <f>IFERROR(__xludf.DUMMYFUNCTION("""COMPUTED_VALUE"""),"NY Jets")</f>
        <v>NY Jets</v>
      </c>
      <c r="C26" s="16">
        <f>IFERROR(__xludf.DUMMYFUNCTION("""COMPUTED_VALUE"""),0.8)</f>
        <v>0.8</v>
      </c>
      <c r="D26" s="16">
        <f>IFERROR(__xludf.DUMMYFUNCTION("""COMPUTED_VALUE"""),0.0)</f>
        <v>0</v>
      </c>
      <c r="E26" s="16">
        <f>IFERROR(__xludf.DUMMYFUNCTION("""COMPUTED_VALUE"""),0.0)</f>
        <v>0</v>
      </c>
      <c r="F26" s="16">
        <f>IFERROR(__xludf.DUMMYFUNCTION("""COMPUTED_VALUE"""),0.7)</f>
        <v>0.7</v>
      </c>
      <c r="G26" s="16">
        <f>IFERROR(__xludf.DUMMYFUNCTION("""COMPUTED_VALUE"""),0.8)</f>
        <v>0.8</v>
      </c>
      <c r="H26" s="16">
        <f>IFERROR(__xludf.DUMMYFUNCTION("""COMPUTED_VALUE"""),1.6)</f>
        <v>1.6</v>
      </c>
    </row>
    <row r="27">
      <c r="A27" s="14">
        <f>VLOOKUP(B27,map!B:C,2,false)</f>
        <v>1</v>
      </c>
      <c r="B27" s="15" t="str">
        <f>IFERROR(__xludf.DUMMYFUNCTION("""COMPUTED_VALUE"""),"Dallas")</f>
        <v>Dallas</v>
      </c>
      <c r="C27" s="16">
        <f>IFERROR(__xludf.DUMMYFUNCTION("""COMPUTED_VALUE"""),0.7)</f>
        <v>0.7</v>
      </c>
      <c r="D27" s="16">
        <f>IFERROR(__xludf.DUMMYFUNCTION("""COMPUTED_VALUE"""),0.3)</f>
        <v>0.3</v>
      </c>
      <c r="E27" s="16">
        <f>IFERROR(__xludf.DUMMYFUNCTION("""COMPUTED_VALUE"""),0.0)</f>
        <v>0</v>
      </c>
      <c r="F27" s="16">
        <f>IFERROR(__xludf.DUMMYFUNCTION("""COMPUTED_VALUE"""),0.3)</f>
        <v>0.3</v>
      </c>
      <c r="G27" s="16">
        <f>IFERROR(__xludf.DUMMYFUNCTION("""COMPUTED_VALUE"""),1.0)</f>
        <v>1</v>
      </c>
      <c r="H27" s="16">
        <f>IFERROR(__xludf.DUMMYFUNCTION("""COMPUTED_VALUE"""),1.4)</f>
        <v>1.4</v>
      </c>
    </row>
    <row r="28">
      <c r="A28" s="14">
        <f>VLOOKUP(B28,map!B:C,2,false)</f>
        <v>10</v>
      </c>
      <c r="B28" s="15" t="str">
        <f>IFERROR(__xludf.DUMMYFUNCTION("""COMPUTED_VALUE"""),"Miami")</f>
        <v>Miami</v>
      </c>
      <c r="C28" s="16">
        <f>IFERROR(__xludf.DUMMYFUNCTION("""COMPUTED_VALUE"""),0.7)</f>
        <v>0.7</v>
      </c>
      <c r="D28" s="16">
        <f>IFERROR(__xludf.DUMMYFUNCTION("""COMPUTED_VALUE"""),0.3)</f>
        <v>0.3</v>
      </c>
      <c r="E28" s="16">
        <f>IFERROR(__xludf.DUMMYFUNCTION("""COMPUTED_VALUE"""),0.0)</f>
        <v>0</v>
      </c>
      <c r="F28" s="16">
        <f>IFERROR(__xludf.DUMMYFUNCTION("""COMPUTED_VALUE"""),0.5)</f>
        <v>0.5</v>
      </c>
      <c r="G28" s="16">
        <f>IFERROR(__xludf.DUMMYFUNCTION("""COMPUTED_VALUE"""),1.0)</f>
        <v>1</v>
      </c>
      <c r="H28" s="16">
        <f>IFERROR(__xludf.DUMMYFUNCTION("""COMPUTED_VALUE"""),1.6)</f>
        <v>1.6</v>
      </c>
    </row>
    <row r="29">
      <c r="A29" s="14">
        <f>VLOOKUP(B29,map!B:C,2,false)</f>
        <v>16</v>
      </c>
      <c r="B29" s="15" t="str">
        <f>IFERROR(__xludf.DUMMYFUNCTION("""COMPUTED_VALUE"""),"Cleveland")</f>
        <v>Cleveland</v>
      </c>
      <c r="C29" s="16">
        <f>IFERROR(__xludf.DUMMYFUNCTION("""COMPUTED_VALUE"""),0.6)</f>
        <v>0.6</v>
      </c>
      <c r="D29" s="16">
        <f>IFERROR(__xludf.DUMMYFUNCTION("""COMPUTED_VALUE"""),0.0)</f>
        <v>0</v>
      </c>
      <c r="E29" s="16">
        <f>IFERROR(__xludf.DUMMYFUNCTION("""COMPUTED_VALUE"""),0.0)</f>
        <v>0</v>
      </c>
      <c r="F29" s="16">
        <f>IFERROR(__xludf.DUMMYFUNCTION("""COMPUTED_VALUE"""),0.5)</f>
        <v>0.5</v>
      </c>
      <c r="G29" s="16">
        <f>IFERROR(__xludf.DUMMYFUNCTION("""COMPUTED_VALUE"""),0.8)</f>
        <v>0.8</v>
      </c>
      <c r="H29" s="16">
        <f>IFERROR(__xludf.DUMMYFUNCTION("""COMPUTED_VALUE"""),1.6)</f>
        <v>1.6</v>
      </c>
    </row>
    <row r="30">
      <c r="A30" s="14">
        <f>VLOOKUP(B30,map!B:C,2,false)</f>
        <v>12</v>
      </c>
      <c r="B30" s="15" t="str">
        <f>IFERROR(__xludf.DUMMYFUNCTION("""COMPUTED_VALUE"""),"Philadelphia")</f>
        <v>Philadelphia</v>
      </c>
      <c r="C30" s="16">
        <f>IFERROR(__xludf.DUMMYFUNCTION("""COMPUTED_VALUE"""),0.6)</f>
        <v>0.6</v>
      </c>
      <c r="D30" s="16">
        <f>IFERROR(__xludf.DUMMYFUNCTION("""COMPUTED_VALUE"""),0.7)</f>
        <v>0.7</v>
      </c>
      <c r="E30" s="16">
        <f>IFERROR(__xludf.DUMMYFUNCTION("""COMPUTED_VALUE"""),2.0)</f>
        <v>2</v>
      </c>
      <c r="F30" s="16">
        <f>IFERROR(__xludf.DUMMYFUNCTION("""COMPUTED_VALUE"""),0.0)</f>
        <v>0</v>
      </c>
      <c r="G30" s="16">
        <f>IFERROR(__xludf.DUMMYFUNCTION("""COMPUTED_VALUE"""),0.8)</f>
        <v>0.8</v>
      </c>
      <c r="H30" s="16">
        <f>IFERROR(__xludf.DUMMYFUNCTION("""COMPUTED_VALUE"""),1.0)</f>
        <v>1</v>
      </c>
    </row>
    <row r="31">
      <c r="A31" s="14">
        <f>VLOOKUP(B31,map!B:C,2,false)</f>
        <v>24</v>
      </c>
      <c r="B31" s="15" t="str">
        <f>IFERROR(__xludf.DUMMYFUNCTION("""COMPUTED_VALUE"""),"Las Vegas")</f>
        <v>Las Vegas</v>
      </c>
      <c r="C31" s="16">
        <f>IFERROR(__xludf.DUMMYFUNCTION("""COMPUTED_VALUE"""),0.5)</f>
        <v>0.5</v>
      </c>
      <c r="D31" s="16">
        <f>IFERROR(__xludf.DUMMYFUNCTION("""COMPUTED_VALUE"""),0.7)</f>
        <v>0.7</v>
      </c>
      <c r="E31" s="16">
        <f>IFERROR(__xludf.DUMMYFUNCTION("""COMPUTED_VALUE"""),1.0)</f>
        <v>1</v>
      </c>
      <c r="F31" s="16">
        <f>IFERROR(__xludf.DUMMYFUNCTION("""COMPUTED_VALUE"""),0.5)</f>
        <v>0.5</v>
      </c>
      <c r="G31" s="16">
        <f>IFERROR(__xludf.DUMMYFUNCTION("""COMPUTED_VALUE"""),0.5)</f>
        <v>0.5</v>
      </c>
      <c r="H31" s="16">
        <f>IFERROR(__xludf.DUMMYFUNCTION("""COMPUTED_VALUE"""),1.3)</f>
        <v>1.3</v>
      </c>
    </row>
    <row r="32">
      <c r="A32" s="14">
        <f>VLOOKUP(B32,map!B:C,2,false)</f>
        <v>6</v>
      </c>
      <c r="B32" s="15" t="str">
        <f>IFERROR(__xludf.DUMMYFUNCTION("""COMPUTED_VALUE"""),"Jacksonville")</f>
        <v>Jacksonville</v>
      </c>
      <c r="C32" s="16">
        <f>IFERROR(__xludf.DUMMYFUNCTION("""COMPUTED_VALUE"""),0.5)</f>
        <v>0.5</v>
      </c>
      <c r="D32" s="16">
        <f>IFERROR(__xludf.DUMMYFUNCTION("""COMPUTED_VALUE"""),0.7)</f>
        <v>0.7</v>
      </c>
      <c r="E32" s="16">
        <f>IFERROR(__xludf.DUMMYFUNCTION("""COMPUTED_VALUE"""),1.0)</f>
        <v>1</v>
      </c>
      <c r="F32" s="16">
        <f>IFERROR(__xludf.DUMMYFUNCTION("""COMPUTED_VALUE"""),0.7)</f>
        <v>0.7</v>
      </c>
      <c r="G32" s="16">
        <f>IFERROR(__xludf.DUMMYFUNCTION("""COMPUTED_VALUE"""),0.4)</f>
        <v>0.4</v>
      </c>
      <c r="H32" s="16">
        <f>IFERROR(__xludf.DUMMYFUNCTION("""COMPUTED_VALUE"""),1.6)</f>
        <v>1.6</v>
      </c>
    </row>
    <row r="33">
      <c r="A33" s="14">
        <f>VLOOKUP(B33,map!B:C,2,false)</f>
        <v>32</v>
      </c>
      <c r="B33" s="15" t="str">
        <f>IFERROR(__xludf.DUMMYFUNCTION("""COMPUTED_VALUE"""),"Tennessee")</f>
        <v>Tennessee</v>
      </c>
      <c r="C33" s="16">
        <f>IFERROR(__xludf.DUMMYFUNCTION("""COMPUTED_VALUE"""),0.4)</f>
        <v>0.4</v>
      </c>
      <c r="D33" s="16">
        <f>IFERROR(__xludf.DUMMYFUNCTION("""COMPUTED_VALUE"""),0.3)</f>
        <v>0.3</v>
      </c>
      <c r="E33" s="16">
        <f>IFERROR(__xludf.DUMMYFUNCTION("""COMPUTED_VALUE"""),0.0)</f>
        <v>0</v>
      </c>
      <c r="F33" s="16">
        <f>IFERROR(__xludf.DUMMYFUNCTION("""COMPUTED_VALUE"""),0.3)</f>
        <v>0.3</v>
      </c>
      <c r="G33" s="16">
        <f>IFERROR(__xludf.DUMMYFUNCTION("""COMPUTED_VALUE"""),0.5)</f>
        <v>0.5</v>
      </c>
      <c r="H33" s="16">
        <f>IFERROR(__xludf.DUMMYFUNCTION("""COMPUTED_VALUE"""),0.8)</f>
        <v>0.8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28</v>
      </c>
      <c r="B1" s="11" t="str">
        <f>IFERROR(__xludf.DUMMYFUNCTION("QUERY(IMPORTHTML(""https://www.teamrankings.com/nfl/stat/yards-per-play?date="" &amp; TEXT(TODAY(),""yyyy-mm-dd""), ""table"", 1, ""en_US""), ""SELECT Col2, Col3, Col4, Col5, Col6, Col7, Col8"")
"),"Team")</f>
        <v>Team</v>
      </c>
      <c r="C1" s="12" t="str">
        <f>IFERROR(__xludf.DUMMYFUNCTION("""COMPUTED_VALUE"""),"2024")</f>
        <v>2024</v>
      </c>
      <c r="D1" s="13" t="str">
        <f>IFERROR(__xludf.DUMMYFUNCTION("""COMPUTED_VALUE"""),"Last 3")</f>
        <v>Last 3</v>
      </c>
      <c r="E1" s="13" t="str">
        <f>IFERROR(__xludf.DUMMYFUNCTION("""COMPUTED_VALUE"""),"Last 1")</f>
        <v>Last 1</v>
      </c>
      <c r="F1" s="12" t="str">
        <f>IFERROR(__xludf.DUMMYFUNCTION("""COMPUTED_VALUE"""),"Home")</f>
        <v>Home</v>
      </c>
      <c r="G1" s="12" t="str">
        <f>IFERROR(__xludf.DUMMYFUNCTION("""COMPUTED_VALUE"""),"Away")</f>
        <v>Away</v>
      </c>
      <c r="H1" s="12" t="str">
        <f>IFERROR(__xludf.DUMMYFUNCTION("""COMPUTED_VALUE"""),"2023")</f>
        <v>2023</v>
      </c>
    </row>
    <row r="2">
      <c r="A2" s="14">
        <f>VLOOKUP(B2,map!B:C,2,false)</f>
        <v>30</v>
      </c>
      <c r="B2" s="15" t="str">
        <f>IFERROR(__xludf.DUMMYFUNCTION("""COMPUTED_VALUE"""),"Baltimore")</f>
        <v>Baltimore</v>
      </c>
      <c r="C2" s="16">
        <f>IFERROR(__xludf.DUMMYFUNCTION("""COMPUTED_VALUE"""),7.1)</f>
        <v>7.1</v>
      </c>
      <c r="D2" s="16">
        <f>IFERROR(__xludf.DUMMYFUNCTION("""COMPUTED_VALUE"""),7.6)</f>
        <v>7.6</v>
      </c>
      <c r="E2" s="16">
        <f>IFERROR(__xludf.DUMMYFUNCTION("""COMPUTED_VALUE"""),6.2)</f>
        <v>6.2</v>
      </c>
      <c r="F2" s="16">
        <f>IFERROR(__xludf.DUMMYFUNCTION("""COMPUTED_VALUE"""),7.1)</f>
        <v>7.1</v>
      </c>
      <c r="G2" s="16">
        <f>IFERROR(__xludf.DUMMYFUNCTION("""COMPUTED_VALUE"""),7.1)</f>
        <v>7.1</v>
      </c>
      <c r="H2" s="16">
        <f>IFERROR(__xludf.DUMMYFUNCTION("""COMPUTED_VALUE"""),5.8)</f>
        <v>5.8</v>
      </c>
    </row>
    <row r="3">
      <c r="A3" s="14">
        <f>VLOOKUP(B3,map!B:C,2,false)</f>
        <v>25</v>
      </c>
      <c r="B3" s="15" t="str">
        <f>IFERROR(__xludf.DUMMYFUNCTION("""COMPUTED_VALUE"""),"San Francisco")</f>
        <v>San Francisco</v>
      </c>
      <c r="C3" s="16">
        <f>IFERROR(__xludf.DUMMYFUNCTION("""COMPUTED_VALUE"""),6.5)</f>
        <v>6.5</v>
      </c>
      <c r="D3" s="16">
        <f>IFERROR(__xludf.DUMMYFUNCTION("""COMPUTED_VALUE"""),7.0)</f>
        <v>7</v>
      </c>
      <c r="E3" s="16">
        <f>IFERROR(__xludf.DUMMYFUNCTION("""COMPUTED_VALUE"""),7.3)</f>
        <v>7.3</v>
      </c>
      <c r="F3" s="16">
        <f>IFERROR(__xludf.DUMMYFUNCTION("""COMPUTED_VALUE"""),6.4)</f>
        <v>6.4</v>
      </c>
      <c r="G3" s="16">
        <f>IFERROR(__xludf.DUMMYFUNCTION("""COMPUTED_VALUE"""),6.8)</f>
        <v>6.8</v>
      </c>
      <c r="H3" s="16">
        <f>IFERROR(__xludf.DUMMYFUNCTION("""COMPUTED_VALUE"""),6.5)</f>
        <v>6.5</v>
      </c>
    </row>
    <row r="4">
      <c r="A4" s="14">
        <f>VLOOKUP(B4,map!B:C,2,false)</f>
        <v>8</v>
      </c>
      <c r="B4" s="15" t="str">
        <f>IFERROR(__xludf.DUMMYFUNCTION("""COMPUTED_VALUE"""),"Washington")</f>
        <v>Washington</v>
      </c>
      <c r="C4" s="16">
        <f>IFERROR(__xludf.DUMMYFUNCTION("""COMPUTED_VALUE"""),6.3)</f>
        <v>6.3</v>
      </c>
      <c r="D4" s="16">
        <f>IFERROR(__xludf.DUMMYFUNCTION("""COMPUTED_VALUE"""),6.3)</f>
        <v>6.3</v>
      </c>
      <c r="E4" s="16">
        <f>IFERROR(__xludf.DUMMYFUNCTION("""COMPUTED_VALUE"""),6.7)</f>
        <v>6.7</v>
      </c>
      <c r="F4" s="16">
        <f>IFERROR(__xludf.DUMMYFUNCTION("""COMPUTED_VALUE"""),6.5)</f>
        <v>6.5</v>
      </c>
      <c r="G4" s="16">
        <f>IFERROR(__xludf.DUMMYFUNCTION("""COMPUTED_VALUE"""),6.0)</f>
        <v>6</v>
      </c>
      <c r="H4" s="16">
        <f>IFERROR(__xludf.DUMMYFUNCTION("""COMPUTED_VALUE"""),5.0)</f>
        <v>5</v>
      </c>
    </row>
    <row r="5">
      <c r="A5" s="14">
        <f>VLOOKUP(B5,map!B:C,2,false)</f>
        <v>5</v>
      </c>
      <c r="B5" s="15" t="str">
        <f>IFERROR(__xludf.DUMMYFUNCTION("""COMPUTED_VALUE"""),"Detroit")</f>
        <v>Detroit</v>
      </c>
      <c r="C5" s="16">
        <f>IFERROR(__xludf.DUMMYFUNCTION("""COMPUTED_VALUE"""),6.3)</f>
        <v>6.3</v>
      </c>
      <c r="D5" s="16">
        <f>IFERROR(__xludf.DUMMYFUNCTION("""COMPUTED_VALUE"""),6.6)</f>
        <v>6.6</v>
      </c>
      <c r="E5" s="16">
        <f>IFERROR(__xludf.DUMMYFUNCTION("""COMPUTED_VALUE"""),4.8)</f>
        <v>4.8</v>
      </c>
      <c r="F5" s="16">
        <f>IFERROR(__xludf.DUMMYFUNCTION("""COMPUTED_VALUE"""),6.0)</f>
        <v>6</v>
      </c>
      <c r="G5" s="16">
        <f>IFERROR(__xludf.DUMMYFUNCTION("""COMPUTED_VALUE"""),6.6)</f>
        <v>6.6</v>
      </c>
      <c r="H5" s="16">
        <f>IFERROR(__xludf.DUMMYFUNCTION("""COMPUTED_VALUE"""),5.9)</f>
        <v>5.9</v>
      </c>
    </row>
    <row r="6">
      <c r="A6" s="14">
        <f>VLOOKUP(B6,map!B:C,2,false)</f>
        <v>14</v>
      </c>
      <c r="B6" s="15" t="str">
        <f>IFERROR(__xludf.DUMMYFUNCTION("""COMPUTED_VALUE"""),"Tampa Bay")</f>
        <v>Tampa Bay</v>
      </c>
      <c r="C6" s="16">
        <f>IFERROR(__xludf.DUMMYFUNCTION("""COMPUTED_VALUE"""),6.1)</f>
        <v>6.1</v>
      </c>
      <c r="D6" s="16">
        <f>IFERROR(__xludf.DUMMYFUNCTION("""COMPUTED_VALUE"""),6.8)</f>
        <v>6.8</v>
      </c>
      <c r="E6" s="16">
        <f>IFERROR(__xludf.DUMMYFUNCTION("""COMPUTED_VALUE"""),6.0)</f>
        <v>6</v>
      </c>
      <c r="F6" s="16">
        <f>IFERROR(__xludf.DUMMYFUNCTION("""COMPUTED_VALUE"""),5.8)</f>
        <v>5.8</v>
      </c>
      <c r="G6" s="16">
        <f>IFERROR(__xludf.DUMMYFUNCTION("""COMPUTED_VALUE"""),6.7)</f>
        <v>6.7</v>
      </c>
      <c r="H6" s="16">
        <f>IFERROR(__xludf.DUMMYFUNCTION("""COMPUTED_VALUE"""),5.2)</f>
        <v>5.2</v>
      </c>
    </row>
    <row r="7">
      <c r="A7" s="14">
        <f>VLOOKUP(B7,map!B:C,2,false)</f>
        <v>15</v>
      </c>
      <c r="B7" s="15" t="str">
        <f>IFERROR(__xludf.DUMMYFUNCTION("""COMPUTED_VALUE"""),"Green Bay")</f>
        <v>Green Bay</v>
      </c>
      <c r="C7" s="16">
        <f>IFERROR(__xludf.DUMMYFUNCTION("""COMPUTED_VALUE"""),6.1)</f>
        <v>6.1</v>
      </c>
      <c r="D7" s="16">
        <f>IFERROR(__xludf.DUMMYFUNCTION("""COMPUTED_VALUE"""),5.9)</f>
        <v>5.9</v>
      </c>
      <c r="E7" s="16">
        <f>IFERROR(__xludf.DUMMYFUNCTION("""COMPUTED_VALUE"""),6.3)</f>
        <v>6.3</v>
      </c>
      <c r="F7" s="16">
        <f>IFERROR(__xludf.DUMMYFUNCTION("""COMPUTED_VALUE"""),5.9)</f>
        <v>5.9</v>
      </c>
      <c r="G7" s="16">
        <f>IFERROR(__xludf.DUMMYFUNCTION("""COMPUTED_VALUE"""),6.4)</f>
        <v>6.4</v>
      </c>
      <c r="H7" s="16">
        <f>IFERROR(__xludf.DUMMYFUNCTION("""COMPUTED_VALUE"""),5.7)</f>
        <v>5.7</v>
      </c>
    </row>
    <row r="8">
      <c r="A8" s="14">
        <f>VLOOKUP(B8,map!B:C,2,false)</f>
        <v>28</v>
      </c>
      <c r="B8" s="15" t="str">
        <f>IFERROR(__xludf.DUMMYFUNCTION("""COMPUTED_VALUE"""),"Atlanta")</f>
        <v>Atlanta</v>
      </c>
      <c r="C8" s="16">
        <f>IFERROR(__xludf.DUMMYFUNCTION("""COMPUTED_VALUE"""),6.0)</f>
        <v>6</v>
      </c>
      <c r="D8" s="16">
        <f>IFERROR(__xludf.DUMMYFUNCTION("""COMPUTED_VALUE"""),6.0)</f>
        <v>6</v>
      </c>
      <c r="E8" s="16">
        <f>IFERROR(__xludf.DUMMYFUNCTION("""COMPUTED_VALUE"""),6.6)</f>
        <v>6.6</v>
      </c>
      <c r="F8" s="16">
        <f>IFERROR(__xludf.DUMMYFUNCTION("""COMPUTED_VALUE"""),5.7)</f>
        <v>5.7</v>
      </c>
      <c r="G8" s="16">
        <f>IFERROR(__xludf.DUMMYFUNCTION("""COMPUTED_VALUE"""),6.5)</f>
        <v>6.5</v>
      </c>
      <c r="H8" s="16">
        <f>IFERROR(__xludf.DUMMYFUNCTION("""COMPUTED_VALUE"""),5.2)</f>
        <v>5.2</v>
      </c>
    </row>
    <row r="9">
      <c r="A9" s="14">
        <f>VLOOKUP(B9,map!B:C,2,false)</f>
        <v>21</v>
      </c>
      <c r="B9" s="15" t="str">
        <f>IFERROR(__xludf.DUMMYFUNCTION("""COMPUTED_VALUE"""),"Arizona")</f>
        <v>Arizona</v>
      </c>
      <c r="C9" s="16">
        <f>IFERROR(__xludf.DUMMYFUNCTION("""COMPUTED_VALUE"""),5.9)</f>
        <v>5.9</v>
      </c>
      <c r="D9" s="16">
        <f>IFERROR(__xludf.DUMMYFUNCTION("""COMPUTED_VALUE"""),5.9)</f>
        <v>5.9</v>
      </c>
      <c r="E9" s="16">
        <f>IFERROR(__xludf.DUMMYFUNCTION("""COMPUTED_VALUE"""),6.3)</f>
        <v>6.3</v>
      </c>
      <c r="F9" s="16">
        <f>IFERROR(__xludf.DUMMYFUNCTION("""COMPUTED_VALUE"""),6.1)</f>
        <v>6.1</v>
      </c>
      <c r="G9" s="16">
        <f>IFERROR(__xludf.DUMMYFUNCTION("""COMPUTED_VALUE"""),5.6)</f>
        <v>5.6</v>
      </c>
      <c r="H9" s="16">
        <f>IFERROR(__xludf.DUMMYFUNCTION("""COMPUTED_VALUE"""),5.2)</f>
        <v>5.2</v>
      </c>
    </row>
    <row r="10">
      <c r="A10" s="14">
        <f>VLOOKUP(B10,map!B:C,2,false)</f>
        <v>11</v>
      </c>
      <c r="B10" s="15" t="str">
        <f>IFERROR(__xludf.DUMMYFUNCTION("""COMPUTED_VALUE"""),"Buffalo")</f>
        <v>Buffalo</v>
      </c>
      <c r="C10" s="16">
        <f>IFERROR(__xludf.DUMMYFUNCTION("""COMPUTED_VALUE"""),5.8)</f>
        <v>5.8</v>
      </c>
      <c r="D10" s="16">
        <f>IFERROR(__xludf.DUMMYFUNCTION("""COMPUTED_VALUE"""),6.5)</f>
        <v>6.5</v>
      </c>
      <c r="E10" s="16">
        <f>IFERROR(__xludf.DUMMYFUNCTION("""COMPUTED_VALUE"""),6.4)</f>
        <v>6.4</v>
      </c>
      <c r="F10" s="16">
        <f>IFERROR(__xludf.DUMMYFUNCTION("""COMPUTED_VALUE"""),6.6)</f>
        <v>6.6</v>
      </c>
      <c r="G10" s="16">
        <f>IFERROR(__xludf.DUMMYFUNCTION("""COMPUTED_VALUE"""),5.4)</f>
        <v>5.4</v>
      </c>
      <c r="H10" s="16">
        <f>IFERROR(__xludf.DUMMYFUNCTION("""COMPUTED_VALUE"""),5.6)</f>
        <v>5.6</v>
      </c>
    </row>
    <row r="11">
      <c r="A11" s="14">
        <f>VLOOKUP(B11,map!B:C,2,false)</f>
        <v>6</v>
      </c>
      <c r="B11" s="15" t="str">
        <f>IFERROR(__xludf.DUMMYFUNCTION("""COMPUTED_VALUE"""),"Jacksonville")</f>
        <v>Jacksonville</v>
      </c>
      <c r="C11" s="16">
        <f>IFERROR(__xludf.DUMMYFUNCTION("""COMPUTED_VALUE"""),5.8)</f>
        <v>5.8</v>
      </c>
      <c r="D11" s="16">
        <f>IFERROR(__xludf.DUMMYFUNCTION("""COMPUTED_VALUE"""),5.9)</f>
        <v>5.9</v>
      </c>
      <c r="E11" s="16">
        <f>IFERROR(__xludf.DUMMYFUNCTION("""COMPUTED_VALUE"""),7.0)</f>
        <v>7</v>
      </c>
      <c r="F11" s="16">
        <f>IFERROR(__xludf.DUMMYFUNCTION("""COMPUTED_VALUE"""),7.2)</f>
        <v>7.2</v>
      </c>
      <c r="G11" s="16">
        <f>IFERROR(__xludf.DUMMYFUNCTION("""COMPUTED_VALUE"""),5.0)</f>
        <v>5</v>
      </c>
      <c r="H11" s="16">
        <f>IFERROR(__xludf.DUMMYFUNCTION("""COMPUTED_VALUE"""),5.2)</f>
        <v>5.2</v>
      </c>
    </row>
    <row r="12">
      <c r="A12" s="14">
        <f>VLOOKUP(B12,map!B:C,2,false)</f>
        <v>3</v>
      </c>
      <c r="B12" s="15" t="str">
        <f>IFERROR(__xludf.DUMMYFUNCTION("""COMPUTED_VALUE"""),"Minnesota")</f>
        <v>Minnesota</v>
      </c>
      <c r="C12" s="16">
        <f>IFERROR(__xludf.DUMMYFUNCTION("""COMPUTED_VALUE"""),5.7)</f>
        <v>5.7</v>
      </c>
      <c r="D12" s="16">
        <f>IFERROR(__xludf.DUMMYFUNCTION("""COMPUTED_VALUE"""),5.4)</f>
        <v>5.4</v>
      </c>
      <c r="E12" s="16">
        <f>IFERROR(__xludf.DUMMYFUNCTION("""COMPUTED_VALUE"""),5.5)</f>
        <v>5.5</v>
      </c>
      <c r="F12" s="16">
        <f>IFERROR(__xludf.DUMMYFUNCTION("""COMPUTED_VALUE"""),6.4)</f>
        <v>6.4</v>
      </c>
      <c r="G12" s="16">
        <f>IFERROR(__xludf.DUMMYFUNCTION("""COMPUTED_VALUE"""),5.3)</f>
        <v>5.3</v>
      </c>
      <c r="H12" s="16">
        <f>IFERROR(__xludf.DUMMYFUNCTION("""COMPUTED_VALUE"""),5.5)</f>
        <v>5.5</v>
      </c>
    </row>
    <row r="13">
      <c r="A13" s="14">
        <f>VLOOKUP(B13,map!B:C,2,false)</f>
        <v>12</v>
      </c>
      <c r="B13" s="15" t="str">
        <f>IFERROR(__xludf.DUMMYFUNCTION("""COMPUTED_VALUE"""),"Philadelphia")</f>
        <v>Philadelphia</v>
      </c>
      <c r="C13" s="16">
        <f>IFERROR(__xludf.DUMMYFUNCTION("""COMPUTED_VALUE"""),5.7)</f>
        <v>5.7</v>
      </c>
      <c r="D13" s="16">
        <f>IFERROR(__xludf.DUMMYFUNCTION("""COMPUTED_VALUE"""),6.0)</f>
        <v>6</v>
      </c>
      <c r="E13" s="16">
        <f>IFERROR(__xludf.DUMMYFUNCTION("""COMPUTED_VALUE"""),6.7)</f>
        <v>6.7</v>
      </c>
      <c r="F13" s="16">
        <f>IFERROR(__xludf.DUMMYFUNCTION("""COMPUTED_VALUE"""),5.7)</f>
        <v>5.7</v>
      </c>
      <c r="G13" s="16">
        <f>IFERROR(__xludf.DUMMYFUNCTION("""COMPUTED_VALUE"""),5.7)</f>
        <v>5.7</v>
      </c>
      <c r="H13" s="16">
        <f>IFERROR(__xludf.DUMMYFUNCTION("""COMPUTED_VALUE"""),5.4)</f>
        <v>5.4</v>
      </c>
    </row>
    <row r="14">
      <c r="A14" s="14">
        <f>VLOOKUP(B14,map!B:C,2,false)</f>
        <v>4</v>
      </c>
      <c r="B14" s="15" t="str">
        <f>IFERROR(__xludf.DUMMYFUNCTION("""COMPUTED_VALUE"""),"Cincinnati")</f>
        <v>Cincinnati</v>
      </c>
      <c r="C14" s="16">
        <f>IFERROR(__xludf.DUMMYFUNCTION("""COMPUTED_VALUE"""),5.7)</f>
        <v>5.7</v>
      </c>
      <c r="D14" s="16">
        <f>IFERROR(__xludf.DUMMYFUNCTION("""COMPUTED_VALUE"""),5.0)</f>
        <v>5</v>
      </c>
      <c r="E14" s="16">
        <f>IFERROR(__xludf.DUMMYFUNCTION("""COMPUTED_VALUE"""),4.8)</f>
        <v>4.8</v>
      </c>
      <c r="F14" s="16">
        <f>IFERROR(__xludf.DUMMYFUNCTION("""COMPUTED_VALUE"""),6.0)</f>
        <v>6</v>
      </c>
      <c r="G14" s="16">
        <f>IFERROR(__xludf.DUMMYFUNCTION("""COMPUTED_VALUE"""),5.4)</f>
        <v>5.4</v>
      </c>
      <c r="H14" s="16">
        <f>IFERROR(__xludf.DUMMYFUNCTION("""COMPUTED_VALUE"""),5.2)</f>
        <v>5.2</v>
      </c>
    </row>
    <row r="15">
      <c r="A15" s="14">
        <f>VLOOKUP(B15,map!B:C,2,false)</f>
        <v>13</v>
      </c>
      <c r="B15" s="15" t="str">
        <f>IFERROR(__xludf.DUMMYFUNCTION("""COMPUTED_VALUE"""),"Seattle")</f>
        <v>Seattle</v>
      </c>
      <c r="C15" s="16">
        <f>IFERROR(__xludf.DUMMYFUNCTION("""COMPUTED_VALUE"""),5.6)</f>
        <v>5.6</v>
      </c>
      <c r="D15" s="16">
        <f>IFERROR(__xludf.DUMMYFUNCTION("""COMPUTED_VALUE"""),5.3)</f>
        <v>5.3</v>
      </c>
      <c r="E15" s="16">
        <f>IFERROR(__xludf.DUMMYFUNCTION("""COMPUTED_VALUE"""),5.0)</f>
        <v>5</v>
      </c>
      <c r="F15" s="16">
        <f>IFERROR(__xludf.DUMMYFUNCTION("""COMPUTED_VALUE"""),5.4)</f>
        <v>5.4</v>
      </c>
      <c r="G15" s="16">
        <f>IFERROR(__xludf.DUMMYFUNCTION("""COMPUTED_VALUE"""),6.1)</f>
        <v>6.1</v>
      </c>
      <c r="H15" s="16">
        <f>IFERROR(__xludf.DUMMYFUNCTION("""COMPUTED_VALUE"""),5.5)</f>
        <v>5.5</v>
      </c>
    </row>
    <row r="16">
      <c r="A16" s="14">
        <f>VLOOKUP(B16,map!B:C,2,false)</f>
        <v>20</v>
      </c>
      <c r="B16" s="15" t="str">
        <f>IFERROR(__xludf.DUMMYFUNCTION("""COMPUTED_VALUE"""),"Indianapolis")</f>
        <v>Indianapolis</v>
      </c>
      <c r="C16" s="16">
        <f>IFERROR(__xludf.DUMMYFUNCTION("""COMPUTED_VALUE"""),5.5)</f>
        <v>5.5</v>
      </c>
      <c r="D16" s="16">
        <f>IFERROR(__xludf.DUMMYFUNCTION("""COMPUTED_VALUE"""),4.5)</f>
        <v>4.5</v>
      </c>
      <c r="E16" s="16">
        <f>IFERROR(__xludf.DUMMYFUNCTION("""COMPUTED_VALUE"""),4.8)</f>
        <v>4.8</v>
      </c>
      <c r="F16" s="16">
        <f>IFERROR(__xludf.DUMMYFUNCTION("""COMPUTED_VALUE"""),5.6)</f>
        <v>5.6</v>
      </c>
      <c r="G16" s="16">
        <f>IFERROR(__xludf.DUMMYFUNCTION("""COMPUTED_VALUE"""),5.4)</f>
        <v>5.4</v>
      </c>
      <c r="H16" s="16">
        <f>IFERROR(__xludf.DUMMYFUNCTION("""COMPUTED_VALUE"""),5.2)</f>
        <v>5.2</v>
      </c>
    </row>
    <row r="17">
      <c r="A17" s="14">
        <f>VLOOKUP(B17,map!B:C,2,false)</f>
        <v>17</v>
      </c>
      <c r="B17" s="15" t="str">
        <f>IFERROR(__xludf.DUMMYFUNCTION("""COMPUTED_VALUE"""),"Houston")</f>
        <v>Houston</v>
      </c>
      <c r="C17" s="16">
        <f>IFERROR(__xludf.DUMMYFUNCTION("""COMPUTED_VALUE"""),5.4)</f>
        <v>5.4</v>
      </c>
      <c r="D17" s="16">
        <f>IFERROR(__xludf.DUMMYFUNCTION("""COMPUTED_VALUE"""),4.9)</f>
        <v>4.9</v>
      </c>
      <c r="E17" s="16">
        <f>IFERROR(__xludf.DUMMYFUNCTION("""COMPUTED_VALUE"""),5.3)</f>
        <v>5.3</v>
      </c>
      <c r="F17" s="16">
        <f>IFERROR(__xludf.DUMMYFUNCTION("""COMPUTED_VALUE"""),5.8)</f>
        <v>5.8</v>
      </c>
      <c r="G17" s="16">
        <f>IFERROR(__xludf.DUMMYFUNCTION("""COMPUTED_VALUE"""),4.9)</f>
        <v>4.9</v>
      </c>
      <c r="H17" s="16">
        <f>IFERROR(__xludf.DUMMYFUNCTION("""COMPUTED_VALUE"""),5.4)</f>
        <v>5.4</v>
      </c>
    </row>
    <row r="18">
      <c r="A18" s="14">
        <f>VLOOKUP(B18,map!B:C,2,false)</f>
        <v>2</v>
      </c>
      <c r="B18" s="15" t="str">
        <f>IFERROR(__xludf.DUMMYFUNCTION("""COMPUTED_VALUE"""),"Kansas City")</f>
        <v>Kansas City</v>
      </c>
      <c r="C18" s="16">
        <f>IFERROR(__xludf.DUMMYFUNCTION("""COMPUTED_VALUE"""),5.4)</f>
        <v>5.4</v>
      </c>
      <c r="D18" s="16">
        <f>IFERROR(__xludf.DUMMYFUNCTION("""COMPUTED_VALUE"""),5.2)</f>
        <v>5.2</v>
      </c>
      <c r="E18" s="16">
        <f>IFERROR(__xludf.DUMMYFUNCTION("""COMPUTED_VALUE"""),4.9)</f>
        <v>4.9</v>
      </c>
      <c r="F18" s="16">
        <f>IFERROR(__xludf.DUMMYFUNCTION("""COMPUTED_VALUE"""),5.8)</f>
        <v>5.8</v>
      </c>
      <c r="G18" s="16">
        <f>IFERROR(__xludf.DUMMYFUNCTION("""COMPUTED_VALUE"""),5.0)</f>
        <v>5</v>
      </c>
      <c r="H18" s="16">
        <f>IFERROR(__xludf.DUMMYFUNCTION("""COMPUTED_VALUE"""),5.6)</f>
        <v>5.6</v>
      </c>
    </row>
    <row r="19">
      <c r="A19" s="14">
        <f>VLOOKUP(B19,map!B:C,2,false)</f>
        <v>18</v>
      </c>
      <c r="B19" s="15" t="str">
        <f>IFERROR(__xludf.DUMMYFUNCTION("""COMPUTED_VALUE"""),"LA Rams")</f>
        <v>LA Rams</v>
      </c>
      <c r="C19" s="16">
        <f>IFERROR(__xludf.DUMMYFUNCTION("""COMPUTED_VALUE"""),5.2)</f>
        <v>5.2</v>
      </c>
      <c r="D19" s="16">
        <f>IFERROR(__xludf.DUMMYFUNCTION("""COMPUTED_VALUE"""),5.2)</f>
        <v>5.2</v>
      </c>
      <c r="E19" s="16">
        <f>IFERROR(__xludf.DUMMYFUNCTION("""COMPUTED_VALUE"""),5.8)</f>
        <v>5.8</v>
      </c>
      <c r="F19" s="16">
        <f>IFERROR(__xludf.DUMMYFUNCTION("""COMPUTED_VALUE"""),5.3)</f>
        <v>5.3</v>
      </c>
      <c r="G19" s="16">
        <f>IFERROR(__xludf.DUMMYFUNCTION("""COMPUTED_VALUE"""),5.2)</f>
        <v>5.2</v>
      </c>
      <c r="H19" s="16">
        <f>IFERROR(__xludf.DUMMYFUNCTION("""COMPUTED_VALUE"""),5.7)</f>
        <v>5.7</v>
      </c>
    </row>
    <row r="20">
      <c r="A20" s="14">
        <f>VLOOKUP(B20,map!B:C,2,false)</f>
        <v>7</v>
      </c>
      <c r="B20" s="15" t="str">
        <f>IFERROR(__xludf.DUMMYFUNCTION("""COMPUTED_VALUE"""),"LA Chargers")</f>
        <v>LA Chargers</v>
      </c>
      <c r="C20" s="16">
        <f>IFERROR(__xludf.DUMMYFUNCTION("""COMPUTED_VALUE"""),5.2)</f>
        <v>5.2</v>
      </c>
      <c r="D20" s="16">
        <f>IFERROR(__xludf.DUMMYFUNCTION("""COMPUTED_VALUE"""),5.5)</f>
        <v>5.5</v>
      </c>
      <c r="E20" s="16">
        <f>IFERROR(__xludf.DUMMYFUNCTION("""COMPUTED_VALUE"""),5.9)</f>
        <v>5.9</v>
      </c>
      <c r="F20" s="16">
        <f>IFERROR(__xludf.DUMMYFUNCTION("""COMPUTED_VALUE"""),5.4)</f>
        <v>5.4</v>
      </c>
      <c r="G20" s="16">
        <f>IFERROR(__xludf.DUMMYFUNCTION("""COMPUTED_VALUE"""),5.1)</f>
        <v>5.1</v>
      </c>
      <c r="H20" s="16">
        <f>IFERROR(__xludf.DUMMYFUNCTION("""COMPUTED_VALUE"""),5.1)</f>
        <v>5.1</v>
      </c>
    </row>
    <row r="21">
      <c r="A21" s="14">
        <f>VLOOKUP(B21,map!B:C,2,false)</f>
        <v>1</v>
      </c>
      <c r="B21" s="15" t="str">
        <f>IFERROR(__xludf.DUMMYFUNCTION("""COMPUTED_VALUE"""),"Dallas")</f>
        <v>Dallas</v>
      </c>
      <c r="C21" s="16">
        <f>IFERROR(__xludf.DUMMYFUNCTION("""COMPUTED_VALUE"""),5.2)</f>
        <v>5.2</v>
      </c>
      <c r="D21" s="16">
        <f>IFERROR(__xludf.DUMMYFUNCTION("""COMPUTED_VALUE"""),5.0)</f>
        <v>5</v>
      </c>
      <c r="E21" s="16">
        <f>IFERROR(__xludf.DUMMYFUNCTION("""COMPUTED_VALUE"""),4.9)</f>
        <v>4.9</v>
      </c>
      <c r="F21" s="16">
        <f>IFERROR(__xludf.DUMMYFUNCTION("""COMPUTED_VALUE"""),5.1)</f>
        <v>5.1</v>
      </c>
      <c r="G21" s="16">
        <f>IFERROR(__xludf.DUMMYFUNCTION("""COMPUTED_VALUE"""),5.3)</f>
        <v>5.3</v>
      </c>
      <c r="H21" s="16">
        <f>IFERROR(__xludf.DUMMYFUNCTION("""COMPUTED_VALUE"""),5.6)</f>
        <v>5.6</v>
      </c>
    </row>
    <row r="22">
      <c r="A22" s="14">
        <f>VLOOKUP(B22,map!B:C,2,false)</f>
        <v>9</v>
      </c>
      <c r="B22" s="15" t="str">
        <f>IFERROR(__xludf.DUMMYFUNCTION("""COMPUTED_VALUE"""),"New Orleans")</f>
        <v>New Orleans</v>
      </c>
      <c r="C22" s="16">
        <f>IFERROR(__xludf.DUMMYFUNCTION("""COMPUTED_VALUE"""),5.2)</f>
        <v>5.2</v>
      </c>
      <c r="D22" s="16">
        <f>IFERROR(__xludf.DUMMYFUNCTION("""COMPUTED_VALUE"""),4.7)</f>
        <v>4.7</v>
      </c>
      <c r="E22" s="16">
        <f>IFERROR(__xludf.DUMMYFUNCTION("""COMPUTED_VALUE"""),5.4)</f>
        <v>5.4</v>
      </c>
      <c r="F22" s="16">
        <f>IFERROR(__xludf.DUMMYFUNCTION("""COMPUTED_VALUE"""),4.7)</f>
        <v>4.7</v>
      </c>
      <c r="G22" s="16">
        <f>IFERROR(__xludf.DUMMYFUNCTION("""COMPUTED_VALUE"""),5.6)</f>
        <v>5.6</v>
      </c>
      <c r="H22" s="16">
        <f>IFERROR(__xludf.DUMMYFUNCTION("""COMPUTED_VALUE"""),5.1)</f>
        <v>5.1</v>
      </c>
    </row>
    <row r="23">
      <c r="A23" s="14">
        <f>VLOOKUP(B23,map!B:C,2,false)</f>
        <v>19</v>
      </c>
      <c r="B23" s="15" t="str">
        <f>IFERROR(__xludf.DUMMYFUNCTION("""COMPUTED_VALUE"""),"NY Jets")</f>
        <v>NY Jets</v>
      </c>
      <c r="C23" s="16">
        <f>IFERROR(__xludf.DUMMYFUNCTION("""COMPUTED_VALUE"""),5.1)</f>
        <v>5.1</v>
      </c>
      <c r="D23" s="16">
        <f>IFERROR(__xludf.DUMMYFUNCTION("""COMPUTED_VALUE"""),6.2)</f>
        <v>6.2</v>
      </c>
      <c r="E23" s="16">
        <f>IFERROR(__xludf.DUMMYFUNCTION("""COMPUTED_VALUE"""),5.9)</f>
        <v>5.9</v>
      </c>
      <c r="F23" s="16">
        <f>IFERROR(__xludf.DUMMYFUNCTION("""COMPUTED_VALUE"""),5.2)</f>
        <v>5.2</v>
      </c>
      <c r="G23" s="16">
        <f>IFERROR(__xludf.DUMMYFUNCTION("""COMPUTED_VALUE"""),5.0)</f>
        <v>5</v>
      </c>
      <c r="H23" s="16">
        <f>IFERROR(__xludf.DUMMYFUNCTION("""COMPUTED_VALUE"""),4.3)</f>
        <v>4.3</v>
      </c>
    </row>
    <row r="24">
      <c r="A24" s="14">
        <f>VLOOKUP(B24,map!B:C,2,false)</f>
        <v>27</v>
      </c>
      <c r="B24" s="15" t="str">
        <f>IFERROR(__xludf.DUMMYFUNCTION("""COMPUTED_VALUE"""),"Denver")</f>
        <v>Denver</v>
      </c>
      <c r="C24" s="16">
        <f>IFERROR(__xludf.DUMMYFUNCTION("""COMPUTED_VALUE"""),5.0)</f>
        <v>5</v>
      </c>
      <c r="D24" s="16">
        <f>IFERROR(__xludf.DUMMYFUNCTION("""COMPUTED_VALUE"""),5.9)</f>
        <v>5.9</v>
      </c>
      <c r="E24" s="16">
        <f>IFERROR(__xludf.DUMMYFUNCTION("""COMPUTED_VALUE"""),5.5)</f>
        <v>5.5</v>
      </c>
      <c r="F24" s="16">
        <f>IFERROR(__xludf.DUMMYFUNCTION("""COMPUTED_VALUE"""),5.4)</f>
        <v>5.4</v>
      </c>
      <c r="G24" s="16">
        <f>IFERROR(__xludf.DUMMYFUNCTION("""COMPUTED_VALUE"""),4.6)</f>
        <v>4.6</v>
      </c>
      <c r="H24" s="16">
        <f>IFERROR(__xludf.DUMMYFUNCTION("""COMPUTED_VALUE"""),5.0)</f>
        <v>5</v>
      </c>
    </row>
    <row r="25">
      <c r="A25" s="14">
        <f>VLOOKUP(B25,map!B:C,2,false)</f>
        <v>29</v>
      </c>
      <c r="B25" s="15" t="str">
        <f>IFERROR(__xludf.DUMMYFUNCTION("""COMPUTED_VALUE"""),"Pittsburgh")</f>
        <v>Pittsburgh</v>
      </c>
      <c r="C25" s="16">
        <f>IFERROR(__xludf.DUMMYFUNCTION("""COMPUTED_VALUE"""),5.0)</f>
        <v>5</v>
      </c>
      <c r="D25" s="16">
        <f>IFERROR(__xludf.DUMMYFUNCTION("""COMPUTED_VALUE"""),5.0)</f>
        <v>5</v>
      </c>
      <c r="E25" s="16">
        <f>IFERROR(__xludf.DUMMYFUNCTION("""COMPUTED_VALUE"""),6.2)</f>
        <v>6.2</v>
      </c>
      <c r="F25" s="16">
        <f>IFERROR(__xludf.DUMMYFUNCTION("""COMPUTED_VALUE"""),5.2)</f>
        <v>5.2</v>
      </c>
      <c r="G25" s="16">
        <f>IFERROR(__xludf.DUMMYFUNCTION("""COMPUTED_VALUE"""),4.8)</f>
        <v>4.8</v>
      </c>
      <c r="H25" s="16">
        <f>IFERROR(__xludf.DUMMYFUNCTION("""COMPUTED_VALUE"""),5.0)</f>
        <v>5</v>
      </c>
    </row>
    <row r="26">
      <c r="A26" s="14">
        <f>VLOOKUP(B26,map!B:C,2,false)</f>
        <v>10</v>
      </c>
      <c r="B26" s="15" t="str">
        <f>IFERROR(__xludf.DUMMYFUNCTION("""COMPUTED_VALUE"""),"Miami")</f>
        <v>Miami</v>
      </c>
      <c r="C26" s="16">
        <f>IFERROR(__xludf.DUMMYFUNCTION("""COMPUTED_VALUE"""),4.9)</f>
        <v>4.9</v>
      </c>
      <c r="D26" s="16">
        <f>IFERROR(__xludf.DUMMYFUNCTION("""COMPUTED_VALUE"""),5.2)</f>
        <v>5.2</v>
      </c>
      <c r="E26" s="16">
        <f>IFERROR(__xludf.DUMMYFUNCTION("""COMPUTED_VALUE"""),5.9)</f>
        <v>5.9</v>
      </c>
      <c r="F26" s="16">
        <f>IFERROR(__xludf.DUMMYFUNCTION("""COMPUTED_VALUE"""),5.1)</f>
        <v>5.1</v>
      </c>
      <c r="G26" s="16">
        <f>IFERROR(__xludf.DUMMYFUNCTION("""COMPUTED_VALUE"""),4.6)</f>
        <v>4.6</v>
      </c>
      <c r="H26" s="16">
        <f>IFERROR(__xludf.DUMMYFUNCTION("""COMPUTED_VALUE"""),6.4)</f>
        <v>6.4</v>
      </c>
    </row>
    <row r="27">
      <c r="A27" s="14">
        <f>VLOOKUP(B27,map!B:C,2,false)</f>
        <v>23</v>
      </c>
      <c r="B27" s="15" t="str">
        <f>IFERROR(__xludf.DUMMYFUNCTION("""COMPUTED_VALUE"""),"Carolina")</f>
        <v>Carolina</v>
      </c>
      <c r="C27" s="16">
        <f>IFERROR(__xludf.DUMMYFUNCTION("""COMPUTED_VALUE"""),4.9)</f>
        <v>4.9</v>
      </c>
      <c r="D27" s="16">
        <f>IFERROR(__xludf.DUMMYFUNCTION("""COMPUTED_VALUE"""),4.8)</f>
        <v>4.8</v>
      </c>
      <c r="E27" s="16">
        <f>IFERROR(__xludf.DUMMYFUNCTION("""COMPUTED_VALUE"""),4.7)</f>
        <v>4.7</v>
      </c>
      <c r="F27" s="16">
        <f>IFERROR(__xludf.DUMMYFUNCTION("""COMPUTED_VALUE"""),4.9)</f>
        <v>4.9</v>
      </c>
      <c r="G27" s="16">
        <f>IFERROR(__xludf.DUMMYFUNCTION("""COMPUTED_VALUE"""),4.8)</f>
        <v>4.8</v>
      </c>
      <c r="H27" s="16">
        <f>IFERROR(__xludf.DUMMYFUNCTION("""COMPUTED_VALUE"""),4.1)</f>
        <v>4.1</v>
      </c>
    </row>
    <row r="28">
      <c r="A28" s="14">
        <f>VLOOKUP(B28,map!B:C,2,false)</f>
        <v>31</v>
      </c>
      <c r="B28" s="15" t="str">
        <f>IFERROR(__xludf.DUMMYFUNCTION("""COMPUTED_VALUE"""),"Chicago")</f>
        <v>Chicago</v>
      </c>
      <c r="C28" s="16">
        <f>IFERROR(__xludf.DUMMYFUNCTION("""COMPUTED_VALUE"""),4.7)</f>
        <v>4.7</v>
      </c>
      <c r="D28" s="16">
        <f>IFERROR(__xludf.DUMMYFUNCTION("""COMPUTED_VALUE"""),5.8)</f>
        <v>5.8</v>
      </c>
      <c r="E28" s="16">
        <f>IFERROR(__xludf.DUMMYFUNCTION("""COMPUTED_VALUE"""),5.1)</f>
        <v>5.1</v>
      </c>
      <c r="F28" s="16">
        <f>IFERROR(__xludf.DUMMYFUNCTION("""COMPUTED_VALUE"""),4.8)</f>
        <v>4.8</v>
      </c>
      <c r="G28" s="16">
        <f>IFERROR(__xludf.DUMMYFUNCTION("""COMPUTED_VALUE"""),4.7)</f>
        <v>4.7</v>
      </c>
      <c r="H28" s="16">
        <f>IFERROR(__xludf.DUMMYFUNCTION("""COMPUTED_VALUE"""),5.0)</f>
        <v>5</v>
      </c>
    </row>
    <row r="29">
      <c r="A29" s="14">
        <f>VLOOKUP(B29,map!B:C,2,false)</f>
        <v>24</v>
      </c>
      <c r="B29" s="15" t="str">
        <f>IFERROR(__xludf.DUMMYFUNCTION("""COMPUTED_VALUE"""),"Las Vegas")</f>
        <v>Las Vegas</v>
      </c>
      <c r="C29" s="16">
        <f>IFERROR(__xludf.DUMMYFUNCTION("""COMPUTED_VALUE"""),4.7)</f>
        <v>4.7</v>
      </c>
      <c r="D29" s="16">
        <f>IFERROR(__xludf.DUMMYFUNCTION("""COMPUTED_VALUE"""),4.3)</f>
        <v>4.3</v>
      </c>
      <c r="E29" s="16">
        <f>IFERROR(__xludf.DUMMYFUNCTION("""COMPUTED_VALUE"""),4.1)</f>
        <v>4.1</v>
      </c>
      <c r="F29" s="16">
        <f>IFERROR(__xludf.DUMMYFUNCTION("""COMPUTED_VALUE"""),4.8)</f>
        <v>4.8</v>
      </c>
      <c r="G29" s="16">
        <f>IFERROR(__xludf.DUMMYFUNCTION("""COMPUTED_VALUE"""),4.6)</f>
        <v>4.6</v>
      </c>
      <c r="H29" s="16">
        <f>IFERROR(__xludf.DUMMYFUNCTION("""COMPUTED_VALUE"""),4.9)</f>
        <v>4.9</v>
      </c>
    </row>
    <row r="30">
      <c r="A30" s="14">
        <f>VLOOKUP(B30,map!B:C,2,false)</f>
        <v>32</v>
      </c>
      <c r="B30" s="15" t="str">
        <f>IFERROR(__xludf.DUMMYFUNCTION("""COMPUTED_VALUE"""),"Tennessee")</f>
        <v>Tennessee</v>
      </c>
      <c r="C30" s="16">
        <f>IFERROR(__xludf.DUMMYFUNCTION("""COMPUTED_VALUE"""),4.6)</f>
        <v>4.6</v>
      </c>
      <c r="D30" s="16">
        <f>IFERROR(__xludf.DUMMYFUNCTION("""COMPUTED_VALUE"""),4.9)</f>
        <v>4.9</v>
      </c>
      <c r="E30" s="16">
        <f>IFERROR(__xludf.DUMMYFUNCTION("""COMPUTED_VALUE"""),5.9)</f>
        <v>5.9</v>
      </c>
      <c r="F30" s="16">
        <f>IFERROR(__xludf.DUMMYFUNCTION("""COMPUTED_VALUE"""),4.6)</f>
        <v>4.6</v>
      </c>
      <c r="G30" s="16">
        <f>IFERROR(__xludf.DUMMYFUNCTION("""COMPUTED_VALUE"""),4.6)</f>
        <v>4.6</v>
      </c>
      <c r="H30" s="16">
        <f>IFERROR(__xludf.DUMMYFUNCTION("""COMPUTED_VALUE"""),4.9)</f>
        <v>4.9</v>
      </c>
    </row>
    <row r="31">
      <c r="A31" s="14">
        <f>VLOOKUP(B31,map!B:C,2,false)</f>
        <v>26</v>
      </c>
      <c r="B31" s="15" t="str">
        <f>IFERROR(__xludf.DUMMYFUNCTION("""COMPUTED_VALUE"""),"NY Giants")</f>
        <v>NY Giants</v>
      </c>
      <c r="C31" s="16">
        <f>IFERROR(__xludf.DUMMYFUNCTION("""COMPUTED_VALUE"""),4.5)</f>
        <v>4.5</v>
      </c>
      <c r="D31" s="16">
        <f>IFERROR(__xludf.DUMMYFUNCTION("""COMPUTED_VALUE"""),4.2)</f>
        <v>4.2</v>
      </c>
      <c r="E31" s="16">
        <f>IFERROR(__xludf.DUMMYFUNCTION("""COMPUTED_VALUE"""),2.2)</f>
        <v>2.2</v>
      </c>
      <c r="F31" s="16">
        <f>IFERROR(__xludf.DUMMYFUNCTION("""COMPUTED_VALUE"""),3.7)</f>
        <v>3.7</v>
      </c>
      <c r="G31" s="16">
        <f>IFERROR(__xludf.DUMMYFUNCTION("""COMPUTED_VALUE"""),5.6)</f>
        <v>5.6</v>
      </c>
      <c r="H31" s="16">
        <f>IFERROR(__xludf.DUMMYFUNCTION("""COMPUTED_VALUE"""),4.5)</f>
        <v>4.5</v>
      </c>
    </row>
    <row r="32">
      <c r="A32" s="14">
        <f>VLOOKUP(B32,map!B:C,2,false)</f>
        <v>22</v>
      </c>
      <c r="B32" s="15" t="str">
        <f>IFERROR(__xludf.DUMMYFUNCTION("""COMPUTED_VALUE"""),"New England")</f>
        <v>New England</v>
      </c>
      <c r="C32" s="16">
        <f>IFERROR(__xludf.DUMMYFUNCTION("""COMPUTED_VALUE"""),4.4)</f>
        <v>4.4</v>
      </c>
      <c r="D32" s="16">
        <f>IFERROR(__xludf.DUMMYFUNCTION("""COMPUTED_VALUE"""),4.6)</f>
        <v>4.6</v>
      </c>
      <c r="E32" s="16">
        <f>IFERROR(__xludf.DUMMYFUNCTION("""COMPUTED_VALUE"""),3.9)</f>
        <v>3.9</v>
      </c>
      <c r="F32" s="16">
        <f>IFERROR(__xludf.DUMMYFUNCTION("""COMPUTED_VALUE"""),4.6)</f>
        <v>4.6</v>
      </c>
      <c r="G32" s="16">
        <f>IFERROR(__xludf.DUMMYFUNCTION("""COMPUTED_VALUE"""),4.1)</f>
        <v>4.1</v>
      </c>
      <c r="H32" s="16">
        <f>IFERROR(__xludf.DUMMYFUNCTION("""COMPUTED_VALUE"""),4.6)</f>
        <v>4.6</v>
      </c>
    </row>
    <row r="33">
      <c r="A33" s="14">
        <f>VLOOKUP(B33,map!B:C,2,false)</f>
        <v>16</v>
      </c>
      <c r="B33" s="15" t="str">
        <f>IFERROR(__xludf.DUMMYFUNCTION("""COMPUTED_VALUE"""),"Cleveland")</f>
        <v>Cleveland</v>
      </c>
      <c r="C33" s="16">
        <f>IFERROR(__xludf.DUMMYFUNCTION("""COMPUTED_VALUE"""),4.3)</f>
        <v>4.3</v>
      </c>
      <c r="D33" s="16">
        <f>IFERROR(__xludf.DUMMYFUNCTION("""COMPUTED_VALUE"""),5.0)</f>
        <v>5</v>
      </c>
      <c r="E33" s="16">
        <f>IFERROR(__xludf.DUMMYFUNCTION("""COMPUTED_VALUE"""),6.1)</f>
        <v>6.1</v>
      </c>
      <c r="F33" s="16">
        <f>IFERROR(__xludf.DUMMYFUNCTION("""COMPUTED_VALUE"""),4.3)</f>
        <v>4.3</v>
      </c>
      <c r="G33" s="16">
        <f>IFERROR(__xludf.DUMMYFUNCTION("""COMPUTED_VALUE"""),4.2)</f>
        <v>4.2</v>
      </c>
      <c r="H33" s="16">
        <f>IFERROR(__xludf.DUMMYFUNCTION("""COMPUTED_VALUE"""),4.8)</f>
        <v>4.8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28</v>
      </c>
      <c r="B1" s="11" t="str">
        <f>IFERROR(__xludf.DUMMYFUNCTION("QUERY(IMPORTHTML(""https://www.teamrankings.com/nfl/stat/third-down-conversion-pct?date="" &amp; TEXT(TODAY(),""yyyy-mm-dd""), ""table"", 1, ""en_US""), ""SELECT Col2, Col3, Col4, Col5, Col6, Col7, Col8"")
"),"Team")</f>
        <v>Team</v>
      </c>
      <c r="C1" s="12" t="str">
        <f>IFERROR(__xludf.DUMMYFUNCTION("""COMPUTED_VALUE"""),"2024")</f>
        <v>2024</v>
      </c>
      <c r="D1" s="13" t="str">
        <f>IFERROR(__xludf.DUMMYFUNCTION("""COMPUTED_VALUE"""),"Last 3")</f>
        <v>Last 3</v>
      </c>
      <c r="E1" s="13" t="str">
        <f>IFERROR(__xludf.DUMMYFUNCTION("""COMPUTED_VALUE"""),"Last 1")</f>
        <v>Last 1</v>
      </c>
      <c r="F1" s="12" t="str">
        <f>IFERROR(__xludf.DUMMYFUNCTION("""COMPUTED_VALUE"""),"Home")</f>
        <v>Home</v>
      </c>
      <c r="G1" s="12" t="str">
        <f>IFERROR(__xludf.DUMMYFUNCTION("""COMPUTED_VALUE"""),"Away")</f>
        <v>Away</v>
      </c>
      <c r="H1" s="12" t="str">
        <f>IFERROR(__xludf.DUMMYFUNCTION("""COMPUTED_VALUE"""),"2023")</f>
        <v>2023</v>
      </c>
    </row>
    <row r="2">
      <c r="A2" s="14">
        <f>VLOOKUP(B2,map!B:C,2,false)</f>
        <v>14</v>
      </c>
      <c r="B2" s="15" t="str">
        <f>IFERROR(__xludf.DUMMYFUNCTION("""COMPUTED_VALUE"""),"Tampa Bay")</f>
        <v>Tampa Bay</v>
      </c>
      <c r="C2" s="17">
        <f>IFERROR(__xludf.DUMMYFUNCTION("""COMPUTED_VALUE"""),0.5253)</f>
        <v>0.5253</v>
      </c>
      <c r="D2" s="17">
        <f>IFERROR(__xludf.DUMMYFUNCTION("""COMPUTED_VALUE"""),0.6341)</f>
        <v>0.6341</v>
      </c>
      <c r="E2" s="17">
        <f>IFERROR(__xludf.DUMMYFUNCTION("""COMPUTED_VALUE"""),0.6429)</f>
        <v>0.6429</v>
      </c>
      <c r="F2" s="17">
        <f>IFERROR(__xludf.DUMMYFUNCTION("""COMPUTED_VALUE"""),0.5588)</f>
        <v>0.5588</v>
      </c>
      <c r="G2" s="17">
        <f>IFERROR(__xludf.DUMMYFUNCTION("""COMPUTED_VALUE"""),0.4516)</f>
        <v>0.4516</v>
      </c>
      <c r="H2" s="17">
        <f>IFERROR(__xludf.DUMMYFUNCTION("""COMPUTED_VALUE"""),0.4122)</f>
        <v>0.4122</v>
      </c>
    </row>
    <row r="3">
      <c r="A3" s="14">
        <f>VLOOKUP(B3,map!B:C,2,false)</f>
        <v>2</v>
      </c>
      <c r="B3" s="15" t="str">
        <f>IFERROR(__xludf.DUMMYFUNCTION("""COMPUTED_VALUE"""),"Kansas City")</f>
        <v>Kansas City</v>
      </c>
      <c r="C3" s="17">
        <f>IFERROR(__xludf.DUMMYFUNCTION("""COMPUTED_VALUE"""),0.5055)</f>
        <v>0.5055</v>
      </c>
      <c r="D3" s="17">
        <f>IFERROR(__xludf.DUMMYFUNCTION("""COMPUTED_VALUE"""),0.5909)</f>
        <v>0.5909</v>
      </c>
      <c r="E3" s="17">
        <f>IFERROR(__xludf.DUMMYFUNCTION("""COMPUTED_VALUE"""),0.75)</f>
        <v>0.75</v>
      </c>
      <c r="F3" s="17">
        <f>IFERROR(__xludf.DUMMYFUNCTION("""COMPUTED_VALUE"""),0.3548)</f>
        <v>0.3548</v>
      </c>
      <c r="G3" s="17">
        <f>IFERROR(__xludf.DUMMYFUNCTION("""COMPUTED_VALUE"""),0.5833)</f>
        <v>0.5833</v>
      </c>
      <c r="H3" s="17">
        <f>IFERROR(__xludf.DUMMYFUNCTION("""COMPUTED_VALUE"""),0.4332)</f>
        <v>0.4332</v>
      </c>
    </row>
    <row r="4">
      <c r="A4" s="14">
        <f>VLOOKUP(B4,map!B:C,2,false)</f>
        <v>30</v>
      </c>
      <c r="B4" s="15" t="str">
        <f>IFERROR(__xludf.DUMMYFUNCTION("""COMPUTED_VALUE"""),"Baltimore")</f>
        <v>Baltimore</v>
      </c>
      <c r="C4" s="17">
        <f>IFERROR(__xludf.DUMMYFUNCTION("""COMPUTED_VALUE"""),0.4651)</f>
        <v>0.4651</v>
      </c>
      <c r="D4" s="17">
        <f>IFERROR(__xludf.DUMMYFUNCTION("""COMPUTED_VALUE"""),0.3929)</f>
        <v>0.3929</v>
      </c>
      <c r="E4" s="17">
        <f>IFERROR(__xludf.DUMMYFUNCTION("""COMPUTED_VALUE"""),0.2)</f>
        <v>0.2</v>
      </c>
      <c r="F4" s="17">
        <f>IFERROR(__xludf.DUMMYFUNCTION("""COMPUTED_VALUE"""),0.4667)</f>
        <v>0.4667</v>
      </c>
      <c r="G4" s="17">
        <f>IFERROR(__xludf.DUMMYFUNCTION("""COMPUTED_VALUE"""),0.4643)</f>
        <v>0.4643</v>
      </c>
      <c r="H4" s="17">
        <f>IFERROR(__xludf.DUMMYFUNCTION("""COMPUTED_VALUE"""),0.4087)</f>
        <v>0.4087</v>
      </c>
    </row>
    <row r="5">
      <c r="A5" s="14">
        <f>VLOOKUP(B5,map!B:C,2,false)</f>
        <v>8</v>
      </c>
      <c r="B5" s="15" t="str">
        <f>IFERROR(__xludf.DUMMYFUNCTION("""COMPUTED_VALUE"""),"Washington")</f>
        <v>Washington</v>
      </c>
      <c r="C5" s="17">
        <f>IFERROR(__xludf.DUMMYFUNCTION("""COMPUTED_VALUE"""),0.4639)</f>
        <v>0.4639</v>
      </c>
      <c r="D5" s="17">
        <f>IFERROR(__xludf.DUMMYFUNCTION("""COMPUTED_VALUE"""),0.3784)</f>
        <v>0.3784</v>
      </c>
      <c r="E5" s="17">
        <f>IFERROR(__xludf.DUMMYFUNCTION("""COMPUTED_VALUE"""),0.3333)</f>
        <v>0.3333</v>
      </c>
      <c r="F5" s="17">
        <f>IFERROR(__xludf.DUMMYFUNCTION("""COMPUTED_VALUE"""),0.4464)</f>
        <v>0.4464</v>
      </c>
      <c r="G5" s="17">
        <f>IFERROR(__xludf.DUMMYFUNCTION("""COMPUTED_VALUE"""),0.4878)</f>
        <v>0.4878</v>
      </c>
      <c r="H5" s="17">
        <f>IFERROR(__xludf.DUMMYFUNCTION("""COMPUTED_VALUE"""),0.3565)</f>
        <v>0.3565</v>
      </c>
    </row>
    <row r="6">
      <c r="A6" s="14">
        <f>VLOOKUP(B6,map!B:C,2,false)</f>
        <v>4</v>
      </c>
      <c r="B6" s="15" t="str">
        <f>IFERROR(__xludf.DUMMYFUNCTION("""COMPUTED_VALUE"""),"Cincinnati")</f>
        <v>Cincinnati</v>
      </c>
      <c r="C6" s="17">
        <f>IFERROR(__xludf.DUMMYFUNCTION("""COMPUTED_VALUE"""),0.4592)</f>
        <v>0.4592</v>
      </c>
      <c r="D6" s="17">
        <f>IFERROR(__xludf.DUMMYFUNCTION("""COMPUTED_VALUE"""),0.4324)</f>
        <v>0.4324</v>
      </c>
      <c r="E6" s="17">
        <f>IFERROR(__xludf.DUMMYFUNCTION("""COMPUTED_VALUE"""),0.7692)</f>
        <v>0.7692</v>
      </c>
      <c r="F6" s="17">
        <f>IFERROR(__xludf.DUMMYFUNCTION("""COMPUTED_VALUE"""),0.5833)</f>
        <v>0.5833</v>
      </c>
      <c r="G6" s="17">
        <f>IFERROR(__xludf.DUMMYFUNCTION("""COMPUTED_VALUE"""),0.34)</f>
        <v>0.34</v>
      </c>
      <c r="H6" s="17">
        <f>IFERROR(__xludf.DUMMYFUNCTION("""COMPUTED_VALUE"""),0.3761)</f>
        <v>0.3761</v>
      </c>
    </row>
    <row r="7">
      <c r="A7" s="14">
        <f>VLOOKUP(B7,map!B:C,2,false)</f>
        <v>25</v>
      </c>
      <c r="B7" s="15" t="str">
        <f>IFERROR(__xludf.DUMMYFUNCTION("""COMPUTED_VALUE"""),"San Francisco")</f>
        <v>San Francisco</v>
      </c>
      <c r="C7" s="17">
        <f>IFERROR(__xludf.DUMMYFUNCTION("""COMPUTED_VALUE"""),0.433)</f>
        <v>0.433</v>
      </c>
      <c r="D7" s="17">
        <f>IFERROR(__xludf.DUMMYFUNCTION("""COMPUTED_VALUE"""),0.3846)</f>
        <v>0.3846</v>
      </c>
      <c r="E7" s="17">
        <f>IFERROR(__xludf.DUMMYFUNCTION("""COMPUTED_VALUE"""),0.5)</f>
        <v>0.5</v>
      </c>
      <c r="F7" s="17">
        <f>IFERROR(__xludf.DUMMYFUNCTION("""COMPUTED_VALUE"""),0.4531)</f>
        <v>0.4531</v>
      </c>
      <c r="G7" s="17">
        <f>IFERROR(__xludf.DUMMYFUNCTION("""COMPUTED_VALUE"""),0.3939)</f>
        <v>0.3939</v>
      </c>
      <c r="H7" s="17">
        <f>IFERROR(__xludf.DUMMYFUNCTION("""COMPUTED_VALUE"""),0.4749)</f>
        <v>0.4749</v>
      </c>
    </row>
    <row r="8">
      <c r="A8" s="14">
        <f>VLOOKUP(B8,map!B:C,2,false)</f>
        <v>5</v>
      </c>
      <c r="B8" s="15" t="str">
        <f>IFERROR(__xludf.DUMMYFUNCTION("""COMPUTED_VALUE"""),"Detroit")</f>
        <v>Detroit</v>
      </c>
      <c r="C8" s="17">
        <f>IFERROR(__xludf.DUMMYFUNCTION("""COMPUTED_VALUE"""),0.4286)</f>
        <v>0.4286</v>
      </c>
      <c r="D8" s="17">
        <f>IFERROR(__xludf.DUMMYFUNCTION("""COMPUTED_VALUE"""),0.3793)</f>
        <v>0.3793</v>
      </c>
      <c r="E8" s="17">
        <f>IFERROR(__xludf.DUMMYFUNCTION("""COMPUTED_VALUE"""),0.3333)</f>
        <v>0.3333</v>
      </c>
      <c r="F8" s="17">
        <f>IFERROR(__xludf.DUMMYFUNCTION("""COMPUTED_VALUE"""),0.4222)</f>
        <v>0.4222</v>
      </c>
      <c r="G8" s="17">
        <f>IFERROR(__xludf.DUMMYFUNCTION("""COMPUTED_VALUE"""),0.4375)</f>
        <v>0.4375</v>
      </c>
      <c r="H8" s="17">
        <f>IFERROR(__xludf.DUMMYFUNCTION("""COMPUTED_VALUE"""),0.417)</f>
        <v>0.417</v>
      </c>
    </row>
    <row r="9">
      <c r="A9" s="14">
        <f>VLOOKUP(B9,map!B:C,2,false)</f>
        <v>21</v>
      </c>
      <c r="B9" s="15" t="str">
        <f>IFERROR(__xludf.DUMMYFUNCTION("""COMPUTED_VALUE"""),"Arizona")</f>
        <v>Arizona</v>
      </c>
      <c r="C9" s="17">
        <f>IFERROR(__xludf.DUMMYFUNCTION("""COMPUTED_VALUE"""),0.4167)</f>
        <v>0.4167</v>
      </c>
      <c r="D9" s="17">
        <f>IFERROR(__xludf.DUMMYFUNCTION("""COMPUTED_VALUE"""),0.4333)</f>
        <v>0.4333</v>
      </c>
      <c r="E9" s="17">
        <f>IFERROR(__xludf.DUMMYFUNCTION("""COMPUTED_VALUE"""),0.5385)</f>
        <v>0.5385</v>
      </c>
      <c r="F9" s="17">
        <f>IFERROR(__xludf.DUMMYFUNCTION("""COMPUTED_VALUE"""),0.3684)</f>
        <v>0.3684</v>
      </c>
      <c r="G9" s="17">
        <f>IFERROR(__xludf.DUMMYFUNCTION("""COMPUTED_VALUE"""),0.4565)</f>
        <v>0.4565</v>
      </c>
      <c r="H9" s="17">
        <f>IFERROR(__xludf.DUMMYFUNCTION("""COMPUTED_VALUE"""),0.3911)</f>
        <v>0.3911</v>
      </c>
    </row>
    <row r="10">
      <c r="A10" s="14">
        <f>VLOOKUP(B10,map!B:C,2,false)</f>
        <v>7</v>
      </c>
      <c r="B10" s="15" t="str">
        <f>IFERROR(__xludf.DUMMYFUNCTION("""COMPUTED_VALUE"""),"LA Chargers")</f>
        <v>LA Chargers</v>
      </c>
      <c r="C10" s="17">
        <f>IFERROR(__xludf.DUMMYFUNCTION("""COMPUTED_VALUE"""),0.404)</f>
        <v>0.404</v>
      </c>
      <c r="D10" s="17">
        <f>IFERROR(__xludf.DUMMYFUNCTION("""COMPUTED_VALUE"""),0.4545)</f>
        <v>0.4545</v>
      </c>
      <c r="E10" s="17">
        <f>IFERROR(__xludf.DUMMYFUNCTION("""COMPUTED_VALUE"""),0.25)</f>
        <v>0.25</v>
      </c>
      <c r="F10" s="17">
        <f>IFERROR(__xludf.DUMMYFUNCTION("""COMPUTED_VALUE"""),0.275)</f>
        <v>0.275</v>
      </c>
      <c r="G10" s="17">
        <f>IFERROR(__xludf.DUMMYFUNCTION("""COMPUTED_VALUE"""),0.4915)</f>
        <v>0.4915</v>
      </c>
      <c r="H10" s="17">
        <f>IFERROR(__xludf.DUMMYFUNCTION("""COMPUTED_VALUE"""),0.384)</f>
        <v>0.384</v>
      </c>
    </row>
    <row r="11">
      <c r="A11" s="14">
        <f>VLOOKUP(B11,map!B:C,2,false)</f>
        <v>1</v>
      </c>
      <c r="B11" s="15" t="str">
        <f>IFERROR(__xludf.DUMMYFUNCTION("""COMPUTED_VALUE"""),"Dallas")</f>
        <v>Dallas</v>
      </c>
      <c r="C11" s="17">
        <f>IFERROR(__xludf.DUMMYFUNCTION("""COMPUTED_VALUE"""),0.4)</f>
        <v>0.4</v>
      </c>
      <c r="D11" s="17">
        <f>IFERROR(__xludf.DUMMYFUNCTION("""COMPUTED_VALUE"""),0.4)</f>
        <v>0.4</v>
      </c>
      <c r="E11" s="17">
        <f>IFERROR(__xludf.DUMMYFUNCTION("""COMPUTED_VALUE"""),0.3333)</f>
        <v>0.3333</v>
      </c>
      <c r="F11" s="17">
        <f>IFERROR(__xludf.DUMMYFUNCTION("""COMPUTED_VALUE"""),0.4103)</f>
        <v>0.4103</v>
      </c>
      <c r="G11" s="17">
        <f>IFERROR(__xludf.DUMMYFUNCTION("""COMPUTED_VALUE"""),0.3922)</f>
        <v>0.3922</v>
      </c>
      <c r="H11" s="17">
        <f>IFERROR(__xludf.DUMMYFUNCTION("""COMPUTED_VALUE"""),0.4919)</f>
        <v>0.4919</v>
      </c>
    </row>
    <row r="12">
      <c r="A12" s="14">
        <f>VLOOKUP(B12,map!B:C,2,false)</f>
        <v>19</v>
      </c>
      <c r="B12" s="15" t="str">
        <f>IFERROR(__xludf.DUMMYFUNCTION("""COMPUTED_VALUE"""),"NY Jets")</f>
        <v>NY Jets</v>
      </c>
      <c r="C12" s="17">
        <f>IFERROR(__xludf.DUMMYFUNCTION("""COMPUTED_VALUE"""),0.3981)</f>
        <v>0.3981</v>
      </c>
      <c r="D12" s="17">
        <f>IFERROR(__xludf.DUMMYFUNCTION("""COMPUTED_VALUE"""),0.3438)</f>
        <v>0.3438</v>
      </c>
      <c r="E12" s="17">
        <f>IFERROR(__xludf.DUMMYFUNCTION("""COMPUTED_VALUE"""),0.4)</f>
        <v>0.4</v>
      </c>
      <c r="F12" s="17">
        <f>IFERROR(__xludf.DUMMYFUNCTION("""COMPUTED_VALUE"""),0.4091)</f>
        <v>0.4091</v>
      </c>
      <c r="G12" s="17">
        <f>IFERROR(__xludf.DUMMYFUNCTION("""COMPUTED_VALUE"""),0.3898)</f>
        <v>0.3898</v>
      </c>
      <c r="H12" s="17">
        <f>IFERROR(__xludf.DUMMYFUNCTION("""COMPUTED_VALUE"""),0.2596)</f>
        <v>0.2596</v>
      </c>
    </row>
    <row r="13">
      <c r="A13" s="14">
        <f>VLOOKUP(B13,map!B:C,2,false)</f>
        <v>28</v>
      </c>
      <c r="B13" s="15" t="str">
        <f>IFERROR(__xludf.DUMMYFUNCTION("""COMPUTED_VALUE"""),"Atlanta")</f>
        <v>Atlanta</v>
      </c>
      <c r="C13" s="17">
        <f>IFERROR(__xludf.DUMMYFUNCTION("""COMPUTED_VALUE"""),0.3956)</f>
        <v>0.3956</v>
      </c>
      <c r="D13" s="17">
        <f>IFERROR(__xludf.DUMMYFUNCTION("""COMPUTED_VALUE"""),0.5128)</f>
        <v>0.5128</v>
      </c>
      <c r="E13" s="17">
        <f>IFERROR(__xludf.DUMMYFUNCTION("""COMPUTED_VALUE"""),0.5)</f>
        <v>0.5</v>
      </c>
      <c r="F13" s="17">
        <f>IFERROR(__xludf.DUMMYFUNCTION("""COMPUTED_VALUE"""),0.3793)</f>
        <v>0.3793</v>
      </c>
      <c r="G13" s="17">
        <f>IFERROR(__xludf.DUMMYFUNCTION("""COMPUTED_VALUE"""),0.4242)</f>
        <v>0.4242</v>
      </c>
      <c r="H13" s="17">
        <f>IFERROR(__xludf.DUMMYFUNCTION("""COMPUTED_VALUE"""),0.4)</f>
        <v>0.4</v>
      </c>
    </row>
    <row r="14">
      <c r="A14" s="14">
        <f>VLOOKUP(B14,map!B:C,2,false)</f>
        <v>3</v>
      </c>
      <c r="B14" s="15" t="str">
        <f>IFERROR(__xludf.DUMMYFUNCTION("""COMPUTED_VALUE"""),"Minnesota")</f>
        <v>Minnesota</v>
      </c>
      <c r="C14" s="17">
        <f>IFERROR(__xludf.DUMMYFUNCTION("""COMPUTED_VALUE"""),0.3947)</f>
        <v>0.3947</v>
      </c>
      <c r="D14" s="17">
        <f>IFERROR(__xludf.DUMMYFUNCTION("""COMPUTED_VALUE"""),0.3333)</f>
        <v>0.3333</v>
      </c>
      <c r="E14" s="17">
        <f>IFERROR(__xludf.DUMMYFUNCTION("""COMPUTED_VALUE"""),0.2857)</f>
        <v>0.2857</v>
      </c>
      <c r="F14" s="17">
        <f>IFERROR(__xludf.DUMMYFUNCTION("""COMPUTED_VALUE"""),0.4857)</f>
        <v>0.4857</v>
      </c>
      <c r="G14" s="17">
        <f>IFERROR(__xludf.DUMMYFUNCTION("""COMPUTED_VALUE"""),0.3171)</f>
        <v>0.3171</v>
      </c>
      <c r="H14" s="17">
        <f>IFERROR(__xludf.DUMMYFUNCTION("""COMPUTED_VALUE"""),0.3812)</f>
        <v>0.3812</v>
      </c>
    </row>
    <row r="15">
      <c r="A15" s="14">
        <f>VLOOKUP(B15,map!B:C,2,false)</f>
        <v>15</v>
      </c>
      <c r="B15" s="15" t="str">
        <f>IFERROR(__xludf.DUMMYFUNCTION("""COMPUTED_VALUE"""),"Green Bay")</f>
        <v>Green Bay</v>
      </c>
      <c r="C15" s="17">
        <f>IFERROR(__xludf.DUMMYFUNCTION("""COMPUTED_VALUE"""),0.3895)</f>
        <v>0.3895</v>
      </c>
      <c r="D15" s="17">
        <f>IFERROR(__xludf.DUMMYFUNCTION("""COMPUTED_VALUE"""),0.4242)</f>
        <v>0.4242</v>
      </c>
      <c r="E15" s="17">
        <f>IFERROR(__xludf.DUMMYFUNCTION("""COMPUTED_VALUE"""),0.2727)</f>
        <v>0.2727</v>
      </c>
      <c r="F15" s="17">
        <f>IFERROR(__xludf.DUMMYFUNCTION("""COMPUTED_VALUE"""),0.4902)</f>
        <v>0.4902</v>
      </c>
      <c r="G15" s="17">
        <f>IFERROR(__xludf.DUMMYFUNCTION("""COMPUTED_VALUE"""),0.2727)</f>
        <v>0.2727</v>
      </c>
      <c r="H15" s="17">
        <f>IFERROR(__xludf.DUMMYFUNCTION("""COMPUTED_VALUE"""),0.4797)</f>
        <v>0.4797</v>
      </c>
    </row>
    <row r="16">
      <c r="A16" s="14">
        <f>VLOOKUP(B16,map!B:C,2,false)</f>
        <v>17</v>
      </c>
      <c r="B16" s="15" t="str">
        <f>IFERROR(__xludf.DUMMYFUNCTION("""COMPUTED_VALUE"""),"Houston")</f>
        <v>Houston</v>
      </c>
      <c r="C16" s="17">
        <f>IFERROR(__xludf.DUMMYFUNCTION("""COMPUTED_VALUE"""),0.3889)</f>
        <v>0.3889</v>
      </c>
      <c r="D16" s="17">
        <f>IFERROR(__xludf.DUMMYFUNCTION("""COMPUTED_VALUE"""),0.3243)</f>
        <v>0.3243</v>
      </c>
      <c r="E16" s="17">
        <f>IFERROR(__xludf.DUMMYFUNCTION("""COMPUTED_VALUE"""),0.3077)</f>
        <v>0.3077</v>
      </c>
      <c r="F16" s="17">
        <f>IFERROR(__xludf.DUMMYFUNCTION("""COMPUTED_VALUE"""),0.4107)</f>
        <v>0.4107</v>
      </c>
      <c r="G16" s="17">
        <f>IFERROR(__xludf.DUMMYFUNCTION("""COMPUTED_VALUE"""),0.3654)</f>
        <v>0.3654</v>
      </c>
      <c r="H16" s="17">
        <f>IFERROR(__xludf.DUMMYFUNCTION("""COMPUTED_VALUE"""),0.373)</f>
        <v>0.373</v>
      </c>
    </row>
    <row r="17">
      <c r="A17" s="14">
        <f>VLOOKUP(B17,map!B:C,2,false)</f>
        <v>9</v>
      </c>
      <c r="B17" s="15" t="str">
        <f>IFERROR(__xludf.DUMMYFUNCTION("""COMPUTED_VALUE"""),"New Orleans")</f>
        <v>New Orleans</v>
      </c>
      <c r="C17" s="17">
        <f>IFERROR(__xludf.DUMMYFUNCTION("""COMPUTED_VALUE"""),0.3884)</f>
        <v>0.3884</v>
      </c>
      <c r="D17" s="17">
        <f>IFERROR(__xludf.DUMMYFUNCTION("""COMPUTED_VALUE"""),0.2391)</f>
        <v>0.2391</v>
      </c>
      <c r="E17" s="17">
        <f>IFERROR(__xludf.DUMMYFUNCTION("""COMPUTED_VALUE"""),0.125)</f>
        <v>0.125</v>
      </c>
      <c r="F17" s="17">
        <f>IFERROR(__xludf.DUMMYFUNCTION("""COMPUTED_VALUE"""),0.3929)</f>
        <v>0.3929</v>
      </c>
      <c r="G17" s="17">
        <f>IFERROR(__xludf.DUMMYFUNCTION("""COMPUTED_VALUE"""),0.383)</f>
        <v>0.383</v>
      </c>
      <c r="H17" s="17">
        <f>IFERROR(__xludf.DUMMYFUNCTION("""COMPUTED_VALUE"""),0.3872)</f>
        <v>0.3872</v>
      </c>
    </row>
    <row r="18">
      <c r="A18" s="14">
        <f>VLOOKUP(B18,map!B:C,2,false)</f>
        <v>29</v>
      </c>
      <c r="B18" s="15" t="str">
        <f>IFERROR(__xludf.DUMMYFUNCTION("""COMPUTED_VALUE"""),"Pittsburgh")</f>
        <v>Pittsburgh</v>
      </c>
      <c r="C18" s="17">
        <f>IFERROR(__xludf.DUMMYFUNCTION("""COMPUTED_VALUE"""),0.3854)</f>
        <v>0.3854</v>
      </c>
      <c r="D18" s="17">
        <f>IFERROR(__xludf.DUMMYFUNCTION("""COMPUTED_VALUE"""),0.3077)</f>
        <v>0.3077</v>
      </c>
      <c r="E18" s="17">
        <f>IFERROR(__xludf.DUMMYFUNCTION("""COMPUTED_VALUE"""),0.3571)</f>
        <v>0.3571</v>
      </c>
      <c r="F18" s="17">
        <f>IFERROR(__xludf.DUMMYFUNCTION("""COMPUTED_VALUE"""),0.375)</f>
        <v>0.375</v>
      </c>
      <c r="G18" s="17">
        <f>IFERROR(__xludf.DUMMYFUNCTION("""COMPUTED_VALUE"""),0.3929)</f>
        <v>0.3929</v>
      </c>
      <c r="H18" s="17">
        <f>IFERROR(__xludf.DUMMYFUNCTION("""COMPUTED_VALUE"""),0.3704)</f>
        <v>0.3704</v>
      </c>
    </row>
    <row r="19">
      <c r="A19" s="14">
        <f>VLOOKUP(B19,map!B:C,2,false)</f>
        <v>10</v>
      </c>
      <c r="B19" s="15" t="str">
        <f>IFERROR(__xludf.DUMMYFUNCTION("""COMPUTED_VALUE"""),"Miami")</f>
        <v>Miami</v>
      </c>
      <c r="C19" s="17">
        <f>IFERROR(__xludf.DUMMYFUNCTION("""COMPUTED_VALUE"""),0.3854)</f>
        <v>0.3854</v>
      </c>
      <c r="D19" s="17">
        <f>IFERROR(__xludf.DUMMYFUNCTION("""COMPUTED_VALUE"""),0.4634)</f>
        <v>0.4634</v>
      </c>
      <c r="E19" s="17">
        <f>IFERROR(__xludf.DUMMYFUNCTION("""COMPUTED_VALUE"""),0.7333)</f>
        <v>0.7333</v>
      </c>
      <c r="F19" s="17">
        <f>IFERROR(__xludf.DUMMYFUNCTION("""COMPUTED_VALUE"""),0.4828)</f>
        <v>0.4828</v>
      </c>
      <c r="G19" s="17">
        <f>IFERROR(__xludf.DUMMYFUNCTION("""COMPUTED_VALUE"""),0.2368)</f>
        <v>0.2368</v>
      </c>
      <c r="H19" s="17">
        <f>IFERROR(__xludf.DUMMYFUNCTION("""COMPUTED_VALUE"""),0.4019)</f>
        <v>0.4019</v>
      </c>
    </row>
    <row r="20">
      <c r="A20" s="14">
        <f>VLOOKUP(B20,map!B:C,2,false)</f>
        <v>18</v>
      </c>
      <c r="B20" s="15" t="str">
        <f>IFERROR(__xludf.DUMMYFUNCTION("""COMPUTED_VALUE"""),"LA Rams")</f>
        <v>LA Rams</v>
      </c>
      <c r="C20" s="17">
        <f>IFERROR(__xludf.DUMMYFUNCTION("""COMPUTED_VALUE"""),0.378)</f>
        <v>0.378</v>
      </c>
      <c r="D20" s="17">
        <f>IFERROR(__xludf.DUMMYFUNCTION("""COMPUTED_VALUE"""),0.3889)</f>
        <v>0.3889</v>
      </c>
      <c r="E20" s="17">
        <f>IFERROR(__xludf.DUMMYFUNCTION("""COMPUTED_VALUE"""),0.4)</f>
        <v>0.4</v>
      </c>
      <c r="F20" s="17">
        <f>IFERROR(__xludf.DUMMYFUNCTION("""COMPUTED_VALUE"""),0.3958)</f>
        <v>0.3958</v>
      </c>
      <c r="G20" s="17">
        <f>IFERROR(__xludf.DUMMYFUNCTION("""COMPUTED_VALUE"""),0.3529)</f>
        <v>0.3529</v>
      </c>
      <c r="H20" s="17">
        <f>IFERROR(__xludf.DUMMYFUNCTION("""COMPUTED_VALUE"""),0.417)</f>
        <v>0.417</v>
      </c>
    </row>
    <row r="21">
      <c r="A21" s="14">
        <f>VLOOKUP(B21,map!B:C,2,false)</f>
        <v>20</v>
      </c>
      <c r="B21" s="15" t="str">
        <f>IFERROR(__xludf.DUMMYFUNCTION("""COMPUTED_VALUE"""),"Indianapolis")</f>
        <v>Indianapolis</v>
      </c>
      <c r="C21" s="17">
        <f>IFERROR(__xludf.DUMMYFUNCTION("""COMPUTED_VALUE"""),0.3762)</f>
        <v>0.3762</v>
      </c>
      <c r="D21" s="17">
        <f>IFERROR(__xludf.DUMMYFUNCTION("""COMPUTED_VALUE"""),0.3171)</f>
        <v>0.3171</v>
      </c>
      <c r="E21" s="17">
        <f>IFERROR(__xludf.DUMMYFUNCTION("""COMPUTED_VALUE"""),0.1538)</f>
        <v>0.1538</v>
      </c>
      <c r="F21" s="17">
        <f>IFERROR(__xludf.DUMMYFUNCTION("""COMPUTED_VALUE"""),0.4)</f>
        <v>0.4</v>
      </c>
      <c r="G21" s="17">
        <f>IFERROR(__xludf.DUMMYFUNCTION("""COMPUTED_VALUE"""),0.3529)</f>
        <v>0.3529</v>
      </c>
      <c r="H21" s="17">
        <f>IFERROR(__xludf.DUMMYFUNCTION("""COMPUTED_VALUE"""),0.3534)</f>
        <v>0.3534</v>
      </c>
    </row>
    <row r="22">
      <c r="A22" s="14">
        <f>VLOOKUP(B22,map!B:C,2,false)</f>
        <v>12</v>
      </c>
      <c r="B22" s="15" t="str">
        <f>IFERROR(__xludf.DUMMYFUNCTION("""COMPUTED_VALUE"""),"Philadelphia")</f>
        <v>Philadelphia</v>
      </c>
      <c r="C22" s="17">
        <f>IFERROR(__xludf.DUMMYFUNCTION("""COMPUTED_VALUE"""),0.3696)</f>
        <v>0.3696</v>
      </c>
      <c r="D22" s="17">
        <f>IFERROR(__xludf.DUMMYFUNCTION("""COMPUTED_VALUE"""),0.3158)</f>
        <v>0.3158</v>
      </c>
      <c r="E22" s="17">
        <f>IFERROR(__xludf.DUMMYFUNCTION("""COMPUTED_VALUE"""),0.5455)</f>
        <v>0.5455</v>
      </c>
      <c r="F22" s="17">
        <f>IFERROR(__xludf.DUMMYFUNCTION("""COMPUTED_VALUE"""),0.4074)</f>
        <v>0.4074</v>
      </c>
      <c r="G22" s="17">
        <f>IFERROR(__xludf.DUMMYFUNCTION("""COMPUTED_VALUE"""),0.3538)</f>
        <v>0.3538</v>
      </c>
      <c r="H22" s="17">
        <f>IFERROR(__xludf.DUMMYFUNCTION("""COMPUTED_VALUE"""),0.4615)</f>
        <v>0.4615</v>
      </c>
    </row>
    <row r="23">
      <c r="A23" s="14">
        <f>VLOOKUP(B23,map!B:C,2,false)</f>
        <v>11</v>
      </c>
      <c r="B23" s="15" t="str">
        <f>IFERROR(__xludf.DUMMYFUNCTION("""COMPUTED_VALUE"""),"Buffalo")</f>
        <v>Buffalo</v>
      </c>
      <c r="C23" s="17">
        <f>IFERROR(__xludf.DUMMYFUNCTION("""COMPUTED_VALUE"""),0.3696)</f>
        <v>0.3696</v>
      </c>
      <c r="D23" s="17">
        <f>IFERROR(__xludf.DUMMYFUNCTION("""COMPUTED_VALUE"""),0.4444)</f>
        <v>0.4444</v>
      </c>
      <c r="E23" s="17">
        <f>IFERROR(__xludf.DUMMYFUNCTION("""COMPUTED_VALUE"""),0.5333)</f>
        <v>0.5333</v>
      </c>
      <c r="F23" s="17">
        <f>IFERROR(__xludf.DUMMYFUNCTION("""COMPUTED_VALUE"""),0.4)</f>
        <v>0.4</v>
      </c>
      <c r="G23" s="17">
        <f>IFERROR(__xludf.DUMMYFUNCTION("""COMPUTED_VALUE"""),0.3548)</f>
        <v>0.3548</v>
      </c>
      <c r="H23" s="17">
        <f>IFERROR(__xludf.DUMMYFUNCTION("""COMPUTED_VALUE"""),0.4939)</f>
        <v>0.4939</v>
      </c>
    </row>
    <row r="24">
      <c r="A24" s="14">
        <f>VLOOKUP(B24,map!B:C,2,false)</f>
        <v>13</v>
      </c>
      <c r="B24" s="15" t="str">
        <f>IFERROR(__xludf.DUMMYFUNCTION("""COMPUTED_VALUE"""),"Seattle")</f>
        <v>Seattle</v>
      </c>
      <c r="C24" s="17">
        <f>IFERROR(__xludf.DUMMYFUNCTION("""COMPUTED_VALUE"""),0.3656)</f>
        <v>0.3656</v>
      </c>
      <c r="D24" s="17">
        <f>IFERROR(__xludf.DUMMYFUNCTION("""COMPUTED_VALUE"""),0.3529)</f>
        <v>0.3529</v>
      </c>
      <c r="E24" s="17">
        <f>IFERROR(__xludf.DUMMYFUNCTION("""COMPUTED_VALUE"""),0.1429)</f>
        <v>0.1429</v>
      </c>
      <c r="F24" s="17">
        <f>IFERROR(__xludf.DUMMYFUNCTION("""COMPUTED_VALUE"""),0.3158)</f>
        <v>0.3158</v>
      </c>
      <c r="G24" s="17">
        <f>IFERROR(__xludf.DUMMYFUNCTION("""COMPUTED_VALUE"""),0.4444)</f>
        <v>0.4444</v>
      </c>
      <c r="H24" s="17">
        <f>IFERROR(__xludf.DUMMYFUNCTION("""COMPUTED_VALUE"""),0.3623)</f>
        <v>0.3623</v>
      </c>
    </row>
    <row r="25">
      <c r="A25" s="14">
        <f>VLOOKUP(B25,map!B:C,2,false)</f>
        <v>22</v>
      </c>
      <c r="B25" s="15" t="str">
        <f>IFERROR(__xludf.DUMMYFUNCTION("""COMPUTED_VALUE"""),"New England")</f>
        <v>New England</v>
      </c>
      <c r="C25" s="17">
        <f>IFERROR(__xludf.DUMMYFUNCTION("""COMPUTED_VALUE"""),0.3514)</f>
        <v>0.3514</v>
      </c>
      <c r="D25" s="17">
        <f>IFERROR(__xludf.DUMMYFUNCTION("""COMPUTED_VALUE"""),0.4)</f>
        <v>0.4</v>
      </c>
      <c r="E25" s="17">
        <f>IFERROR(__xludf.DUMMYFUNCTION("""COMPUTED_VALUE"""),0.4667)</f>
        <v>0.4667</v>
      </c>
      <c r="F25" s="17">
        <f>IFERROR(__xludf.DUMMYFUNCTION("""COMPUTED_VALUE"""),0.3509)</f>
        <v>0.3509</v>
      </c>
      <c r="G25" s="17">
        <f>IFERROR(__xludf.DUMMYFUNCTION("""COMPUTED_VALUE"""),0.3519)</f>
        <v>0.3519</v>
      </c>
      <c r="H25" s="17">
        <f>IFERROR(__xludf.DUMMYFUNCTION("""COMPUTED_VALUE"""),0.3018)</f>
        <v>0.3018</v>
      </c>
    </row>
    <row r="26">
      <c r="A26" s="14">
        <f>VLOOKUP(B26,map!B:C,2,false)</f>
        <v>26</v>
      </c>
      <c r="B26" s="15" t="str">
        <f>IFERROR(__xludf.DUMMYFUNCTION("""COMPUTED_VALUE"""),"NY Giants")</f>
        <v>NY Giants</v>
      </c>
      <c r="C26" s="17">
        <f>IFERROR(__xludf.DUMMYFUNCTION("""COMPUTED_VALUE"""),0.3465)</f>
        <v>0.3465</v>
      </c>
      <c r="D26" s="17">
        <f>IFERROR(__xludf.DUMMYFUNCTION("""COMPUTED_VALUE"""),0.3333)</f>
        <v>0.3333</v>
      </c>
      <c r="E26" s="17">
        <f>IFERROR(__xludf.DUMMYFUNCTION("""COMPUTED_VALUE"""),0.2143)</f>
        <v>0.2143</v>
      </c>
      <c r="F26" s="17">
        <f>IFERROR(__xludf.DUMMYFUNCTION("""COMPUTED_VALUE"""),0.3175)</f>
        <v>0.3175</v>
      </c>
      <c r="G26" s="17">
        <f>IFERROR(__xludf.DUMMYFUNCTION("""COMPUTED_VALUE"""),0.3947)</f>
        <v>0.3947</v>
      </c>
      <c r="H26" s="17">
        <f>IFERROR(__xludf.DUMMYFUNCTION("""COMPUTED_VALUE"""),0.3024)</f>
        <v>0.3024</v>
      </c>
    </row>
    <row r="27">
      <c r="A27" s="14">
        <f>VLOOKUP(B27,map!B:C,2,false)</f>
        <v>24</v>
      </c>
      <c r="B27" s="15" t="str">
        <f>IFERROR(__xludf.DUMMYFUNCTION("""COMPUTED_VALUE"""),"Las Vegas")</f>
        <v>Las Vegas</v>
      </c>
      <c r="C27" s="17">
        <f>IFERROR(__xludf.DUMMYFUNCTION("""COMPUTED_VALUE"""),0.3301)</f>
        <v>0.3301</v>
      </c>
      <c r="D27" s="17">
        <f>IFERROR(__xludf.DUMMYFUNCTION("""COMPUTED_VALUE"""),0.2821)</f>
        <v>0.2821</v>
      </c>
      <c r="E27" s="17">
        <f>IFERROR(__xludf.DUMMYFUNCTION("""COMPUTED_VALUE"""),0.4615)</f>
        <v>0.4615</v>
      </c>
      <c r="F27" s="17">
        <f>IFERROR(__xludf.DUMMYFUNCTION("""COMPUTED_VALUE"""),0.3191)</f>
        <v>0.3191</v>
      </c>
      <c r="G27" s="17">
        <f>IFERROR(__xludf.DUMMYFUNCTION("""COMPUTED_VALUE"""),0.3393)</f>
        <v>0.3393</v>
      </c>
      <c r="H27" s="17">
        <f>IFERROR(__xludf.DUMMYFUNCTION("""COMPUTED_VALUE"""),0.3565)</f>
        <v>0.3565</v>
      </c>
    </row>
    <row r="28">
      <c r="A28" s="14">
        <f>VLOOKUP(B28,map!B:C,2,false)</f>
        <v>31</v>
      </c>
      <c r="B28" s="15" t="str">
        <f>IFERROR(__xludf.DUMMYFUNCTION("""COMPUTED_VALUE"""),"Chicago")</f>
        <v>Chicago</v>
      </c>
      <c r="C28" s="17">
        <f>IFERROR(__xludf.DUMMYFUNCTION("""COMPUTED_VALUE"""),0.3298)</f>
        <v>0.3298</v>
      </c>
      <c r="D28" s="17">
        <f>IFERROR(__xludf.DUMMYFUNCTION("""COMPUTED_VALUE"""),0.3235)</f>
        <v>0.3235</v>
      </c>
      <c r="E28" s="17">
        <f>IFERROR(__xludf.DUMMYFUNCTION("""COMPUTED_VALUE"""),0.1667)</f>
        <v>0.1667</v>
      </c>
      <c r="F28" s="17">
        <f>IFERROR(__xludf.DUMMYFUNCTION("""COMPUTED_VALUE"""),0.2727)</f>
        <v>0.2727</v>
      </c>
      <c r="G28" s="17">
        <f>IFERROR(__xludf.DUMMYFUNCTION("""COMPUTED_VALUE"""),0.3607)</f>
        <v>0.3607</v>
      </c>
      <c r="H28" s="17">
        <f>IFERROR(__xludf.DUMMYFUNCTION("""COMPUTED_VALUE"""),0.4118)</f>
        <v>0.4118</v>
      </c>
    </row>
    <row r="29">
      <c r="A29" s="14">
        <f>VLOOKUP(B29,map!B:C,2,false)</f>
        <v>27</v>
      </c>
      <c r="B29" s="15" t="str">
        <f>IFERROR(__xludf.DUMMYFUNCTION("""COMPUTED_VALUE"""),"Denver")</f>
        <v>Denver</v>
      </c>
      <c r="C29" s="17">
        <f>IFERROR(__xludf.DUMMYFUNCTION("""COMPUTED_VALUE"""),0.3241)</f>
        <v>0.3241</v>
      </c>
      <c r="D29" s="17">
        <f>IFERROR(__xludf.DUMMYFUNCTION("""COMPUTED_VALUE"""),0.4615)</f>
        <v>0.4615</v>
      </c>
      <c r="E29" s="17">
        <f>IFERROR(__xludf.DUMMYFUNCTION("""COMPUTED_VALUE"""),0.6471)</f>
        <v>0.6471</v>
      </c>
      <c r="F29" s="17">
        <f>IFERROR(__xludf.DUMMYFUNCTION("""COMPUTED_VALUE"""),0.3654)</f>
        <v>0.3654</v>
      </c>
      <c r="G29" s="17">
        <f>IFERROR(__xludf.DUMMYFUNCTION("""COMPUTED_VALUE"""),0.2857)</f>
        <v>0.2857</v>
      </c>
      <c r="H29" s="17">
        <f>IFERROR(__xludf.DUMMYFUNCTION("""COMPUTED_VALUE"""),0.3682)</f>
        <v>0.3682</v>
      </c>
    </row>
    <row r="30">
      <c r="A30" s="14">
        <f>VLOOKUP(B30,map!B:C,2,false)</f>
        <v>6</v>
      </c>
      <c r="B30" s="15" t="str">
        <f>IFERROR(__xludf.DUMMYFUNCTION("""COMPUTED_VALUE"""),"Jacksonville")</f>
        <v>Jacksonville</v>
      </c>
      <c r="C30" s="17">
        <f>IFERROR(__xludf.DUMMYFUNCTION("""COMPUTED_VALUE"""),0.3182)</f>
        <v>0.3182</v>
      </c>
      <c r="D30" s="17">
        <f>IFERROR(__xludf.DUMMYFUNCTION("""COMPUTED_VALUE"""),0.4118)</f>
        <v>0.4118</v>
      </c>
      <c r="E30" s="17">
        <f>IFERROR(__xludf.DUMMYFUNCTION("""COMPUTED_VALUE"""),0.1111)</f>
        <v>0.1111</v>
      </c>
      <c r="F30" s="17">
        <f>IFERROR(__xludf.DUMMYFUNCTION("""COMPUTED_VALUE"""),0.25)</f>
        <v>0.25</v>
      </c>
      <c r="G30" s="17">
        <f>IFERROR(__xludf.DUMMYFUNCTION("""COMPUTED_VALUE"""),0.35)</f>
        <v>0.35</v>
      </c>
      <c r="H30" s="17">
        <f>IFERROR(__xludf.DUMMYFUNCTION("""COMPUTED_VALUE"""),0.3816)</f>
        <v>0.3816</v>
      </c>
    </row>
    <row r="31">
      <c r="A31" s="14">
        <f>VLOOKUP(B31,map!B:C,2,false)</f>
        <v>23</v>
      </c>
      <c r="B31" s="15" t="str">
        <f>IFERROR(__xludf.DUMMYFUNCTION("""COMPUTED_VALUE"""),"Carolina")</f>
        <v>Carolina</v>
      </c>
      <c r="C31" s="17">
        <f>IFERROR(__xludf.DUMMYFUNCTION("""COMPUTED_VALUE"""),0.3158)</f>
        <v>0.3158</v>
      </c>
      <c r="D31" s="17">
        <f>IFERROR(__xludf.DUMMYFUNCTION("""COMPUTED_VALUE"""),0.3714)</f>
        <v>0.3714</v>
      </c>
      <c r="E31" s="17">
        <f>IFERROR(__xludf.DUMMYFUNCTION("""COMPUTED_VALUE"""),0.3571)</f>
        <v>0.3571</v>
      </c>
      <c r="F31" s="17">
        <f>IFERROR(__xludf.DUMMYFUNCTION("""COMPUTED_VALUE"""),0.3514)</f>
        <v>0.3514</v>
      </c>
      <c r="G31" s="17">
        <f>IFERROR(__xludf.DUMMYFUNCTION("""COMPUTED_VALUE"""),0.2931)</f>
        <v>0.2931</v>
      </c>
      <c r="H31" s="17">
        <f>IFERROR(__xludf.DUMMYFUNCTION("""COMPUTED_VALUE"""),0.3414)</f>
        <v>0.3414</v>
      </c>
    </row>
    <row r="32">
      <c r="A32" s="14">
        <f>VLOOKUP(B32,map!B:C,2,false)</f>
        <v>32</v>
      </c>
      <c r="B32" s="15" t="str">
        <f>IFERROR(__xludf.DUMMYFUNCTION("""COMPUTED_VALUE"""),"Tennessee")</f>
        <v>Tennessee</v>
      </c>
      <c r="C32" s="17">
        <f>IFERROR(__xludf.DUMMYFUNCTION("""COMPUTED_VALUE"""),0.3059)</f>
        <v>0.3059</v>
      </c>
      <c r="D32" s="17">
        <f>IFERROR(__xludf.DUMMYFUNCTION("""COMPUTED_VALUE"""),0.3421)</f>
        <v>0.3421</v>
      </c>
      <c r="E32" s="17">
        <f>IFERROR(__xludf.DUMMYFUNCTION("""COMPUTED_VALUE"""),0.2727)</f>
        <v>0.2727</v>
      </c>
      <c r="F32" s="17">
        <f>IFERROR(__xludf.DUMMYFUNCTION("""COMPUTED_VALUE"""),0.375)</f>
        <v>0.375</v>
      </c>
      <c r="G32" s="17">
        <f>IFERROR(__xludf.DUMMYFUNCTION("""COMPUTED_VALUE"""),0.2642)</f>
        <v>0.2642</v>
      </c>
      <c r="H32" s="17">
        <f>IFERROR(__xludf.DUMMYFUNCTION("""COMPUTED_VALUE"""),0.3349)</f>
        <v>0.3349</v>
      </c>
    </row>
    <row r="33">
      <c r="A33" s="14">
        <f>VLOOKUP(B33,map!B:C,2,false)</f>
        <v>16</v>
      </c>
      <c r="B33" s="15" t="str">
        <f>IFERROR(__xludf.DUMMYFUNCTION("""COMPUTED_VALUE"""),"Cleveland")</f>
        <v>Cleveland</v>
      </c>
      <c r="C33" s="17">
        <f>IFERROR(__xludf.DUMMYFUNCTION("""COMPUTED_VALUE"""),0.2768)</f>
        <v>0.2768</v>
      </c>
      <c r="D33" s="17">
        <f>IFERROR(__xludf.DUMMYFUNCTION("""COMPUTED_VALUE"""),0.413)</f>
        <v>0.413</v>
      </c>
      <c r="E33" s="17">
        <f>IFERROR(__xludf.DUMMYFUNCTION("""COMPUTED_VALUE"""),0.5333)</f>
        <v>0.5333</v>
      </c>
      <c r="F33" s="17">
        <f>IFERROR(__xludf.DUMMYFUNCTION("""COMPUTED_VALUE"""),0.3492)</f>
        <v>0.3492</v>
      </c>
      <c r="G33" s="17">
        <f>IFERROR(__xludf.DUMMYFUNCTION("""COMPUTED_VALUE"""),0.1837)</f>
        <v>0.1837</v>
      </c>
      <c r="H33" s="17">
        <f>IFERROR(__xludf.DUMMYFUNCTION("""COMPUTED_VALUE"""),0.3246)</f>
        <v>0.3246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28</v>
      </c>
      <c r="B1" s="11" t="str">
        <f>IFERROR(__xludf.DUMMYFUNCTION("QUERY(IMPORTHTML(""https://www.teamrankings.com/nfl/stat/red-zone-scoring-pct?date="" &amp; TEXT(TODAY(),""yyyy-mm-dd""), ""table"", 1, ""en_US""), ""SELECT Col2, Col3, Col4, Col5, Col6, Col7, Col8"")
"),"Team")</f>
        <v>Team</v>
      </c>
      <c r="C1" s="12" t="str">
        <f>IFERROR(__xludf.DUMMYFUNCTION("""COMPUTED_VALUE"""),"2024")</f>
        <v>2024</v>
      </c>
      <c r="D1" s="13" t="str">
        <f>IFERROR(__xludf.DUMMYFUNCTION("""COMPUTED_VALUE"""),"Last 3")</f>
        <v>Last 3</v>
      </c>
      <c r="E1" s="13" t="str">
        <f>IFERROR(__xludf.DUMMYFUNCTION("""COMPUTED_VALUE"""),"Last 1")</f>
        <v>Last 1</v>
      </c>
      <c r="F1" s="12" t="str">
        <f>IFERROR(__xludf.DUMMYFUNCTION("""COMPUTED_VALUE"""),"Home")</f>
        <v>Home</v>
      </c>
      <c r="G1" s="12" t="str">
        <f>IFERROR(__xludf.DUMMYFUNCTION("""COMPUTED_VALUE"""),"Away")</f>
        <v>Away</v>
      </c>
      <c r="H1" s="12" t="str">
        <f>IFERROR(__xludf.DUMMYFUNCTION("""COMPUTED_VALUE"""),"2023")</f>
        <v>2023</v>
      </c>
    </row>
    <row r="2">
      <c r="A2" s="14">
        <f>VLOOKUP(B2,map!B:C,2,false)</f>
        <v>30</v>
      </c>
      <c r="B2" s="15" t="str">
        <f>IFERROR(__xludf.DUMMYFUNCTION("""COMPUTED_VALUE"""),"Baltimore")</f>
        <v>Baltimore</v>
      </c>
      <c r="C2" s="17">
        <f>IFERROR(__xludf.DUMMYFUNCTION("""COMPUTED_VALUE"""),0.7576)</f>
        <v>0.7576</v>
      </c>
      <c r="D2" s="17">
        <f>IFERROR(__xludf.DUMMYFUNCTION("""COMPUTED_VALUE"""),0.7692)</f>
        <v>0.7692</v>
      </c>
      <c r="E2" s="17">
        <f>IFERROR(__xludf.DUMMYFUNCTION("""COMPUTED_VALUE"""),0.75)</f>
        <v>0.75</v>
      </c>
      <c r="F2" s="17">
        <f>IFERROR(__xludf.DUMMYFUNCTION("""COMPUTED_VALUE"""),0.8182)</f>
        <v>0.8182</v>
      </c>
      <c r="G2" s="17">
        <f>IFERROR(__xludf.DUMMYFUNCTION("""COMPUTED_VALUE"""),0.7273)</f>
        <v>0.7273</v>
      </c>
      <c r="H2" s="17">
        <f>IFERROR(__xludf.DUMMYFUNCTION("""COMPUTED_VALUE"""),0.6216)</f>
        <v>0.6216</v>
      </c>
    </row>
    <row r="3">
      <c r="A3" s="14">
        <f>VLOOKUP(B3,map!B:C,2,false)</f>
        <v>31</v>
      </c>
      <c r="B3" s="15" t="str">
        <f>IFERROR(__xludf.DUMMYFUNCTION("""COMPUTED_VALUE"""),"Chicago")</f>
        <v>Chicago</v>
      </c>
      <c r="C3" s="17">
        <f>IFERROR(__xludf.DUMMYFUNCTION("""COMPUTED_VALUE"""),0.6842)</f>
        <v>0.6842</v>
      </c>
      <c r="D3" s="17">
        <f>IFERROR(__xludf.DUMMYFUNCTION("""COMPUTED_VALUE"""),0.8)</f>
        <v>0.8</v>
      </c>
      <c r="E3" s="17">
        <f>IFERROR(__xludf.DUMMYFUNCTION("""COMPUTED_VALUE"""),0.5)</f>
        <v>0.5</v>
      </c>
      <c r="F3" s="17">
        <f>IFERROR(__xludf.DUMMYFUNCTION("""COMPUTED_VALUE"""),0.5556)</f>
        <v>0.5556</v>
      </c>
      <c r="G3" s="17">
        <f>IFERROR(__xludf.DUMMYFUNCTION("""COMPUTED_VALUE"""),0.8)</f>
        <v>0.8</v>
      </c>
      <c r="H3" s="17">
        <f>IFERROR(__xludf.DUMMYFUNCTION("""COMPUTED_VALUE"""),0.5714)</f>
        <v>0.5714</v>
      </c>
    </row>
    <row r="4">
      <c r="A4" s="14">
        <f>VLOOKUP(B4,map!B:C,2,false)</f>
        <v>14</v>
      </c>
      <c r="B4" s="15" t="str">
        <f>IFERROR(__xludf.DUMMYFUNCTION("""COMPUTED_VALUE"""),"Tampa Bay")</f>
        <v>Tampa Bay</v>
      </c>
      <c r="C4" s="17">
        <f>IFERROR(__xludf.DUMMYFUNCTION("""COMPUTED_VALUE"""),0.6774)</f>
        <v>0.6774</v>
      </c>
      <c r="D4" s="17">
        <f>IFERROR(__xludf.DUMMYFUNCTION("""COMPUTED_VALUE"""),0.7692)</f>
        <v>0.7692</v>
      </c>
      <c r="E4" s="17">
        <f>IFERROR(__xludf.DUMMYFUNCTION("""COMPUTED_VALUE"""),1.0)</f>
        <v>1</v>
      </c>
      <c r="F4" s="17">
        <f>IFERROR(__xludf.DUMMYFUNCTION("""COMPUTED_VALUE"""),0.6667)</f>
        <v>0.6667</v>
      </c>
      <c r="G4" s="17">
        <f>IFERROR(__xludf.DUMMYFUNCTION("""COMPUTED_VALUE"""),0.7)</f>
        <v>0.7</v>
      </c>
      <c r="H4" s="17">
        <f>IFERROR(__xludf.DUMMYFUNCTION("""COMPUTED_VALUE"""),0.4808)</f>
        <v>0.4808</v>
      </c>
    </row>
    <row r="5">
      <c r="A5" s="14">
        <f>VLOOKUP(B5,map!B:C,2,false)</f>
        <v>11</v>
      </c>
      <c r="B5" s="15" t="str">
        <f>IFERROR(__xludf.DUMMYFUNCTION("""COMPUTED_VALUE"""),"Buffalo")</f>
        <v>Buffalo</v>
      </c>
      <c r="C5" s="17">
        <f>IFERROR(__xludf.DUMMYFUNCTION("""COMPUTED_VALUE"""),0.6765)</f>
        <v>0.6765</v>
      </c>
      <c r="D5" s="17">
        <f>IFERROR(__xludf.DUMMYFUNCTION("""COMPUTED_VALUE"""),0.6875)</f>
        <v>0.6875</v>
      </c>
      <c r="E5" s="17">
        <f>IFERROR(__xludf.DUMMYFUNCTION("""COMPUTED_VALUE"""),0.6667)</f>
        <v>0.6667</v>
      </c>
      <c r="F5" s="17">
        <f>IFERROR(__xludf.DUMMYFUNCTION("""COMPUTED_VALUE"""),0.7059)</f>
        <v>0.7059</v>
      </c>
      <c r="G5" s="17">
        <f>IFERROR(__xludf.DUMMYFUNCTION("""COMPUTED_VALUE"""),0.6471)</f>
        <v>0.6471</v>
      </c>
      <c r="H5" s="17">
        <f>IFERROR(__xludf.DUMMYFUNCTION("""COMPUTED_VALUE"""),0.6389)</f>
        <v>0.6389</v>
      </c>
    </row>
    <row r="6">
      <c r="A6" s="14">
        <f>VLOOKUP(B6,map!B:C,2,false)</f>
        <v>9</v>
      </c>
      <c r="B6" s="15" t="str">
        <f>IFERROR(__xludf.DUMMYFUNCTION("""COMPUTED_VALUE"""),"New Orleans")</f>
        <v>New Orleans</v>
      </c>
      <c r="C6" s="17">
        <f>IFERROR(__xludf.DUMMYFUNCTION("""COMPUTED_VALUE"""),0.6667)</f>
        <v>0.6667</v>
      </c>
      <c r="D6" s="17">
        <f>IFERROR(__xludf.DUMMYFUNCTION("""COMPUTED_VALUE"""),0.4286)</f>
        <v>0.4286</v>
      </c>
      <c r="E6" s="17">
        <f>IFERROR(__xludf.DUMMYFUNCTION("""COMPUTED_VALUE"""),0.0)</f>
        <v>0</v>
      </c>
      <c r="F6" s="17">
        <f>IFERROR(__xludf.DUMMYFUNCTION("""COMPUTED_VALUE"""),0.6154)</f>
        <v>0.6154</v>
      </c>
      <c r="G6" s="17">
        <f>IFERROR(__xludf.DUMMYFUNCTION("""COMPUTED_VALUE"""),0.7273)</f>
        <v>0.7273</v>
      </c>
      <c r="H6" s="17">
        <f>IFERROR(__xludf.DUMMYFUNCTION("""COMPUTED_VALUE"""),0.5333)</f>
        <v>0.5333</v>
      </c>
    </row>
    <row r="7">
      <c r="A7" s="14">
        <f>VLOOKUP(B7,map!B:C,2,false)</f>
        <v>4</v>
      </c>
      <c r="B7" s="15" t="str">
        <f>IFERROR(__xludf.DUMMYFUNCTION("""COMPUTED_VALUE"""),"Cincinnati")</f>
        <v>Cincinnati</v>
      </c>
      <c r="C7" s="17">
        <f>IFERROR(__xludf.DUMMYFUNCTION("""COMPUTED_VALUE"""),0.6667)</f>
        <v>0.6667</v>
      </c>
      <c r="D7" s="17">
        <f>IFERROR(__xludf.DUMMYFUNCTION("""COMPUTED_VALUE"""),0.6)</f>
        <v>0.6</v>
      </c>
      <c r="E7" s="17">
        <f>IFERROR(__xludf.DUMMYFUNCTION("""COMPUTED_VALUE"""),0.6667)</f>
        <v>0.6667</v>
      </c>
      <c r="F7" s="17">
        <f>IFERROR(__xludf.DUMMYFUNCTION("""COMPUTED_VALUE"""),0.6667)</f>
        <v>0.6667</v>
      </c>
      <c r="G7" s="17">
        <f>IFERROR(__xludf.DUMMYFUNCTION("""COMPUTED_VALUE"""),0.6667)</f>
        <v>0.6667</v>
      </c>
      <c r="H7" s="17">
        <f>IFERROR(__xludf.DUMMYFUNCTION("""COMPUTED_VALUE"""),0.5962)</f>
        <v>0.5962</v>
      </c>
    </row>
    <row r="8">
      <c r="A8" s="14">
        <f>VLOOKUP(B8,map!B:C,2,false)</f>
        <v>5</v>
      </c>
      <c r="B8" s="15" t="str">
        <f>IFERROR(__xludf.DUMMYFUNCTION("""COMPUTED_VALUE"""),"Detroit")</f>
        <v>Detroit</v>
      </c>
      <c r="C8" s="17">
        <f>IFERROR(__xludf.DUMMYFUNCTION("""COMPUTED_VALUE"""),0.6552)</f>
        <v>0.6552</v>
      </c>
      <c r="D8" s="17">
        <f>IFERROR(__xludf.DUMMYFUNCTION("""COMPUTED_VALUE"""),0.8182)</f>
        <v>0.8182</v>
      </c>
      <c r="E8" s="17">
        <f>IFERROR(__xludf.DUMMYFUNCTION("""COMPUTED_VALUE"""),1.0)</f>
        <v>1</v>
      </c>
      <c r="F8" s="17">
        <f>IFERROR(__xludf.DUMMYFUNCTION("""COMPUTED_VALUE"""),0.619)</f>
        <v>0.619</v>
      </c>
      <c r="G8" s="17">
        <f>IFERROR(__xludf.DUMMYFUNCTION("""COMPUTED_VALUE"""),0.75)</f>
        <v>0.75</v>
      </c>
      <c r="H8" s="17">
        <f>IFERROR(__xludf.DUMMYFUNCTION("""COMPUTED_VALUE"""),0.6667)</f>
        <v>0.6667</v>
      </c>
    </row>
    <row r="9">
      <c r="A9" s="14">
        <f>VLOOKUP(B9,map!B:C,2,false)</f>
        <v>3</v>
      </c>
      <c r="B9" s="15" t="str">
        <f>IFERROR(__xludf.DUMMYFUNCTION("""COMPUTED_VALUE"""),"Minnesota")</f>
        <v>Minnesota</v>
      </c>
      <c r="C9" s="17">
        <f>IFERROR(__xludf.DUMMYFUNCTION("""COMPUTED_VALUE"""),0.65)</f>
        <v>0.65</v>
      </c>
      <c r="D9" s="17">
        <f>IFERROR(__xludf.DUMMYFUNCTION("""COMPUTED_VALUE"""),0.6)</f>
        <v>0.6</v>
      </c>
      <c r="E9" s="17">
        <f>IFERROR(__xludf.DUMMYFUNCTION("""COMPUTED_VALUE"""),0.5)</f>
        <v>0.5</v>
      </c>
      <c r="F9" s="17">
        <f>IFERROR(__xludf.DUMMYFUNCTION("""COMPUTED_VALUE"""),0.625)</f>
        <v>0.625</v>
      </c>
      <c r="G9" s="17">
        <f>IFERROR(__xludf.DUMMYFUNCTION("""COMPUTED_VALUE"""),0.6667)</f>
        <v>0.6667</v>
      </c>
      <c r="H9" s="17">
        <f>IFERROR(__xludf.DUMMYFUNCTION("""COMPUTED_VALUE"""),0.4706)</f>
        <v>0.4706</v>
      </c>
    </row>
    <row r="10">
      <c r="A10" s="14">
        <f>VLOOKUP(B10,map!B:C,2,false)</f>
        <v>16</v>
      </c>
      <c r="B10" s="15" t="str">
        <f>IFERROR(__xludf.DUMMYFUNCTION("""COMPUTED_VALUE"""),"Cleveland")</f>
        <v>Cleveland</v>
      </c>
      <c r="C10" s="17">
        <f>IFERROR(__xludf.DUMMYFUNCTION("""COMPUTED_VALUE"""),0.6154)</f>
        <v>0.6154</v>
      </c>
      <c r="D10" s="17">
        <f>IFERROR(__xludf.DUMMYFUNCTION("""COMPUTED_VALUE"""),0.4)</f>
        <v>0.4</v>
      </c>
      <c r="E10" s="17">
        <f>IFERROR(__xludf.DUMMYFUNCTION("""COMPUTED_VALUE"""),0.0)</f>
        <v>0</v>
      </c>
      <c r="F10" s="17">
        <f>IFERROR(__xludf.DUMMYFUNCTION("""COMPUTED_VALUE"""),0.7143)</f>
        <v>0.7143</v>
      </c>
      <c r="G10" s="17">
        <f>IFERROR(__xludf.DUMMYFUNCTION("""COMPUTED_VALUE"""),0.5)</f>
        <v>0.5</v>
      </c>
      <c r="H10" s="17">
        <f>IFERROR(__xludf.DUMMYFUNCTION("""COMPUTED_VALUE"""),0.5769)</f>
        <v>0.5769</v>
      </c>
    </row>
    <row r="11">
      <c r="A11" s="14">
        <f>VLOOKUP(B11,map!B:C,2,false)</f>
        <v>17</v>
      </c>
      <c r="B11" s="15" t="str">
        <f>IFERROR(__xludf.DUMMYFUNCTION("""COMPUTED_VALUE"""),"Houston")</f>
        <v>Houston</v>
      </c>
      <c r="C11" s="17">
        <f>IFERROR(__xludf.DUMMYFUNCTION("""COMPUTED_VALUE"""),0.6154)</f>
        <v>0.6154</v>
      </c>
      <c r="D11" s="17">
        <f>IFERROR(__xludf.DUMMYFUNCTION("""COMPUTED_VALUE"""),0.5385)</f>
        <v>0.5385</v>
      </c>
      <c r="E11" s="17">
        <f>IFERROR(__xludf.DUMMYFUNCTION("""COMPUTED_VALUE"""),0.3333)</f>
        <v>0.3333</v>
      </c>
      <c r="F11" s="17">
        <f>IFERROR(__xludf.DUMMYFUNCTION("""COMPUTED_VALUE"""),0.5)</f>
        <v>0.5</v>
      </c>
      <c r="G11" s="17">
        <f>IFERROR(__xludf.DUMMYFUNCTION("""COMPUTED_VALUE"""),0.75)</f>
        <v>0.75</v>
      </c>
      <c r="H11" s="17">
        <f>IFERROR(__xludf.DUMMYFUNCTION("""COMPUTED_VALUE"""),0.5536)</f>
        <v>0.5536</v>
      </c>
    </row>
    <row r="12">
      <c r="A12" s="14">
        <f>VLOOKUP(B12,map!B:C,2,false)</f>
        <v>21</v>
      </c>
      <c r="B12" s="15" t="str">
        <f>IFERROR(__xludf.DUMMYFUNCTION("""COMPUTED_VALUE"""),"Arizona")</f>
        <v>Arizona</v>
      </c>
      <c r="C12" s="17">
        <f>IFERROR(__xludf.DUMMYFUNCTION("""COMPUTED_VALUE"""),0.5909)</f>
        <v>0.5909</v>
      </c>
      <c r="D12" s="17">
        <f>IFERROR(__xludf.DUMMYFUNCTION("""COMPUTED_VALUE"""),0.5)</f>
        <v>0.5</v>
      </c>
      <c r="E12" s="17">
        <f>IFERROR(__xludf.DUMMYFUNCTION("""COMPUTED_VALUE"""),0.6667)</f>
        <v>0.6667</v>
      </c>
      <c r="F12" s="17">
        <f>IFERROR(__xludf.DUMMYFUNCTION("""COMPUTED_VALUE"""),0.7778)</f>
        <v>0.7778</v>
      </c>
      <c r="G12" s="17">
        <f>IFERROR(__xludf.DUMMYFUNCTION("""COMPUTED_VALUE"""),0.4615)</f>
        <v>0.4615</v>
      </c>
      <c r="H12" s="17">
        <f>IFERROR(__xludf.DUMMYFUNCTION("""COMPUTED_VALUE"""),0.6279)</f>
        <v>0.6279</v>
      </c>
    </row>
    <row r="13">
      <c r="A13" s="14">
        <f>VLOOKUP(B13,map!B:C,2,false)</f>
        <v>23</v>
      </c>
      <c r="B13" s="15" t="str">
        <f>IFERROR(__xludf.DUMMYFUNCTION("""COMPUTED_VALUE"""),"Carolina")</f>
        <v>Carolina</v>
      </c>
      <c r="C13" s="17">
        <f>IFERROR(__xludf.DUMMYFUNCTION("""COMPUTED_VALUE"""),0.5789)</f>
        <v>0.5789</v>
      </c>
      <c r="D13" s="17">
        <f>IFERROR(__xludf.DUMMYFUNCTION("""COMPUTED_VALUE"""),0.7143)</f>
        <v>0.7143</v>
      </c>
      <c r="E13" s="17">
        <f>IFERROR(__xludf.DUMMYFUNCTION("""COMPUTED_VALUE"""),0.6667)</f>
        <v>0.6667</v>
      </c>
      <c r="F13" s="17">
        <f>IFERROR(__xludf.DUMMYFUNCTION("""COMPUTED_VALUE"""),0.6667)</f>
        <v>0.6667</v>
      </c>
      <c r="G13" s="17">
        <f>IFERROR(__xludf.DUMMYFUNCTION("""COMPUTED_VALUE"""),0.5385)</f>
        <v>0.5385</v>
      </c>
      <c r="H13" s="17">
        <f>IFERROR(__xludf.DUMMYFUNCTION("""COMPUTED_VALUE"""),0.5)</f>
        <v>0.5</v>
      </c>
    </row>
    <row r="14">
      <c r="A14" s="14">
        <f>VLOOKUP(B14,map!B:C,2,false)</f>
        <v>13</v>
      </c>
      <c r="B14" s="15" t="str">
        <f>IFERROR(__xludf.DUMMYFUNCTION("""COMPUTED_VALUE"""),"Seattle")</f>
        <v>Seattle</v>
      </c>
      <c r="C14" s="17">
        <f>IFERROR(__xludf.DUMMYFUNCTION("""COMPUTED_VALUE"""),0.5789)</f>
        <v>0.5789</v>
      </c>
      <c r="D14" s="17">
        <f>IFERROR(__xludf.DUMMYFUNCTION("""COMPUTED_VALUE"""),0.5)</f>
        <v>0.5</v>
      </c>
      <c r="E14" s="17">
        <f>IFERROR(__xludf.DUMMYFUNCTION("""COMPUTED_VALUE"""),0.3333)</f>
        <v>0.3333</v>
      </c>
      <c r="F14" s="17">
        <f>IFERROR(__xludf.DUMMYFUNCTION("""COMPUTED_VALUE"""),0.6)</f>
        <v>0.6</v>
      </c>
      <c r="G14" s="17">
        <f>IFERROR(__xludf.DUMMYFUNCTION("""COMPUTED_VALUE"""),0.5556)</f>
        <v>0.5556</v>
      </c>
      <c r="H14" s="17">
        <f>IFERROR(__xludf.DUMMYFUNCTION("""COMPUTED_VALUE"""),0.4815)</f>
        <v>0.4815</v>
      </c>
    </row>
    <row r="15">
      <c r="A15" s="14">
        <f>VLOOKUP(B15,map!B:C,2,false)</f>
        <v>27</v>
      </c>
      <c r="B15" s="15" t="str">
        <f>IFERROR(__xludf.DUMMYFUNCTION("""COMPUTED_VALUE"""),"Denver")</f>
        <v>Denver</v>
      </c>
      <c r="C15" s="17">
        <f>IFERROR(__xludf.DUMMYFUNCTION("""COMPUTED_VALUE"""),0.5769)</f>
        <v>0.5769</v>
      </c>
      <c r="D15" s="17">
        <f>IFERROR(__xludf.DUMMYFUNCTION("""COMPUTED_VALUE"""),0.8)</f>
        <v>0.8</v>
      </c>
      <c r="E15" s="17">
        <f>IFERROR(__xludf.DUMMYFUNCTION("""COMPUTED_VALUE"""),0.8)</f>
        <v>0.8</v>
      </c>
      <c r="F15" s="17">
        <f>IFERROR(__xludf.DUMMYFUNCTION("""COMPUTED_VALUE"""),0.6429)</f>
        <v>0.6429</v>
      </c>
      <c r="G15" s="17">
        <f>IFERROR(__xludf.DUMMYFUNCTION("""COMPUTED_VALUE"""),0.5)</f>
        <v>0.5</v>
      </c>
      <c r="H15" s="17">
        <f>IFERROR(__xludf.DUMMYFUNCTION("""COMPUTED_VALUE"""),0.5085)</f>
        <v>0.5085</v>
      </c>
    </row>
    <row r="16">
      <c r="A16" s="14">
        <f>VLOOKUP(B16,map!B:C,2,false)</f>
        <v>24</v>
      </c>
      <c r="B16" s="15" t="str">
        <f>IFERROR(__xludf.DUMMYFUNCTION("""COMPUTED_VALUE"""),"Las Vegas")</f>
        <v>Las Vegas</v>
      </c>
      <c r="C16" s="17">
        <f>IFERROR(__xludf.DUMMYFUNCTION("""COMPUTED_VALUE"""),0.5714)</f>
        <v>0.5714</v>
      </c>
      <c r="D16" s="17">
        <f>IFERROR(__xludf.DUMMYFUNCTION("""COMPUTED_VALUE"""),0.4444)</f>
        <v>0.4444</v>
      </c>
      <c r="E16" s="17">
        <f>IFERROR(__xludf.DUMMYFUNCTION("""COMPUTED_VALUE"""),0.5)</f>
        <v>0.5</v>
      </c>
      <c r="F16" s="17">
        <f>IFERROR(__xludf.DUMMYFUNCTION("""COMPUTED_VALUE"""),0.6923)</f>
        <v>0.6923</v>
      </c>
      <c r="G16" s="17">
        <f>IFERROR(__xludf.DUMMYFUNCTION("""COMPUTED_VALUE"""),0.375)</f>
        <v>0.375</v>
      </c>
      <c r="H16" s="17">
        <f>IFERROR(__xludf.DUMMYFUNCTION("""COMPUTED_VALUE"""),0.4894)</f>
        <v>0.4894</v>
      </c>
    </row>
    <row r="17">
      <c r="A17" s="14">
        <f>VLOOKUP(B17,map!B:C,2,false)</f>
        <v>19</v>
      </c>
      <c r="B17" s="15" t="str">
        <f>IFERROR(__xludf.DUMMYFUNCTION("""COMPUTED_VALUE"""),"NY Jets")</f>
        <v>NY Jets</v>
      </c>
      <c r="C17" s="17">
        <f>IFERROR(__xludf.DUMMYFUNCTION("""COMPUTED_VALUE"""),0.56)</f>
        <v>0.56</v>
      </c>
      <c r="D17" s="17">
        <f>IFERROR(__xludf.DUMMYFUNCTION("""COMPUTED_VALUE"""),0.5)</f>
        <v>0.5</v>
      </c>
      <c r="E17" s="17">
        <f>IFERROR(__xludf.DUMMYFUNCTION("""COMPUTED_VALUE"""),0.6)</f>
        <v>0.6</v>
      </c>
      <c r="F17" s="17">
        <f>IFERROR(__xludf.DUMMYFUNCTION("""COMPUTED_VALUE"""),0.4)</f>
        <v>0.4</v>
      </c>
      <c r="G17" s="17">
        <f>IFERROR(__xludf.DUMMYFUNCTION("""COMPUTED_VALUE"""),0.6667)</f>
        <v>0.6667</v>
      </c>
      <c r="H17" s="17">
        <f>IFERROR(__xludf.DUMMYFUNCTION("""COMPUTED_VALUE"""),0.3243)</f>
        <v>0.3243</v>
      </c>
    </row>
    <row r="18">
      <c r="A18" s="14">
        <f>VLOOKUP(B18,map!B:C,2,false)</f>
        <v>6</v>
      </c>
      <c r="B18" s="15" t="str">
        <f>IFERROR(__xludf.DUMMYFUNCTION("""COMPUTED_VALUE"""),"Jacksonville")</f>
        <v>Jacksonville</v>
      </c>
      <c r="C18" s="17">
        <f>IFERROR(__xludf.DUMMYFUNCTION("""COMPUTED_VALUE"""),0.5517)</f>
        <v>0.5517</v>
      </c>
      <c r="D18" s="17">
        <f>IFERROR(__xludf.DUMMYFUNCTION("""COMPUTED_VALUE"""),0.7273)</f>
        <v>0.7273</v>
      </c>
      <c r="E18" s="17">
        <f>IFERROR(__xludf.DUMMYFUNCTION("""COMPUTED_VALUE"""),1.0)</f>
        <v>1</v>
      </c>
      <c r="F18" s="17">
        <f>IFERROR(__xludf.DUMMYFUNCTION("""COMPUTED_VALUE"""),0.5455)</f>
        <v>0.5455</v>
      </c>
      <c r="G18" s="17">
        <f>IFERROR(__xludf.DUMMYFUNCTION("""COMPUTED_VALUE"""),0.5556)</f>
        <v>0.5556</v>
      </c>
      <c r="H18" s="17">
        <f>IFERROR(__xludf.DUMMYFUNCTION("""COMPUTED_VALUE"""),0.5)</f>
        <v>0.5</v>
      </c>
    </row>
    <row r="19">
      <c r="A19" s="14">
        <f>VLOOKUP(B19,map!B:C,2,false)</f>
        <v>32</v>
      </c>
      <c r="B19" s="15" t="str">
        <f>IFERROR(__xludf.DUMMYFUNCTION("""COMPUTED_VALUE"""),"Tennessee")</f>
        <v>Tennessee</v>
      </c>
      <c r="C19" s="17">
        <f>IFERROR(__xludf.DUMMYFUNCTION("""COMPUTED_VALUE"""),0.55)</f>
        <v>0.55</v>
      </c>
      <c r="D19" s="17">
        <f>IFERROR(__xludf.DUMMYFUNCTION("""COMPUTED_VALUE"""),0.5556)</f>
        <v>0.5556</v>
      </c>
      <c r="E19" s="17">
        <f>IFERROR(__xludf.DUMMYFUNCTION("""COMPUTED_VALUE"""),0.5)</f>
        <v>0.5</v>
      </c>
      <c r="F19" s="17">
        <f>IFERROR(__xludf.DUMMYFUNCTION("""COMPUTED_VALUE"""),0.625)</f>
        <v>0.625</v>
      </c>
      <c r="G19" s="17">
        <f>IFERROR(__xludf.DUMMYFUNCTION("""COMPUTED_VALUE"""),0.5)</f>
        <v>0.5</v>
      </c>
      <c r="H19" s="17">
        <f>IFERROR(__xludf.DUMMYFUNCTION("""COMPUTED_VALUE"""),0.4792)</f>
        <v>0.4792</v>
      </c>
    </row>
    <row r="20">
      <c r="A20" s="14">
        <f>VLOOKUP(B20,map!B:C,2,false)</f>
        <v>29</v>
      </c>
      <c r="B20" s="15" t="str">
        <f>IFERROR(__xludf.DUMMYFUNCTION("""COMPUTED_VALUE"""),"Pittsburgh")</f>
        <v>Pittsburgh</v>
      </c>
      <c r="C20" s="17">
        <f>IFERROR(__xludf.DUMMYFUNCTION("""COMPUTED_VALUE"""),0.5417)</f>
        <v>0.5417</v>
      </c>
      <c r="D20" s="17">
        <f>IFERROR(__xludf.DUMMYFUNCTION("""COMPUTED_VALUE"""),0.6667)</f>
        <v>0.6667</v>
      </c>
      <c r="E20" s="17">
        <f>IFERROR(__xludf.DUMMYFUNCTION("""COMPUTED_VALUE"""),0.6667)</f>
        <v>0.6667</v>
      </c>
      <c r="F20" s="17">
        <f>IFERROR(__xludf.DUMMYFUNCTION("""COMPUTED_VALUE"""),0.5833)</f>
        <v>0.5833</v>
      </c>
      <c r="G20" s="17">
        <f>IFERROR(__xludf.DUMMYFUNCTION("""COMPUTED_VALUE"""),0.5)</f>
        <v>0.5</v>
      </c>
      <c r="H20" s="17">
        <f>IFERROR(__xludf.DUMMYFUNCTION("""COMPUTED_VALUE"""),0.4889)</f>
        <v>0.4889</v>
      </c>
    </row>
    <row r="21">
      <c r="A21" s="14">
        <f>VLOOKUP(B21,map!B:C,2,false)</f>
        <v>20</v>
      </c>
      <c r="B21" s="15" t="str">
        <f>IFERROR(__xludf.DUMMYFUNCTION("""COMPUTED_VALUE"""),"Indianapolis")</f>
        <v>Indianapolis</v>
      </c>
      <c r="C21" s="17">
        <f>IFERROR(__xludf.DUMMYFUNCTION("""COMPUTED_VALUE"""),0.5385)</f>
        <v>0.5385</v>
      </c>
      <c r="D21" s="17">
        <f>IFERROR(__xludf.DUMMYFUNCTION("""COMPUTED_VALUE"""),0.375)</f>
        <v>0.375</v>
      </c>
      <c r="E21" s="17">
        <f>IFERROR(__xludf.DUMMYFUNCTION("""COMPUTED_VALUE"""),0.5)</f>
        <v>0.5</v>
      </c>
      <c r="F21" s="17">
        <f>IFERROR(__xludf.DUMMYFUNCTION("""COMPUTED_VALUE"""),0.5714)</f>
        <v>0.5714</v>
      </c>
      <c r="G21" s="17">
        <f>IFERROR(__xludf.DUMMYFUNCTION("""COMPUTED_VALUE"""),0.5)</f>
        <v>0.5</v>
      </c>
      <c r="H21" s="17">
        <f>IFERROR(__xludf.DUMMYFUNCTION("""COMPUTED_VALUE"""),0.4912)</f>
        <v>0.4912</v>
      </c>
    </row>
    <row r="22">
      <c r="A22" s="14">
        <f>VLOOKUP(B22,map!B:C,2,false)</f>
        <v>18</v>
      </c>
      <c r="B22" s="15" t="str">
        <f>IFERROR(__xludf.DUMMYFUNCTION("""COMPUTED_VALUE"""),"LA Rams")</f>
        <v>LA Rams</v>
      </c>
      <c r="C22" s="17">
        <f>IFERROR(__xludf.DUMMYFUNCTION("""COMPUTED_VALUE"""),0.5385)</f>
        <v>0.5385</v>
      </c>
      <c r="D22" s="17">
        <f>IFERROR(__xludf.DUMMYFUNCTION("""COMPUTED_VALUE"""),0.7778)</f>
        <v>0.7778</v>
      </c>
      <c r="E22" s="17">
        <f>IFERROR(__xludf.DUMMYFUNCTION("""COMPUTED_VALUE"""),1.0)</f>
        <v>1</v>
      </c>
      <c r="F22" s="17">
        <f>IFERROR(__xludf.DUMMYFUNCTION("""COMPUTED_VALUE"""),0.7143)</f>
        <v>0.7143</v>
      </c>
      <c r="G22" s="17">
        <f>IFERROR(__xludf.DUMMYFUNCTION("""COMPUTED_VALUE"""),0.3333)</f>
        <v>0.3333</v>
      </c>
      <c r="H22" s="17">
        <f>IFERROR(__xludf.DUMMYFUNCTION("""COMPUTED_VALUE"""),0.6034)</f>
        <v>0.6034</v>
      </c>
    </row>
    <row r="23">
      <c r="A23" s="14">
        <f>VLOOKUP(B23,map!B:C,2,false)</f>
        <v>12</v>
      </c>
      <c r="B23" s="15" t="str">
        <f>IFERROR(__xludf.DUMMYFUNCTION("""COMPUTED_VALUE"""),"Philadelphia")</f>
        <v>Philadelphia</v>
      </c>
      <c r="C23" s="17">
        <f>IFERROR(__xludf.DUMMYFUNCTION("""COMPUTED_VALUE"""),0.5385)</f>
        <v>0.5385</v>
      </c>
      <c r="D23" s="17">
        <f>IFERROR(__xludf.DUMMYFUNCTION("""COMPUTED_VALUE"""),0.6667)</f>
        <v>0.6667</v>
      </c>
      <c r="E23" s="17">
        <f>IFERROR(__xludf.DUMMYFUNCTION("""COMPUTED_VALUE"""),0.6)</f>
        <v>0.6</v>
      </c>
      <c r="F23" s="17">
        <f>IFERROR(__xludf.DUMMYFUNCTION("""COMPUTED_VALUE"""),0.3333)</f>
        <v>0.3333</v>
      </c>
      <c r="G23" s="17">
        <f>IFERROR(__xludf.DUMMYFUNCTION("""COMPUTED_VALUE"""),0.6)</f>
        <v>0.6</v>
      </c>
      <c r="H23" s="17">
        <f>IFERROR(__xludf.DUMMYFUNCTION("""COMPUTED_VALUE"""),0.5968)</f>
        <v>0.5968</v>
      </c>
    </row>
    <row r="24">
      <c r="A24" s="14">
        <f>VLOOKUP(B24,map!B:C,2,false)</f>
        <v>28</v>
      </c>
      <c r="B24" s="15" t="str">
        <f>IFERROR(__xludf.DUMMYFUNCTION("""COMPUTED_VALUE"""),"Atlanta")</f>
        <v>Atlanta</v>
      </c>
      <c r="C24" s="17">
        <f>IFERROR(__xludf.DUMMYFUNCTION("""COMPUTED_VALUE"""),0.52)</f>
        <v>0.52</v>
      </c>
      <c r="D24" s="17">
        <f>IFERROR(__xludf.DUMMYFUNCTION("""COMPUTED_VALUE"""),0.6364)</f>
        <v>0.6364</v>
      </c>
      <c r="E24" s="17">
        <f>IFERROR(__xludf.DUMMYFUNCTION("""COMPUTED_VALUE"""),1.0)</f>
        <v>1</v>
      </c>
      <c r="F24" s="17">
        <f>IFERROR(__xludf.DUMMYFUNCTION("""COMPUTED_VALUE"""),0.5385)</f>
        <v>0.5385</v>
      </c>
      <c r="G24" s="17">
        <f>IFERROR(__xludf.DUMMYFUNCTION("""COMPUTED_VALUE"""),0.5)</f>
        <v>0.5</v>
      </c>
      <c r="H24" s="17">
        <f>IFERROR(__xludf.DUMMYFUNCTION("""COMPUTED_VALUE"""),0.4681)</f>
        <v>0.4681</v>
      </c>
    </row>
    <row r="25">
      <c r="A25" s="14">
        <f>VLOOKUP(B25,map!B:C,2,false)</f>
        <v>2</v>
      </c>
      <c r="B25" s="15" t="str">
        <f>IFERROR(__xludf.DUMMYFUNCTION("""COMPUTED_VALUE"""),"Kansas City")</f>
        <v>Kansas City</v>
      </c>
      <c r="C25" s="17">
        <f>IFERROR(__xludf.DUMMYFUNCTION("""COMPUTED_VALUE"""),0.5185)</f>
        <v>0.5185</v>
      </c>
      <c r="D25" s="17">
        <f>IFERROR(__xludf.DUMMYFUNCTION("""COMPUTED_VALUE"""),0.5625)</f>
        <v>0.5625</v>
      </c>
      <c r="E25" s="17">
        <f>IFERROR(__xludf.DUMMYFUNCTION("""COMPUTED_VALUE"""),0.75)</f>
        <v>0.75</v>
      </c>
      <c r="F25" s="17">
        <f>IFERROR(__xludf.DUMMYFUNCTION("""COMPUTED_VALUE"""),0.3333)</f>
        <v>0.3333</v>
      </c>
      <c r="G25" s="17">
        <f>IFERROR(__xludf.DUMMYFUNCTION("""COMPUTED_VALUE"""),0.6667)</f>
        <v>0.6667</v>
      </c>
      <c r="H25" s="17">
        <f>IFERROR(__xludf.DUMMYFUNCTION("""COMPUTED_VALUE"""),0.5125)</f>
        <v>0.5125</v>
      </c>
    </row>
    <row r="26">
      <c r="A26" s="14">
        <f>VLOOKUP(B26,map!B:C,2,false)</f>
        <v>8</v>
      </c>
      <c r="B26" s="15" t="str">
        <f>IFERROR(__xludf.DUMMYFUNCTION("""COMPUTED_VALUE"""),"Washington")</f>
        <v>Washington</v>
      </c>
      <c r="C26" s="17">
        <f>IFERROR(__xludf.DUMMYFUNCTION("""COMPUTED_VALUE"""),0.5143)</f>
        <v>0.5143</v>
      </c>
      <c r="D26" s="17">
        <f>IFERROR(__xludf.DUMMYFUNCTION("""COMPUTED_VALUE"""),0.4167)</f>
        <v>0.4167</v>
      </c>
      <c r="E26" s="17">
        <f>IFERROR(__xludf.DUMMYFUNCTION("""COMPUTED_VALUE"""),0.0)</f>
        <v>0</v>
      </c>
      <c r="F26" s="17">
        <f>IFERROR(__xludf.DUMMYFUNCTION("""COMPUTED_VALUE"""),0.2857)</f>
        <v>0.2857</v>
      </c>
      <c r="G26" s="17">
        <f>IFERROR(__xludf.DUMMYFUNCTION("""COMPUTED_VALUE"""),0.8571)</f>
        <v>0.8571</v>
      </c>
      <c r="H26" s="17">
        <f>IFERROR(__xludf.DUMMYFUNCTION("""COMPUTED_VALUE"""),0.6327)</f>
        <v>0.6327</v>
      </c>
    </row>
    <row r="27">
      <c r="A27" s="14">
        <f>VLOOKUP(B27,map!B:C,2,false)</f>
        <v>22</v>
      </c>
      <c r="B27" s="15" t="str">
        <f>IFERROR(__xludf.DUMMYFUNCTION("""COMPUTED_VALUE"""),"New England")</f>
        <v>New England</v>
      </c>
      <c r="C27" s="17">
        <f>IFERROR(__xludf.DUMMYFUNCTION("""COMPUTED_VALUE"""),0.5)</f>
        <v>0.5</v>
      </c>
      <c r="D27" s="17">
        <f>IFERROR(__xludf.DUMMYFUNCTION("""COMPUTED_VALUE"""),0.8571)</f>
        <v>0.8571</v>
      </c>
      <c r="E27" s="17">
        <f>IFERROR(__xludf.DUMMYFUNCTION("""COMPUTED_VALUE"""),0.75)</f>
        <v>0.75</v>
      </c>
      <c r="F27" s="17">
        <f>IFERROR(__xludf.DUMMYFUNCTION("""COMPUTED_VALUE"""),0.5455)</f>
        <v>0.5455</v>
      </c>
      <c r="G27" s="17">
        <f>IFERROR(__xludf.DUMMYFUNCTION("""COMPUTED_VALUE"""),0.4444)</f>
        <v>0.4444</v>
      </c>
      <c r="H27" s="17">
        <f>IFERROR(__xludf.DUMMYFUNCTION("""COMPUTED_VALUE"""),0.5833)</f>
        <v>0.5833</v>
      </c>
    </row>
    <row r="28">
      <c r="A28" s="14">
        <f>VLOOKUP(B28,map!B:C,2,false)</f>
        <v>15</v>
      </c>
      <c r="B28" s="15" t="str">
        <f>IFERROR(__xludf.DUMMYFUNCTION("""COMPUTED_VALUE"""),"Green Bay")</f>
        <v>Green Bay</v>
      </c>
      <c r="C28" s="17">
        <f>IFERROR(__xludf.DUMMYFUNCTION("""COMPUTED_VALUE"""),0.5)</f>
        <v>0.5</v>
      </c>
      <c r="D28" s="17">
        <f>IFERROR(__xludf.DUMMYFUNCTION("""COMPUTED_VALUE"""),0.5)</f>
        <v>0.5</v>
      </c>
      <c r="E28" s="17">
        <f>IFERROR(__xludf.DUMMYFUNCTION("""COMPUTED_VALUE"""),0.3333)</f>
        <v>0.3333</v>
      </c>
      <c r="F28" s="17">
        <f>IFERROR(__xludf.DUMMYFUNCTION("""COMPUTED_VALUE"""),0.6429)</f>
        <v>0.6429</v>
      </c>
      <c r="G28" s="17">
        <f>IFERROR(__xludf.DUMMYFUNCTION("""COMPUTED_VALUE"""),0.375)</f>
        <v>0.375</v>
      </c>
      <c r="H28" s="17">
        <f>IFERROR(__xludf.DUMMYFUNCTION("""COMPUTED_VALUE"""),0.5342)</f>
        <v>0.5342</v>
      </c>
    </row>
    <row r="29">
      <c r="A29" s="14">
        <f>VLOOKUP(B29,map!B:C,2,false)</f>
        <v>25</v>
      </c>
      <c r="B29" s="15" t="str">
        <f>IFERROR(__xludf.DUMMYFUNCTION("""COMPUTED_VALUE"""),"San Francisco")</f>
        <v>San Francisco</v>
      </c>
      <c r="C29" s="17">
        <f>IFERROR(__xludf.DUMMYFUNCTION("""COMPUTED_VALUE"""),0.4857)</f>
        <v>0.4857</v>
      </c>
      <c r="D29" s="17">
        <f>IFERROR(__xludf.DUMMYFUNCTION("""COMPUTED_VALUE"""),0.6154)</f>
        <v>0.6154</v>
      </c>
      <c r="E29" s="17">
        <f>IFERROR(__xludf.DUMMYFUNCTION("""COMPUTED_VALUE"""),0.75)</f>
        <v>0.75</v>
      </c>
      <c r="F29" s="17">
        <f>IFERROR(__xludf.DUMMYFUNCTION("""COMPUTED_VALUE"""),0.4348)</f>
        <v>0.4348</v>
      </c>
      <c r="G29" s="17">
        <f>IFERROR(__xludf.DUMMYFUNCTION("""COMPUTED_VALUE"""),0.5833)</f>
        <v>0.5833</v>
      </c>
      <c r="H29" s="17">
        <f>IFERROR(__xludf.DUMMYFUNCTION("""COMPUTED_VALUE"""),0.68)</f>
        <v>0.68</v>
      </c>
    </row>
    <row r="30">
      <c r="A30" s="14">
        <f>VLOOKUP(B30,map!B:C,2,false)</f>
        <v>10</v>
      </c>
      <c r="B30" s="15" t="str">
        <f>IFERROR(__xludf.DUMMYFUNCTION("""COMPUTED_VALUE"""),"Miami")</f>
        <v>Miami</v>
      </c>
      <c r="C30" s="17">
        <f>IFERROR(__xludf.DUMMYFUNCTION("""COMPUTED_VALUE"""),0.4444)</f>
        <v>0.4444</v>
      </c>
      <c r="D30" s="17">
        <f>IFERROR(__xludf.DUMMYFUNCTION("""COMPUTED_VALUE"""),0.5556)</f>
        <v>0.5556</v>
      </c>
      <c r="E30" s="17">
        <f>IFERROR(__xludf.DUMMYFUNCTION("""COMPUTED_VALUE"""),0.75)</f>
        <v>0.75</v>
      </c>
      <c r="F30" s="17">
        <f>IFERROR(__xludf.DUMMYFUNCTION("""COMPUTED_VALUE"""),0.5455)</f>
        <v>0.5455</v>
      </c>
      <c r="G30" s="17">
        <f>IFERROR(__xludf.DUMMYFUNCTION("""COMPUTED_VALUE"""),0.2857)</f>
        <v>0.2857</v>
      </c>
      <c r="H30" s="17">
        <f>IFERROR(__xludf.DUMMYFUNCTION("""COMPUTED_VALUE"""),0.6552)</f>
        <v>0.6552</v>
      </c>
    </row>
    <row r="31">
      <c r="A31" s="14">
        <f>VLOOKUP(B31,map!B:C,2,false)</f>
        <v>7</v>
      </c>
      <c r="B31" s="15" t="str">
        <f>IFERROR(__xludf.DUMMYFUNCTION("""COMPUTED_VALUE"""),"LA Chargers")</f>
        <v>LA Chargers</v>
      </c>
      <c r="C31" s="17">
        <f>IFERROR(__xludf.DUMMYFUNCTION("""COMPUTED_VALUE"""),0.4375)</f>
        <v>0.4375</v>
      </c>
      <c r="D31" s="17">
        <f>IFERROR(__xludf.DUMMYFUNCTION("""COMPUTED_VALUE"""),0.4286)</f>
        <v>0.4286</v>
      </c>
      <c r="E31" s="17">
        <f>IFERROR(__xludf.DUMMYFUNCTION("""COMPUTED_VALUE"""),0.6667)</f>
        <v>0.6667</v>
      </c>
      <c r="F31" s="17">
        <f>IFERROR(__xludf.DUMMYFUNCTION("""COMPUTED_VALUE"""),0.5556)</f>
        <v>0.5556</v>
      </c>
      <c r="G31" s="17">
        <f>IFERROR(__xludf.DUMMYFUNCTION("""COMPUTED_VALUE"""),0.2857)</f>
        <v>0.2857</v>
      </c>
      <c r="H31" s="17">
        <f>IFERROR(__xludf.DUMMYFUNCTION("""COMPUTED_VALUE"""),0.5745)</f>
        <v>0.5745</v>
      </c>
    </row>
    <row r="32">
      <c r="A32" s="14">
        <f>VLOOKUP(B32,map!B:C,2,false)</f>
        <v>1</v>
      </c>
      <c r="B32" s="15" t="str">
        <f>IFERROR(__xludf.DUMMYFUNCTION("""COMPUTED_VALUE"""),"Dallas")</f>
        <v>Dallas</v>
      </c>
      <c r="C32" s="17">
        <f>IFERROR(__xludf.DUMMYFUNCTION("""COMPUTED_VALUE"""),0.4211)</f>
        <v>0.4211</v>
      </c>
      <c r="D32" s="17">
        <f>IFERROR(__xludf.DUMMYFUNCTION("""COMPUTED_VALUE"""),0.3)</f>
        <v>0.3</v>
      </c>
      <c r="E32" s="17">
        <f>IFERROR(__xludf.DUMMYFUNCTION("""COMPUTED_VALUE"""),0.6667)</f>
        <v>0.6667</v>
      </c>
      <c r="F32" s="17">
        <f>IFERROR(__xludf.DUMMYFUNCTION("""COMPUTED_VALUE"""),0.3)</f>
        <v>0.3</v>
      </c>
      <c r="G32" s="17">
        <f>IFERROR(__xludf.DUMMYFUNCTION("""COMPUTED_VALUE"""),0.5556)</f>
        <v>0.5556</v>
      </c>
      <c r="H32" s="17">
        <f>IFERROR(__xludf.DUMMYFUNCTION("""COMPUTED_VALUE"""),0.5789)</f>
        <v>0.5789</v>
      </c>
    </row>
    <row r="33">
      <c r="A33" s="14">
        <f>VLOOKUP(B33,map!B:C,2,false)</f>
        <v>26</v>
      </c>
      <c r="B33" s="15" t="str">
        <f>IFERROR(__xludf.DUMMYFUNCTION("""COMPUTED_VALUE"""),"NY Giants")</f>
        <v>NY Giants</v>
      </c>
      <c r="C33" s="17">
        <f>IFERROR(__xludf.DUMMYFUNCTION("""COMPUTED_VALUE"""),0.4211)</f>
        <v>0.4211</v>
      </c>
      <c r="D33" s="17">
        <f>IFERROR(__xludf.DUMMYFUNCTION("""COMPUTED_VALUE"""),0.2857)</f>
        <v>0.2857</v>
      </c>
      <c r="E33" s="17">
        <f>IFERROR(__xludf.DUMMYFUNCTION("""COMPUTED_VALUE"""),0.0)</f>
        <v>0</v>
      </c>
      <c r="F33" s="17">
        <f>IFERROR(__xludf.DUMMYFUNCTION("""COMPUTED_VALUE"""),0.125)</f>
        <v>0.125</v>
      </c>
      <c r="G33" s="17">
        <f>IFERROR(__xludf.DUMMYFUNCTION("""COMPUTED_VALUE"""),0.6364)</f>
        <v>0.6364</v>
      </c>
      <c r="H33" s="17">
        <f>IFERROR(__xludf.DUMMYFUNCTION("""COMPUTED_VALUE"""),0.4419)</f>
        <v>0.4419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28</v>
      </c>
      <c r="B1" s="11" t="str">
        <f>IFERROR(__xludf.DUMMYFUNCTION("QUERY(IMPORTHTML(""https://www.teamrankings.com/nfl/stat/opponent-yards-per-play?date="" &amp; TEXT(TODAY(),""yyyy-mm-dd""), ""table"", 1, ""en_US""), ""SELECT Col2, Col3, Col4, Col5, Col6, Col7, Col8"")
"),"Team")</f>
        <v>Team</v>
      </c>
      <c r="C1" s="12" t="str">
        <f>IFERROR(__xludf.DUMMYFUNCTION("""COMPUTED_VALUE"""),"2024")</f>
        <v>2024</v>
      </c>
      <c r="D1" s="13" t="str">
        <f>IFERROR(__xludf.DUMMYFUNCTION("""COMPUTED_VALUE"""),"Last 3")</f>
        <v>Last 3</v>
      </c>
      <c r="E1" s="13" t="str">
        <f>IFERROR(__xludf.DUMMYFUNCTION("""COMPUTED_VALUE"""),"Last 1")</f>
        <v>Last 1</v>
      </c>
      <c r="F1" s="12" t="str">
        <f>IFERROR(__xludf.DUMMYFUNCTION("""COMPUTED_VALUE"""),"Home")</f>
        <v>Home</v>
      </c>
      <c r="G1" s="12" t="str">
        <f>IFERROR(__xludf.DUMMYFUNCTION("""COMPUTED_VALUE"""),"Away")</f>
        <v>Away</v>
      </c>
      <c r="H1" s="12" t="str">
        <f>IFERROR(__xludf.DUMMYFUNCTION("""COMPUTED_VALUE"""),"2023")</f>
        <v>2023</v>
      </c>
    </row>
    <row r="2">
      <c r="A2" s="14">
        <f>VLOOKUP(B2,map!B:C,2,false)</f>
        <v>27</v>
      </c>
      <c r="B2" s="15" t="str">
        <f>IFERROR(__xludf.DUMMYFUNCTION("""COMPUTED_VALUE"""),"Denver")</f>
        <v>Denver</v>
      </c>
      <c r="C2" s="16">
        <f>IFERROR(__xludf.DUMMYFUNCTION("""COMPUTED_VALUE"""),4.4)</f>
        <v>4.4</v>
      </c>
      <c r="D2" s="16">
        <f>IFERROR(__xludf.DUMMYFUNCTION("""COMPUTED_VALUE"""),4.5)</f>
        <v>4.5</v>
      </c>
      <c r="E2" s="16">
        <f>IFERROR(__xludf.DUMMYFUNCTION("""COMPUTED_VALUE"""),4.7)</f>
        <v>4.7</v>
      </c>
      <c r="F2" s="16">
        <f>IFERROR(__xludf.DUMMYFUNCTION("""COMPUTED_VALUE"""),4.7)</f>
        <v>4.7</v>
      </c>
      <c r="G2" s="16">
        <f>IFERROR(__xludf.DUMMYFUNCTION("""COMPUTED_VALUE"""),4.2)</f>
        <v>4.2</v>
      </c>
      <c r="H2" s="16">
        <f>IFERROR(__xludf.DUMMYFUNCTION("""COMPUTED_VALUE"""),5.8)</f>
        <v>5.8</v>
      </c>
    </row>
    <row r="3">
      <c r="A3" s="14">
        <f>VLOOKUP(B3,map!B:C,2,false)</f>
        <v>19</v>
      </c>
      <c r="B3" s="15" t="str">
        <f>IFERROR(__xludf.DUMMYFUNCTION("""COMPUTED_VALUE"""),"NY Jets")</f>
        <v>NY Jets</v>
      </c>
      <c r="C3" s="16">
        <f>IFERROR(__xludf.DUMMYFUNCTION("""COMPUTED_VALUE"""),4.7)</f>
        <v>4.7</v>
      </c>
      <c r="D3" s="16">
        <f>IFERROR(__xludf.DUMMYFUNCTION("""COMPUTED_VALUE"""),5.4)</f>
        <v>5.4</v>
      </c>
      <c r="E3" s="16">
        <f>IFERROR(__xludf.DUMMYFUNCTION("""COMPUTED_VALUE"""),3.9)</f>
        <v>3.9</v>
      </c>
      <c r="F3" s="16">
        <f>IFERROR(__xludf.DUMMYFUNCTION("""COMPUTED_VALUE"""),4.2)</f>
        <v>4.2</v>
      </c>
      <c r="G3" s="16">
        <f>IFERROR(__xludf.DUMMYFUNCTION("""COMPUTED_VALUE"""),5.0)</f>
        <v>5</v>
      </c>
      <c r="H3" s="16">
        <f>IFERROR(__xludf.DUMMYFUNCTION("""COMPUTED_VALUE"""),4.6)</f>
        <v>4.6</v>
      </c>
    </row>
    <row r="4">
      <c r="A4" s="14">
        <f>VLOOKUP(B4,map!B:C,2,false)</f>
        <v>32</v>
      </c>
      <c r="B4" s="15" t="str">
        <f>IFERROR(__xludf.DUMMYFUNCTION("""COMPUTED_VALUE"""),"Tennessee")</f>
        <v>Tennessee</v>
      </c>
      <c r="C4" s="16">
        <f>IFERROR(__xludf.DUMMYFUNCTION("""COMPUTED_VALUE"""),4.8)</f>
        <v>4.8</v>
      </c>
      <c r="D4" s="16">
        <f>IFERROR(__xludf.DUMMYFUNCTION("""COMPUTED_VALUE"""),5.3)</f>
        <v>5.3</v>
      </c>
      <c r="E4" s="16">
        <f>IFERROR(__xludf.DUMMYFUNCTION("""COMPUTED_VALUE"""),4.8)</f>
        <v>4.8</v>
      </c>
      <c r="F4" s="16">
        <f>IFERROR(__xludf.DUMMYFUNCTION("""COMPUTED_VALUE"""),5.0)</f>
        <v>5</v>
      </c>
      <c r="G4" s="16">
        <f>IFERROR(__xludf.DUMMYFUNCTION("""COMPUTED_VALUE"""),4.5)</f>
        <v>4.5</v>
      </c>
      <c r="H4" s="16">
        <f>IFERROR(__xludf.DUMMYFUNCTION("""COMPUTED_VALUE"""),5.2)</f>
        <v>5.2</v>
      </c>
    </row>
    <row r="5">
      <c r="A5" s="14">
        <f>VLOOKUP(B5,map!B:C,2,false)</f>
        <v>17</v>
      </c>
      <c r="B5" s="15" t="str">
        <f>IFERROR(__xludf.DUMMYFUNCTION("""COMPUTED_VALUE"""),"Houston")</f>
        <v>Houston</v>
      </c>
      <c r="C5" s="16">
        <f>IFERROR(__xludf.DUMMYFUNCTION("""COMPUTED_VALUE"""),4.8)</f>
        <v>4.8</v>
      </c>
      <c r="D5" s="16">
        <f>IFERROR(__xludf.DUMMYFUNCTION("""COMPUTED_VALUE"""),4.8)</f>
        <v>4.8</v>
      </c>
      <c r="E5" s="16">
        <f>IFERROR(__xludf.DUMMYFUNCTION("""COMPUTED_VALUE"""),4.8)</f>
        <v>4.8</v>
      </c>
      <c r="F5" s="16">
        <f>IFERROR(__xludf.DUMMYFUNCTION("""COMPUTED_VALUE"""),4.5)</f>
        <v>4.5</v>
      </c>
      <c r="G5" s="16">
        <f>IFERROR(__xludf.DUMMYFUNCTION("""COMPUTED_VALUE"""),5.2)</f>
        <v>5.2</v>
      </c>
      <c r="H5" s="16">
        <f>IFERROR(__xludf.DUMMYFUNCTION("""COMPUTED_VALUE"""),5.2)</f>
        <v>5.2</v>
      </c>
    </row>
    <row r="6">
      <c r="A6" s="14">
        <f>VLOOKUP(B6,map!B:C,2,false)</f>
        <v>2</v>
      </c>
      <c r="B6" s="15" t="str">
        <f>IFERROR(__xludf.DUMMYFUNCTION("""COMPUTED_VALUE"""),"Kansas City")</f>
        <v>Kansas City</v>
      </c>
      <c r="C6" s="16">
        <f>IFERROR(__xludf.DUMMYFUNCTION("""COMPUTED_VALUE"""),5.1)</f>
        <v>5.1</v>
      </c>
      <c r="D6" s="16">
        <f>IFERROR(__xludf.DUMMYFUNCTION("""COMPUTED_VALUE"""),4.7)</f>
        <v>4.7</v>
      </c>
      <c r="E6" s="16">
        <f>IFERROR(__xludf.DUMMYFUNCTION("""COMPUTED_VALUE"""),4.1)</f>
        <v>4.1</v>
      </c>
      <c r="F6" s="16">
        <f>IFERROR(__xludf.DUMMYFUNCTION("""COMPUTED_VALUE"""),5.3)</f>
        <v>5.3</v>
      </c>
      <c r="G6" s="16">
        <f>IFERROR(__xludf.DUMMYFUNCTION("""COMPUTED_VALUE"""),4.9)</f>
        <v>4.9</v>
      </c>
      <c r="H6" s="16">
        <f>IFERROR(__xludf.DUMMYFUNCTION("""COMPUTED_VALUE"""),4.8)</f>
        <v>4.8</v>
      </c>
    </row>
    <row r="7">
      <c r="A7" s="14">
        <f>VLOOKUP(B7,map!B:C,2,false)</f>
        <v>12</v>
      </c>
      <c r="B7" s="15" t="str">
        <f>IFERROR(__xludf.DUMMYFUNCTION("""COMPUTED_VALUE"""),"Philadelphia")</f>
        <v>Philadelphia</v>
      </c>
      <c r="C7" s="16">
        <f>IFERROR(__xludf.DUMMYFUNCTION("""COMPUTED_VALUE"""),5.1)</f>
        <v>5.1</v>
      </c>
      <c r="D7" s="16">
        <f>IFERROR(__xludf.DUMMYFUNCTION("""COMPUTED_VALUE"""),3.9)</f>
        <v>3.9</v>
      </c>
      <c r="E7" s="16">
        <f>IFERROR(__xludf.DUMMYFUNCTION("""COMPUTED_VALUE"""),4.8)</f>
        <v>4.8</v>
      </c>
      <c r="F7" s="16">
        <f>IFERROR(__xludf.DUMMYFUNCTION("""COMPUTED_VALUE"""),5.7)</f>
        <v>5.7</v>
      </c>
      <c r="G7" s="16">
        <f>IFERROR(__xludf.DUMMYFUNCTION("""COMPUTED_VALUE"""),4.9)</f>
        <v>4.9</v>
      </c>
      <c r="H7" s="16">
        <f>IFERROR(__xludf.DUMMYFUNCTION("""COMPUTED_VALUE"""),5.5)</f>
        <v>5.5</v>
      </c>
    </row>
    <row r="8">
      <c r="A8" s="14">
        <f>VLOOKUP(B8,map!B:C,2,false)</f>
        <v>29</v>
      </c>
      <c r="B8" s="15" t="str">
        <f>IFERROR(__xludf.DUMMYFUNCTION("""COMPUTED_VALUE"""),"Pittsburgh")</f>
        <v>Pittsburgh</v>
      </c>
      <c r="C8" s="16">
        <f>IFERROR(__xludf.DUMMYFUNCTION("""COMPUTED_VALUE"""),5.2)</f>
        <v>5.2</v>
      </c>
      <c r="D8" s="16">
        <f>IFERROR(__xludf.DUMMYFUNCTION("""COMPUTED_VALUE"""),5.5)</f>
        <v>5.5</v>
      </c>
      <c r="E8" s="16">
        <f>IFERROR(__xludf.DUMMYFUNCTION("""COMPUTED_VALUE"""),5.9)</f>
        <v>5.9</v>
      </c>
      <c r="F8" s="16">
        <f>IFERROR(__xludf.DUMMYFUNCTION("""COMPUTED_VALUE"""),5.3)</f>
        <v>5.3</v>
      </c>
      <c r="G8" s="16">
        <f>IFERROR(__xludf.DUMMYFUNCTION("""COMPUTED_VALUE"""),5.0)</f>
        <v>5</v>
      </c>
      <c r="H8" s="16">
        <f>IFERROR(__xludf.DUMMYFUNCTION("""COMPUTED_VALUE"""),5.4)</f>
        <v>5.4</v>
      </c>
    </row>
    <row r="9">
      <c r="A9" s="14">
        <f>VLOOKUP(B9,map!B:C,2,false)</f>
        <v>3</v>
      </c>
      <c r="B9" s="15" t="str">
        <f>IFERROR(__xludf.DUMMYFUNCTION("""COMPUTED_VALUE"""),"Minnesota")</f>
        <v>Minnesota</v>
      </c>
      <c r="C9" s="16">
        <f>IFERROR(__xludf.DUMMYFUNCTION("""COMPUTED_VALUE"""),5.2)</f>
        <v>5.2</v>
      </c>
      <c r="D9" s="16">
        <f>IFERROR(__xludf.DUMMYFUNCTION("""COMPUTED_VALUE"""),5.3)</f>
        <v>5.3</v>
      </c>
      <c r="E9" s="16">
        <f>IFERROR(__xludf.DUMMYFUNCTION("""COMPUTED_VALUE"""),5.8)</f>
        <v>5.8</v>
      </c>
      <c r="F9" s="16">
        <f>IFERROR(__xludf.DUMMYFUNCTION("""COMPUTED_VALUE"""),5.8)</f>
        <v>5.8</v>
      </c>
      <c r="G9" s="16">
        <f>IFERROR(__xludf.DUMMYFUNCTION("""COMPUTED_VALUE"""),4.8)</f>
        <v>4.8</v>
      </c>
      <c r="H9" s="16">
        <f>IFERROR(__xludf.DUMMYFUNCTION("""COMPUTED_VALUE"""),5.2)</f>
        <v>5.2</v>
      </c>
    </row>
    <row r="10">
      <c r="A10" s="14">
        <f>VLOOKUP(B10,map!B:C,2,false)</f>
        <v>31</v>
      </c>
      <c r="B10" s="15" t="str">
        <f>IFERROR(__xludf.DUMMYFUNCTION("""COMPUTED_VALUE"""),"Chicago")</f>
        <v>Chicago</v>
      </c>
      <c r="C10" s="16">
        <f>IFERROR(__xludf.DUMMYFUNCTION("""COMPUTED_VALUE"""),5.3)</f>
        <v>5.3</v>
      </c>
      <c r="D10" s="16">
        <f>IFERROR(__xludf.DUMMYFUNCTION("""COMPUTED_VALUE"""),5.5)</f>
        <v>5.5</v>
      </c>
      <c r="E10" s="16">
        <f>IFERROR(__xludf.DUMMYFUNCTION("""COMPUTED_VALUE"""),6.7)</f>
        <v>6.7</v>
      </c>
      <c r="F10" s="16">
        <f>IFERROR(__xludf.DUMMYFUNCTION("""COMPUTED_VALUE"""),4.8)</f>
        <v>4.8</v>
      </c>
      <c r="G10" s="16">
        <f>IFERROR(__xludf.DUMMYFUNCTION("""COMPUTED_VALUE"""),5.6)</f>
        <v>5.6</v>
      </c>
      <c r="H10" s="16">
        <f>IFERROR(__xludf.DUMMYFUNCTION("""COMPUTED_VALUE"""),5.3)</f>
        <v>5.3</v>
      </c>
    </row>
    <row r="11">
      <c r="A11" s="14">
        <f>VLOOKUP(B11,map!B:C,2,false)</f>
        <v>24</v>
      </c>
      <c r="B11" s="15" t="str">
        <f>IFERROR(__xludf.DUMMYFUNCTION("""COMPUTED_VALUE"""),"Las Vegas")</f>
        <v>Las Vegas</v>
      </c>
      <c r="C11" s="16">
        <f>IFERROR(__xludf.DUMMYFUNCTION("""COMPUTED_VALUE"""),5.3)</f>
        <v>5.3</v>
      </c>
      <c r="D11" s="16">
        <f>IFERROR(__xludf.DUMMYFUNCTION("""COMPUTED_VALUE"""),4.9)</f>
        <v>4.9</v>
      </c>
      <c r="E11" s="16">
        <f>IFERROR(__xludf.DUMMYFUNCTION("""COMPUTED_VALUE"""),4.9)</f>
        <v>4.9</v>
      </c>
      <c r="F11" s="16">
        <f>IFERROR(__xludf.DUMMYFUNCTION("""COMPUTED_VALUE"""),5.1)</f>
        <v>5.1</v>
      </c>
      <c r="G11" s="16">
        <f>IFERROR(__xludf.DUMMYFUNCTION("""COMPUTED_VALUE"""),5.5)</f>
        <v>5.5</v>
      </c>
      <c r="H11" s="16">
        <f>IFERROR(__xludf.DUMMYFUNCTION("""COMPUTED_VALUE"""),5.2)</f>
        <v>5.2</v>
      </c>
    </row>
    <row r="12">
      <c r="A12" s="14">
        <f>VLOOKUP(B12,map!B:C,2,false)</f>
        <v>25</v>
      </c>
      <c r="B12" s="15" t="str">
        <f>IFERROR(__xludf.DUMMYFUNCTION("""COMPUTED_VALUE"""),"San Francisco")</f>
        <v>San Francisco</v>
      </c>
      <c r="C12" s="16">
        <f>IFERROR(__xludf.DUMMYFUNCTION("""COMPUTED_VALUE"""),5.3)</f>
        <v>5.3</v>
      </c>
      <c r="D12" s="16">
        <f>IFERROR(__xludf.DUMMYFUNCTION("""COMPUTED_VALUE"""),4.9)</f>
        <v>4.9</v>
      </c>
      <c r="E12" s="16">
        <f>IFERROR(__xludf.DUMMYFUNCTION("""COMPUTED_VALUE"""),4.9)</f>
        <v>4.9</v>
      </c>
      <c r="F12" s="16">
        <f>IFERROR(__xludf.DUMMYFUNCTION("""COMPUTED_VALUE"""),5.0)</f>
        <v>5</v>
      </c>
      <c r="G12" s="16">
        <f>IFERROR(__xludf.DUMMYFUNCTION("""COMPUTED_VALUE"""),5.8)</f>
        <v>5.8</v>
      </c>
      <c r="H12" s="16">
        <f>IFERROR(__xludf.DUMMYFUNCTION("""COMPUTED_VALUE"""),5.1)</f>
        <v>5.1</v>
      </c>
    </row>
    <row r="13">
      <c r="A13" s="14">
        <f>VLOOKUP(B13,map!B:C,2,false)</f>
        <v>11</v>
      </c>
      <c r="B13" s="15" t="str">
        <f>IFERROR(__xludf.DUMMYFUNCTION("""COMPUTED_VALUE"""),"Buffalo")</f>
        <v>Buffalo</v>
      </c>
      <c r="C13" s="16">
        <f>IFERROR(__xludf.DUMMYFUNCTION("""COMPUTED_VALUE"""),5.3)</f>
        <v>5.3</v>
      </c>
      <c r="D13" s="16">
        <f>IFERROR(__xludf.DUMMYFUNCTION("""COMPUTED_VALUE"""),5.3)</f>
        <v>5.3</v>
      </c>
      <c r="E13" s="16">
        <f>IFERROR(__xludf.DUMMYFUNCTION("""COMPUTED_VALUE"""),5.0)</f>
        <v>5</v>
      </c>
      <c r="F13" s="16">
        <f>IFERROR(__xludf.DUMMYFUNCTION("""COMPUTED_VALUE"""),4.1)</f>
        <v>4.1</v>
      </c>
      <c r="G13" s="16">
        <f>IFERROR(__xludf.DUMMYFUNCTION("""COMPUTED_VALUE"""),6.1)</f>
        <v>6.1</v>
      </c>
      <c r="H13" s="16">
        <f>IFERROR(__xludf.DUMMYFUNCTION("""COMPUTED_VALUE"""),5.3)</f>
        <v>5.3</v>
      </c>
    </row>
    <row r="14">
      <c r="A14" s="14">
        <f>VLOOKUP(B14,map!B:C,2,false)</f>
        <v>7</v>
      </c>
      <c r="B14" s="15" t="str">
        <f>IFERROR(__xludf.DUMMYFUNCTION("""COMPUTED_VALUE"""),"LA Chargers")</f>
        <v>LA Chargers</v>
      </c>
      <c r="C14" s="16">
        <f>IFERROR(__xludf.DUMMYFUNCTION("""COMPUTED_VALUE"""),5.3)</f>
        <v>5.3</v>
      </c>
      <c r="D14" s="16">
        <f>IFERROR(__xludf.DUMMYFUNCTION("""COMPUTED_VALUE"""),5.7)</f>
        <v>5.7</v>
      </c>
      <c r="E14" s="16">
        <f>IFERROR(__xludf.DUMMYFUNCTION("""COMPUTED_VALUE"""),5.4)</f>
        <v>5.4</v>
      </c>
      <c r="F14" s="16">
        <f>IFERROR(__xludf.DUMMYFUNCTION("""COMPUTED_VALUE"""),5.4)</f>
        <v>5.4</v>
      </c>
      <c r="G14" s="16">
        <f>IFERROR(__xludf.DUMMYFUNCTION("""COMPUTED_VALUE"""),5.2)</f>
        <v>5.2</v>
      </c>
      <c r="H14" s="16">
        <f>IFERROR(__xludf.DUMMYFUNCTION("""COMPUTED_VALUE"""),5.5)</f>
        <v>5.5</v>
      </c>
    </row>
    <row r="15">
      <c r="A15" s="14">
        <f>VLOOKUP(B15,map!B:C,2,false)</f>
        <v>10</v>
      </c>
      <c r="B15" s="15" t="str">
        <f>IFERROR(__xludf.DUMMYFUNCTION("""COMPUTED_VALUE"""),"Miami")</f>
        <v>Miami</v>
      </c>
      <c r="C15" s="16">
        <f>IFERROR(__xludf.DUMMYFUNCTION("""COMPUTED_VALUE"""),5.3)</f>
        <v>5.3</v>
      </c>
      <c r="D15" s="16">
        <f>IFERROR(__xludf.DUMMYFUNCTION("""COMPUTED_VALUE"""),5.5)</f>
        <v>5.5</v>
      </c>
      <c r="E15" s="16">
        <f>IFERROR(__xludf.DUMMYFUNCTION("""COMPUTED_VALUE"""),6.3)</f>
        <v>6.3</v>
      </c>
      <c r="F15" s="16">
        <f>IFERROR(__xludf.DUMMYFUNCTION("""COMPUTED_VALUE"""),5.2)</f>
        <v>5.2</v>
      </c>
      <c r="G15" s="16">
        <f>IFERROR(__xludf.DUMMYFUNCTION("""COMPUTED_VALUE"""),5.4)</f>
        <v>5.4</v>
      </c>
      <c r="H15" s="16">
        <f>IFERROR(__xludf.DUMMYFUNCTION("""COMPUTED_VALUE"""),5.1)</f>
        <v>5.1</v>
      </c>
    </row>
    <row r="16">
      <c r="A16" s="14">
        <f>VLOOKUP(B16,map!B:C,2,false)</f>
        <v>4</v>
      </c>
      <c r="B16" s="15" t="str">
        <f>IFERROR(__xludf.DUMMYFUNCTION("""COMPUTED_VALUE"""),"Cincinnati")</f>
        <v>Cincinnati</v>
      </c>
      <c r="C16" s="16">
        <f>IFERROR(__xludf.DUMMYFUNCTION("""COMPUTED_VALUE"""),5.3)</f>
        <v>5.3</v>
      </c>
      <c r="D16" s="16">
        <f>IFERROR(__xludf.DUMMYFUNCTION("""COMPUTED_VALUE"""),5.0)</f>
        <v>5</v>
      </c>
      <c r="E16" s="16">
        <f>IFERROR(__xludf.DUMMYFUNCTION("""COMPUTED_VALUE"""),6.7)</f>
        <v>6.7</v>
      </c>
      <c r="F16" s="16">
        <f>IFERROR(__xludf.DUMMYFUNCTION("""COMPUTED_VALUE"""),6.1)</f>
        <v>6.1</v>
      </c>
      <c r="G16" s="16">
        <f>IFERROR(__xludf.DUMMYFUNCTION("""COMPUTED_VALUE"""),4.7)</f>
        <v>4.7</v>
      </c>
      <c r="H16" s="16">
        <f>IFERROR(__xludf.DUMMYFUNCTION("""COMPUTED_VALUE"""),6.0)</f>
        <v>6</v>
      </c>
    </row>
    <row r="17">
      <c r="A17" s="14">
        <f>VLOOKUP(B17,map!B:C,2,false)</f>
        <v>15</v>
      </c>
      <c r="B17" s="15" t="str">
        <f>IFERROR(__xludf.DUMMYFUNCTION("""COMPUTED_VALUE"""),"Green Bay")</f>
        <v>Green Bay</v>
      </c>
      <c r="C17" s="16">
        <f>IFERROR(__xludf.DUMMYFUNCTION("""COMPUTED_VALUE"""),5.4)</f>
        <v>5.4</v>
      </c>
      <c r="D17" s="16">
        <f>IFERROR(__xludf.DUMMYFUNCTION("""COMPUTED_VALUE"""),5.3)</f>
        <v>5.3</v>
      </c>
      <c r="E17" s="16">
        <f>IFERROR(__xludf.DUMMYFUNCTION("""COMPUTED_VALUE"""),7.0)</f>
        <v>7</v>
      </c>
      <c r="F17" s="16">
        <f>IFERROR(__xludf.DUMMYFUNCTION("""COMPUTED_VALUE"""),5.3)</f>
        <v>5.3</v>
      </c>
      <c r="G17" s="16">
        <f>IFERROR(__xludf.DUMMYFUNCTION("""COMPUTED_VALUE"""),5.4)</f>
        <v>5.4</v>
      </c>
      <c r="H17" s="16">
        <f>IFERROR(__xludf.DUMMYFUNCTION("""COMPUTED_VALUE"""),5.4)</f>
        <v>5.4</v>
      </c>
    </row>
    <row r="18">
      <c r="A18" s="14">
        <f>VLOOKUP(B18,map!B:C,2,false)</f>
        <v>28</v>
      </c>
      <c r="B18" s="15" t="str">
        <f>IFERROR(__xludf.DUMMYFUNCTION("""COMPUTED_VALUE"""),"Atlanta")</f>
        <v>Atlanta</v>
      </c>
      <c r="C18" s="16">
        <f>IFERROR(__xludf.DUMMYFUNCTION("""COMPUTED_VALUE"""),5.4)</f>
        <v>5.4</v>
      </c>
      <c r="D18" s="16">
        <f>IFERROR(__xludf.DUMMYFUNCTION("""COMPUTED_VALUE"""),5.8)</f>
        <v>5.8</v>
      </c>
      <c r="E18" s="16">
        <f>IFERROR(__xludf.DUMMYFUNCTION("""COMPUTED_VALUE"""),6.0)</f>
        <v>6</v>
      </c>
      <c r="F18" s="16">
        <f>IFERROR(__xludf.DUMMYFUNCTION("""COMPUTED_VALUE"""),5.2)</f>
        <v>5.2</v>
      </c>
      <c r="G18" s="16">
        <f>IFERROR(__xludf.DUMMYFUNCTION("""COMPUTED_VALUE"""),5.6)</f>
        <v>5.6</v>
      </c>
      <c r="H18" s="16">
        <f>IFERROR(__xludf.DUMMYFUNCTION("""COMPUTED_VALUE"""),5.0)</f>
        <v>5</v>
      </c>
    </row>
    <row r="19">
      <c r="A19" s="14">
        <f>VLOOKUP(B19,map!B:C,2,false)</f>
        <v>16</v>
      </c>
      <c r="B19" s="15" t="str">
        <f>IFERROR(__xludf.DUMMYFUNCTION("""COMPUTED_VALUE"""),"Cleveland")</f>
        <v>Cleveland</v>
      </c>
      <c r="C19" s="16">
        <f>IFERROR(__xludf.DUMMYFUNCTION("""COMPUTED_VALUE"""),5.4)</f>
        <v>5.4</v>
      </c>
      <c r="D19" s="16">
        <f>IFERROR(__xludf.DUMMYFUNCTION("""COMPUTED_VALUE"""),5.5)</f>
        <v>5.5</v>
      </c>
      <c r="E19" s="16">
        <f>IFERROR(__xludf.DUMMYFUNCTION("""COMPUTED_VALUE"""),6.2)</f>
        <v>6.2</v>
      </c>
      <c r="F19" s="16">
        <f>IFERROR(__xludf.DUMMYFUNCTION("""COMPUTED_VALUE"""),5.0)</f>
        <v>5</v>
      </c>
      <c r="G19" s="16">
        <f>IFERROR(__xludf.DUMMYFUNCTION("""COMPUTED_VALUE"""),5.9)</f>
        <v>5.9</v>
      </c>
      <c r="H19" s="16">
        <f>IFERROR(__xludf.DUMMYFUNCTION("""COMPUTED_VALUE"""),4.7)</f>
        <v>4.7</v>
      </c>
    </row>
    <row r="20">
      <c r="A20" s="14">
        <f>VLOOKUP(B20,map!B:C,2,false)</f>
        <v>26</v>
      </c>
      <c r="B20" s="15" t="str">
        <f>IFERROR(__xludf.DUMMYFUNCTION("""COMPUTED_VALUE"""),"NY Giants")</f>
        <v>NY Giants</v>
      </c>
      <c r="C20" s="16">
        <f>IFERROR(__xludf.DUMMYFUNCTION("""COMPUTED_VALUE"""),5.4)</f>
        <v>5.4</v>
      </c>
      <c r="D20" s="16">
        <f>IFERROR(__xludf.DUMMYFUNCTION("""COMPUTED_VALUE"""),5.6)</f>
        <v>5.6</v>
      </c>
      <c r="E20" s="16">
        <f>IFERROR(__xludf.DUMMYFUNCTION("""COMPUTED_VALUE"""),5.2)</f>
        <v>5.2</v>
      </c>
      <c r="F20" s="16">
        <f>IFERROR(__xludf.DUMMYFUNCTION("""COMPUTED_VALUE"""),5.7)</f>
        <v>5.7</v>
      </c>
      <c r="G20" s="16">
        <f>IFERROR(__xludf.DUMMYFUNCTION("""COMPUTED_VALUE"""),5.1)</f>
        <v>5.1</v>
      </c>
      <c r="H20" s="16">
        <f>IFERROR(__xludf.DUMMYFUNCTION("""COMPUTED_VALUE"""),5.6)</f>
        <v>5.6</v>
      </c>
    </row>
    <row r="21">
      <c r="A21" s="14">
        <f>VLOOKUP(B21,map!B:C,2,false)</f>
        <v>5</v>
      </c>
      <c r="B21" s="15" t="str">
        <f>IFERROR(__xludf.DUMMYFUNCTION("""COMPUTED_VALUE"""),"Detroit")</f>
        <v>Detroit</v>
      </c>
      <c r="C21" s="16">
        <f>IFERROR(__xludf.DUMMYFUNCTION("""COMPUTED_VALUE"""),5.6)</f>
        <v>5.6</v>
      </c>
      <c r="D21" s="16">
        <f>IFERROR(__xludf.DUMMYFUNCTION("""COMPUTED_VALUE"""),5.6)</f>
        <v>5.6</v>
      </c>
      <c r="E21" s="16">
        <f>IFERROR(__xludf.DUMMYFUNCTION("""COMPUTED_VALUE"""),5.9)</f>
        <v>5.9</v>
      </c>
      <c r="F21" s="16">
        <f>IFERROR(__xludf.DUMMYFUNCTION("""COMPUTED_VALUE"""),5.7)</f>
        <v>5.7</v>
      </c>
      <c r="G21" s="16">
        <f>IFERROR(__xludf.DUMMYFUNCTION("""COMPUTED_VALUE"""),5.4)</f>
        <v>5.4</v>
      </c>
      <c r="H21" s="16">
        <f>IFERROR(__xludf.DUMMYFUNCTION("""COMPUTED_VALUE"""),5.7)</f>
        <v>5.7</v>
      </c>
    </row>
    <row r="22">
      <c r="A22" s="14">
        <f>VLOOKUP(B22,map!B:C,2,false)</f>
        <v>13</v>
      </c>
      <c r="B22" s="15" t="str">
        <f>IFERROR(__xludf.DUMMYFUNCTION("""COMPUTED_VALUE"""),"Seattle")</f>
        <v>Seattle</v>
      </c>
      <c r="C22" s="16">
        <f>IFERROR(__xludf.DUMMYFUNCTION("""COMPUTED_VALUE"""),5.6)</f>
        <v>5.6</v>
      </c>
      <c r="D22" s="16">
        <f>IFERROR(__xludf.DUMMYFUNCTION("""COMPUTED_VALUE"""),6.5)</f>
        <v>6.5</v>
      </c>
      <c r="E22" s="16">
        <f>IFERROR(__xludf.DUMMYFUNCTION("""COMPUTED_VALUE"""),6.4)</f>
        <v>6.4</v>
      </c>
      <c r="F22" s="16">
        <f>IFERROR(__xludf.DUMMYFUNCTION("""COMPUTED_VALUE"""),5.5)</f>
        <v>5.5</v>
      </c>
      <c r="G22" s="16">
        <f>IFERROR(__xludf.DUMMYFUNCTION("""COMPUTED_VALUE"""),5.7)</f>
        <v>5.7</v>
      </c>
      <c r="H22" s="16">
        <f>IFERROR(__xludf.DUMMYFUNCTION("""COMPUTED_VALUE"""),5.5)</f>
        <v>5.5</v>
      </c>
    </row>
    <row r="23">
      <c r="A23" s="14">
        <f>VLOOKUP(B23,map!B:C,2,false)</f>
        <v>20</v>
      </c>
      <c r="B23" s="15" t="str">
        <f>IFERROR(__xludf.DUMMYFUNCTION("""COMPUTED_VALUE"""),"Indianapolis")</f>
        <v>Indianapolis</v>
      </c>
      <c r="C23" s="16">
        <f>IFERROR(__xludf.DUMMYFUNCTION("""COMPUTED_VALUE"""),5.6)</f>
        <v>5.6</v>
      </c>
      <c r="D23" s="16">
        <f>IFERROR(__xludf.DUMMYFUNCTION("""COMPUTED_VALUE"""),4.9)</f>
        <v>4.9</v>
      </c>
      <c r="E23" s="16">
        <f>IFERROR(__xludf.DUMMYFUNCTION("""COMPUTED_VALUE"""),5.3)</f>
        <v>5.3</v>
      </c>
      <c r="F23" s="16">
        <f>IFERROR(__xludf.DUMMYFUNCTION("""COMPUTED_VALUE"""),5.2)</f>
        <v>5.2</v>
      </c>
      <c r="G23" s="16">
        <f>IFERROR(__xludf.DUMMYFUNCTION("""COMPUTED_VALUE"""),6.0)</f>
        <v>6</v>
      </c>
      <c r="H23" s="16">
        <f>IFERROR(__xludf.DUMMYFUNCTION("""COMPUTED_VALUE"""),5.2)</f>
        <v>5.2</v>
      </c>
    </row>
    <row r="24">
      <c r="A24" s="14">
        <f>VLOOKUP(B24,map!B:C,2,false)</f>
        <v>8</v>
      </c>
      <c r="B24" s="15" t="str">
        <f>IFERROR(__xludf.DUMMYFUNCTION("""COMPUTED_VALUE"""),"Washington")</f>
        <v>Washington</v>
      </c>
      <c r="C24" s="16">
        <f>IFERROR(__xludf.DUMMYFUNCTION("""COMPUTED_VALUE"""),5.7)</f>
        <v>5.7</v>
      </c>
      <c r="D24" s="16">
        <f>IFERROR(__xludf.DUMMYFUNCTION("""COMPUTED_VALUE"""),5.8)</f>
        <v>5.8</v>
      </c>
      <c r="E24" s="16">
        <f>IFERROR(__xludf.DUMMYFUNCTION("""COMPUTED_VALUE"""),5.1)</f>
        <v>5.1</v>
      </c>
      <c r="F24" s="16">
        <f>IFERROR(__xludf.DUMMYFUNCTION("""COMPUTED_VALUE"""),4.7)</f>
        <v>4.7</v>
      </c>
      <c r="G24" s="16">
        <f>IFERROR(__xludf.DUMMYFUNCTION("""COMPUTED_VALUE"""),6.6)</f>
        <v>6.6</v>
      </c>
      <c r="H24" s="16">
        <f>IFERROR(__xludf.DUMMYFUNCTION("""COMPUTED_VALUE"""),5.9)</f>
        <v>5.9</v>
      </c>
    </row>
    <row r="25">
      <c r="A25" s="14">
        <f>VLOOKUP(B25,map!B:C,2,false)</f>
        <v>22</v>
      </c>
      <c r="B25" s="15" t="str">
        <f>IFERROR(__xludf.DUMMYFUNCTION("""COMPUTED_VALUE"""),"New England")</f>
        <v>New England</v>
      </c>
      <c r="C25" s="16">
        <f>IFERROR(__xludf.DUMMYFUNCTION("""COMPUTED_VALUE"""),5.7)</f>
        <v>5.7</v>
      </c>
      <c r="D25" s="16">
        <f>IFERROR(__xludf.DUMMYFUNCTION("""COMPUTED_VALUE"""),6.0)</f>
        <v>6</v>
      </c>
      <c r="E25" s="16">
        <f>IFERROR(__xludf.DUMMYFUNCTION("""COMPUTED_VALUE"""),5.9)</f>
        <v>5.9</v>
      </c>
      <c r="F25" s="16">
        <f>IFERROR(__xludf.DUMMYFUNCTION("""COMPUTED_VALUE"""),5.5)</f>
        <v>5.5</v>
      </c>
      <c r="G25" s="16">
        <f>IFERROR(__xludf.DUMMYFUNCTION("""COMPUTED_VALUE"""),6.0)</f>
        <v>6</v>
      </c>
      <c r="H25" s="16">
        <f>IFERROR(__xludf.DUMMYFUNCTION("""COMPUTED_VALUE"""),4.7)</f>
        <v>4.7</v>
      </c>
    </row>
    <row r="26">
      <c r="A26" s="14">
        <f>VLOOKUP(B26,map!B:C,2,false)</f>
        <v>30</v>
      </c>
      <c r="B26" s="15" t="str">
        <f>IFERROR(__xludf.DUMMYFUNCTION("""COMPUTED_VALUE"""),"Baltimore")</f>
        <v>Baltimore</v>
      </c>
      <c r="C26" s="16">
        <f>IFERROR(__xludf.DUMMYFUNCTION("""COMPUTED_VALUE"""),5.8)</f>
        <v>5.8</v>
      </c>
      <c r="D26" s="16">
        <f>IFERROR(__xludf.DUMMYFUNCTION("""COMPUTED_VALUE"""),5.9)</f>
        <v>5.9</v>
      </c>
      <c r="E26" s="16">
        <f>IFERROR(__xludf.DUMMYFUNCTION("""COMPUTED_VALUE"""),6.1)</f>
        <v>6.1</v>
      </c>
      <c r="F26" s="16">
        <f>IFERROR(__xludf.DUMMYFUNCTION("""COMPUTED_VALUE"""),4.6)</f>
        <v>4.6</v>
      </c>
      <c r="G26" s="16">
        <f>IFERROR(__xludf.DUMMYFUNCTION("""COMPUTED_VALUE"""),6.3)</f>
        <v>6.3</v>
      </c>
      <c r="H26" s="16">
        <f>IFERROR(__xludf.DUMMYFUNCTION("""COMPUTED_VALUE"""),4.6)</f>
        <v>4.6</v>
      </c>
    </row>
    <row r="27">
      <c r="A27" s="14">
        <f>VLOOKUP(B27,map!B:C,2,false)</f>
        <v>18</v>
      </c>
      <c r="B27" s="15" t="str">
        <f>IFERROR(__xludf.DUMMYFUNCTION("""COMPUTED_VALUE"""),"LA Rams")</f>
        <v>LA Rams</v>
      </c>
      <c r="C27" s="16">
        <f>IFERROR(__xludf.DUMMYFUNCTION("""COMPUTED_VALUE"""),5.8)</f>
        <v>5.8</v>
      </c>
      <c r="D27" s="16">
        <f>IFERROR(__xludf.DUMMYFUNCTION("""COMPUTED_VALUE"""),5.0)</f>
        <v>5</v>
      </c>
      <c r="E27" s="16">
        <f>IFERROR(__xludf.DUMMYFUNCTION("""COMPUTED_VALUE"""),5.5)</f>
        <v>5.5</v>
      </c>
      <c r="F27" s="16">
        <f>IFERROR(__xludf.DUMMYFUNCTION("""COMPUTED_VALUE"""),5.4)</f>
        <v>5.4</v>
      </c>
      <c r="G27" s="16">
        <f>IFERROR(__xludf.DUMMYFUNCTION("""COMPUTED_VALUE"""),6.3)</f>
        <v>6.3</v>
      </c>
      <c r="H27" s="16">
        <f>IFERROR(__xludf.DUMMYFUNCTION("""COMPUTED_VALUE"""),5.4)</f>
        <v>5.4</v>
      </c>
    </row>
    <row r="28">
      <c r="A28" s="14">
        <f>VLOOKUP(B28,map!B:C,2,false)</f>
        <v>23</v>
      </c>
      <c r="B28" s="15" t="str">
        <f>IFERROR(__xludf.DUMMYFUNCTION("""COMPUTED_VALUE"""),"Carolina")</f>
        <v>Carolina</v>
      </c>
      <c r="C28" s="16">
        <f>IFERROR(__xludf.DUMMYFUNCTION("""COMPUTED_VALUE"""),6.0)</f>
        <v>6</v>
      </c>
      <c r="D28" s="16">
        <f>IFERROR(__xludf.DUMMYFUNCTION("""COMPUTED_VALUE"""),6.1)</f>
        <v>6.1</v>
      </c>
      <c r="E28" s="16">
        <f>IFERROR(__xludf.DUMMYFUNCTION("""COMPUTED_VALUE"""),5.5)</f>
        <v>5.5</v>
      </c>
      <c r="F28" s="16">
        <f>IFERROR(__xludf.DUMMYFUNCTION("""COMPUTED_VALUE"""),5.9)</f>
        <v>5.9</v>
      </c>
      <c r="G28" s="16">
        <f>IFERROR(__xludf.DUMMYFUNCTION("""COMPUTED_VALUE"""),6.0)</f>
        <v>6</v>
      </c>
      <c r="H28" s="16">
        <f>IFERROR(__xludf.DUMMYFUNCTION("""COMPUTED_VALUE"""),4.9)</f>
        <v>4.9</v>
      </c>
    </row>
    <row r="29">
      <c r="A29" s="14">
        <f>VLOOKUP(B29,map!B:C,2,false)</f>
        <v>21</v>
      </c>
      <c r="B29" s="15" t="str">
        <f>IFERROR(__xludf.DUMMYFUNCTION("""COMPUTED_VALUE"""),"Arizona")</f>
        <v>Arizona</v>
      </c>
      <c r="C29" s="16">
        <f>IFERROR(__xludf.DUMMYFUNCTION("""COMPUTED_VALUE"""),6.0)</f>
        <v>6</v>
      </c>
      <c r="D29" s="16">
        <f>IFERROR(__xludf.DUMMYFUNCTION("""COMPUTED_VALUE"""),6.1)</f>
        <v>6.1</v>
      </c>
      <c r="E29" s="16">
        <f>IFERROR(__xludf.DUMMYFUNCTION("""COMPUTED_VALUE"""),5.9)</f>
        <v>5.9</v>
      </c>
      <c r="F29" s="16">
        <f>IFERROR(__xludf.DUMMYFUNCTION("""COMPUTED_VALUE"""),5.8)</f>
        <v>5.8</v>
      </c>
      <c r="G29" s="16">
        <f>IFERROR(__xludf.DUMMYFUNCTION("""COMPUTED_VALUE"""),6.1)</f>
        <v>6.1</v>
      </c>
      <c r="H29" s="16">
        <f>IFERROR(__xludf.DUMMYFUNCTION("""COMPUTED_VALUE"""),5.7)</f>
        <v>5.7</v>
      </c>
    </row>
    <row r="30">
      <c r="A30" s="14">
        <f>VLOOKUP(B30,map!B:C,2,false)</f>
        <v>14</v>
      </c>
      <c r="B30" s="15" t="str">
        <f>IFERROR(__xludf.DUMMYFUNCTION("""COMPUTED_VALUE"""),"Tampa Bay")</f>
        <v>Tampa Bay</v>
      </c>
      <c r="C30" s="16">
        <f>IFERROR(__xludf.DUMMYFUNCTION("""COMPUTED_VALUE"""),6.0)</f>
        <v>6</v>
      </c>
      <c r="D30" s="16">
        <f>IFERROR(__xludf.DUMMYFUNCTION("""COMPUTED_VALUE"""),6.7)</f>
        <v>6.7</v>
      </c>
      <c r="E30" s="16">
        <f>IFERROR(__xludf.DUMMYFUNCTION("""COMPUTED_VALUE"""),6.6)</f>
        <v>6.6</v>
      </c>
      <c r="F30" s="16">
        <f>IFERROR(__xludf.DUMMYFUNCTION("""COMPUTED_VALUE"""),6.1)</f>
        <v>6.1</v>
      </c>
      <c r="G30" s="16">
        <f>IFERROR(__xludf.DUMMYFUNCTION("""COMPUTED_VALUE"""),5.7)</f>
        <v>5.7</v>
      </c>
      <c r="H30" s="16">
        <f>IFERROR(__xludf.DUMMYFUNCTION("""COMPUTED_VALUE"""),5.4)</f>
        <v>5.4</v>
      </c>
    </row>
    <row r="31">
      <c r="A31" s="14">
        <f>VLOOKUP(B31,map!B:C,2,false)</f>
        <v>1</v>
      </c>
      <c r="B31" s="15" t="str">
        <f>IFERROR(__xludf.DUMMYFUNCTION("""COMPUTED_VALUE"""),"Dallas")</f>
        <v>Dallas</v>
      </c>
      <c r="C31" s="16">
        <f>IFERROR(__xludf.DUMMYFUNCTION("""COMPUTED_VALUE"""),6.0)</f>
        <v>6</v>
      </c>
      <c r="D31" s="16">
        <f>IFERROR(__xludf.DUMMYFUNCTION("""COMPUTED_VALUE"""),6.3)</f>
        <v>6.3</v>
      </c>
      <c r="E31" s="16">
        <f>IFERROR(__xludf.DUMMYFUNCTION("""COMPUTED_VALUE"""),7.3)</f>
        <v>7.3</v>
      </c>
      <c r="F31" s="16">
        <f>IFERROR(__xludf.DUMMYFUNCTION("""COMPUTED_VALUE"""),7.6)</f>
        <v>7.6</v>
      </c>
      <c r="G31" s="16">
        <f>IFERROR(__xludf.DUMMYFUNCTION("""COMPUTED_VALUE"""),4.8)</f>
        <v>4.8</v>
      </c>
      <c r="H31" s="16">
        <f>IFERROR(__xludf.DUMMYFUNCTION("""COMPUTED_VALUE"""),5.2)</f>
        <v>5.2</v>
      </c>
    </row>
    <row r="32">
      <c r="A32" s="14">
        <f>VLOOKUP(B32,map!B:C,2,false)</f>
        <v>6</v>
      </c>
      <c r="B32" s="15" t="str">
        <f>IFERROR(__xludf.DUMMYFUNCTION("""COMPUTED_VALUE"""),"Jacksonville")</f>
        <v>Jacksonville</v>
      </c>
      <c r="C32" s="16">
        <f>IFERROR(__xludf.DUMMYFUNCTION("""COMPUTED_VALUE"""),6.0)</f>
        <v>6</v>
      </c>
      <c r="D32" s="16">
        <f>IFERROR(__xludf.DUMMYFUNCTION("""COMPUTED_VALUE"""),6.0)</f>
        <v>6</v>
      </c>
      <c r="E32" s="16">
        <f>IFERROR(__xludf.DUMMYFUNCTION("""COMPUTED_VALUE"""),6.3)</f>
        <v>6.3</v>
      </c>
      <c r="F32" s="16">
        <f>IFERROR(__xludf.DUMMYFUNCTION("""COMPUTED_VALUE"""),5.8)</f>
        <v>5.8</v>
      </c>
      <c r="G32" s="16">
        <f>IFERROR(__xludf.DUMMYFUNCTION("""COMPUTED_VALUE"""),6.1)</f>
        <v>6.1</v>
      </c>
      <c r="H32" s="16">
        <f>IFERROR(__xludf.DUMMYFUNCTION("""COMPUTED_VALUE"""),5.4)</f>
        <v>5.4</v>
      </c>
    </row>
    <row r="33">
      <c r="A33" s="14">
        <f>VLOOKUP(B33,map!B:C,2,false)</f>
        <v>9</v>
      </c>
      <c r="B33" s="15" t="str">
        <f>IFERROR(__xludf.DUMMYFUNCTION("""COMPUTED_VALUE"""),"New Orleans")</f>
        <v>New Orleans</v>
      </c>
      <c r="C33" s="16">
        <f>IFERROR(__xludf.DUMMYFUNCTION("""COMPUTED_VALUE"""),6.1)</f>
        <v>6.1</v>
      </c>
      <c r="D33" s="16">
        <f>IFERROR(__xludf.DUMMYFUNCTION("""COMPUTED_VALUE"""),6.9)</f>
        <v>6.9</v>
      </c>
      <c r="E33" s="16">
        <f>IFERROR(__xludf.DUMMYFUNCTION("""COMPUTED_VALUE"""),5.9)</f>
        <v>5.9</v>
      </c>
      <c r="F33" s="16">
        <f>IFERROR(__xludf.DUMMYFUNCTION("""COMPUTED_VALUE"""),6.4)</f>
        <v>6.4</v>
      </c>
      <c r="G33" s="16">
        <f>IFERROR(__xludf.DUMMYFUNCTION("""COMPUTED_VALUE"""),5.8)</f>
        <v>5.8</v>
      </c>
      <c r="H33" s="16">
        <f>IFERROR(__xludf.DUMMYFUNCTION("""COMPUTED_VALUE"""),5.3)</f>
        <v>5.3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28</v>
      </c>
      <c r="B1" s="11" t="str">
        <f>IFERROR(__xludf.DUMMYFUNCTION("QUERY(IMPORTHTML(""https://www.teamrankings.com/nfl/stat/defensive-touchdowns-per-game?date="" &amp; TEXT(TODAY(),""yyyy-mm-dd""), ""table"", 1, ""en_US""), ""SELECT Col2, Col3, Col4, Col5, Col6, Col7, Col8"")
"),"Team")</f>
        <v>Team</v>
      </c>
      <c r="C1" s="12" t="str">
        <f>IFERROR(__xludf.DUMMYFUNCTION("""COMPUTED_VALUE"""),"2024")</f>
        <v>2024</v>
      </c>
      <c r="D1" s="13" t="str">
        <f>IFERROR(__xludf.DUMMYFUNCTION("""COMPUTED_VALUE"""),"Last 3")</f>
        <v>Last 3</v>
      </c>
      <c r="E1" s="13" t="str">
        <f>IFERROR(__xludf.DUMMYFUNCTION("""COMPUTED_VALUE"""),"Last 1")</f>
        <v>Last 1</v>
      </c>
      <c r="F1" s="12" t="str">
        <f>IFERROR(__xludf.DUMMYFUNCTION("""COMPUTED_VALUE"""),"Home")</f>
        <v>Home</v>
      </c>
      <c r="G1" s="12" t="str">
        <f>IFERROR(__xludf.DUMMYFUNCTION("""COMPUTED_VALUE"""),"Away")</f>
        <v>Away</v>
      </c>
      <c r="H1" s="12" t="str">
        <f>IFERROR(__xludf.DUMMYFUNCTION("""COMPUTED_VALUE"""),"2023")</f>
        <v>2023</v>
      </c>
    </row>
    <row r="2">
      <c r="A2" s="14">
        <f>VLOOKUP(B2,map!B:C,2,false)</f>
        <v>3</v>
      </c>
      <c r="B2" s="15" t="str">
        <f>IFERROR(__xludf.DUMMYFUNCTION("""COMPUTED_VALUE"""),"Minnesota")</f>
        <v>Minnesota</v>
      </c>
      <c r="C2" s="16">
        <f>IFERROR(__xludf.DUMMYFUNCTION("""COMPUTED_VALUE"""),0.4)</f>
        <v>0.4</v>
      </c>
      <c r="D2" s="16">
        <f>IFERROR(__xludf.DUMMYFUNCTION("""COMPUTED_VALUE"""),0.7)</f>
        <v>0.7</v>
      </c>
      <c r="E2" s="16">
        <f>IFERROR(__xludf.DUMMYFUNCTION("""COMPUTED_VALUE"""),0.0)</f>
        <v>0</v>
      </c>
      <c r="F2" s="16">
        <f>IFERROR(__xludf.DUMMYFUNCTION("""COMPUTED_VALUE"""),0.3)</f>
        <v>0.3</v>
      </c>
      <c r="G2" s="16">
        <f>IFERROR(__xludf.DUMMYFUNCTION("""COMPUTED_VALUE"""),0.5)</f>
        <v>0.5</v>
      </c>
      <c r="H2" s="16">
        <f>IFERROR(__xludf.DUMMYFUNCTION("""COMPUTED_VALUE"""),0.1)</f>
        <v>0.1</v>
      </c>
    </row>
    <row r="3">
      <c r="A3" s="14">
        <f>VLOOKUP(B3,map!B:C,2,false)</f>
        <v>18</v>
      </c>
      <c r="B3" s="15" t="str">
        <f>IFERROR(__xludf.DUMMYFUNCTION("""COMPUTED_VALUE"""),"LA Rams")</f>
        <v>LA Rams</v>
      </c>
      <c r="C3" s="16">
        <f>IFERROR(__xludf.DUMMYFUNCTION("""COMPUTED_VALUE"""),0.3)</f>
        <v>0.3</v>
      </c>
      <c r="D3" s="16">
        <f>IFERROR(__xludf.DUMMYFUNCTION("""COMPUTED_VALUE"""),0.7)</f>
        <v>0.7</v>
      </c>
      <c r="E3" s="16">
        <f>IFERROR(__xludf.DUMMYFUNCTION("""COMPUTED_VALUE"""),0.0)</f>
        <v>0</v>
      </c>
      <c r="F3" s="16">
        <f>IFERROR(__xludf.DUMMYFUNCTION("""COMPUTED_VALUE"""),0.5)</f>
        <v>0.5</v>
      </c>
      <c r="G3" s="16">
        <f>IFERROR(__xludf.DUMMYFUNCTION("""COMPUTED_VALUE"""),0.0)</f>
        <v>0</v>
      </c>
      <c r="H3" s="16">
        <f>IFERROR(__xludf.DUMMYFUNCTION("""COMPUTED_VALUE"""),0.0)</f>
        <v>0</v>
      </c>
    </row>
    <row r="4">
      <c r="A4" s="14">
        <f>VLOOKUP(B4,map!B:C,2,false)</f>
        <v>27</v>
      </c>
      <c r="B4" s="15" t="str">
        <f>IFERROR(__xludf.DUMMYFUNCTION("""COMPUTED_VALUE"""),"Denver")</f>
        <v>Denver</v>
      </c>
      <c r="C4" s="16">
        <f>IFERROR(__xludf.DUMMYFUNCTION("""COMPUTED_VALUE"""),0.3)</f>
        <v>0.3</v>
      </c>
      <c r="D4" s="16">
        <f>IFERROR(__xludf.DUMMYFUNCTION("""COMPUTED_VALUE"""),0.3)</f>
        <v>0.3</v>
      </c>
      <c r="E4" s="16">
        <f>IFERROR(__xludf.DUMMYFUNCTION("""COMPUTED_VALUE"""),0.0)</f>
        <v>0</v>
      </c>
      <c r="F4" s="16">
        <f>IFERROR(__xludf.DUMMYFUNCTION("""COMPUTED_VALUE"""),0.3)</f>
        <v>0.3</v>
      </c>
      <c r="G4" s="16">
        <f>IFERROR(__xludf.DUMMYFUNCTION("""COMPUTED_VALUE"""),0.3)</f>
        <v>0.3</v>
      </c>
      <c r="H4" s="16">
        <f>IFERROR(__xludf.DUMMYFUNCTION("""COMPUTED_VALUE"""),0.1)</f>
        <v>0.1</v>
      </c>
    </row>
    <row r="5">
      <c r="A5" s="14">
        <f>VLOOKUP(B5,map!B:C,2,false)</f>
        <v>13</v>
      </c>
      <c r="B5" s="15" t="str">
        <f>IFERROR(__xludf.DUMMYFUNCTION("""COMPUTED_VALUE"""),"Seattle")</f>
        <v>Seattle</v>
      </c>
      <c r="C5" s="16">
        <f>IFERROR(__xludf.DUMMYFUNCTION("""COMPUTED_VALUE"""),0.3)</f>
        <v>0.3</v>
      </c>
      <c r="D5" s="16">
        <f>IFERROR(__xludf.DUMMYFUNCTION("""COMPUTED_VALUE"""),0.3)</f>
        <v>0.3</v>
      </c>
      <c r="E5" s="16">
        <f>IFERROR(__xludf.DUMMYFUNCTION("""COMPUTED_VALUE"""),0.0)</f>
        <v>0</v>
      </c>
      <c r="F5" s="16">
        <f>IFERROR(__xludf.DUMMYFUNCTION("""COMPUTED_VALUE"""),0.2)</f>
        <v>0.2</v>
      </c>
      <c r="G5" s="16">
        <f>IFERROR(__xludf.DUMMYFUNCTION("""COMPUTED_VALUE"""),0.3)</f>
        <v>0.3</v>
      </c>
      <c r="H5" s="16">
        <f>IFERROR(__xludf.DUMMYFUNCTION("""COMPUTED_VALUE"""),0.2)</f>
        <v>0.2</v>
      </c>
    </row>
    <row r="6">
      <c r="A6" s="14">
        <f>VLOOKUP(B6,map!B:C,2,false)</f>
        <v>28</v>
      </c>
      <c r="B6" s="15" t="str">
        <f>IFERROR(__xludf.DUMMYFUNCTION("""COMPUTED_VALUE"""),"Atlanta")</f>
        <v>Atlanta</v>
      </c>
      <c r="C6" s="16">
        <f>IFERROR(__xludf.DUMMYFUNCTION("""COMPUTED_VALUE"""),0.3)</f>
        <v>0.3</v>
      </c>
      <c r="D6" s="16">
        <f>IFERROR(__xludf.DUMMYFUNCTION("""COMPUTED_VALUE"""),0.0)</f>
        <v>0</v>
      </c>
      <c r="E6" s="16">
        <f>IFERROR(__xludf.DUMMYFUNCTION("""COMPUTED_VALUE"""),0.0)</f>
        <v>0</v>
      </c>
      <c r="F6" s="16">
        <f>IFERROR(__xludf.DUMMYFUNCTION("""COMPUTED_VALUE"""),0.4)</f>
        <v>0.4</v>
      </c>
      <c r="G6" s="16">
        <f>IFERROR(__xludf.DUMMYFUNCTION("""COMPUTED_VALUE"""),0.0)</f>
        <v>0</v>
      </c>
      <c r="H6" s="16">
        <f>IFERROR(__xludf.DUMMYFUNCTION("""COMPUTED_VALUE"""),0.1)</f>
        <v>0.1</v>
      </c>
    </row>
    <row r="7">
      <c r="A7" s="14">
        <f>VLOOKUP(B7,map!B:C,2,false)</f>
        <v>2</v>
      </c>
      <c r="B7" s="15" t="str">
        <f>IFERROR(__xludf.DUMMYFUNCTION("""COMPUTED_VALUE"""),"Kansas City")</f>
        <v>Kansas City</v>
      </c>
      <c r="C7" s="16">
        <f>IFERROR(__xludf.DUMMYFUNCTION("""COMPUTED_VALUE"""),0.1)</f>
        <v>0.1</v>
      </c>
      <c r="D7" s="16">
        <f>IFERROR(__xludf.DUMMYFUNCTION("""COMPUTED_VALUE"""),0.0)</f>
        <v>0</v>
      </c>
      <c r="E7" s="16">
        <f>IFERROR(__xludf.DUMMYFUNCTION("""COMPUTED_VALUE"""),0.0)</f>
        <v>0</v>
      </c>
      <c r="F7" s="16">
        <f>IFERROR(__xludf.DUMMYFUNCTION("""COMPUTED_VALUE"""),0.3)</f>
        <v>0.3</v>
      </c>
      <c r="G7" s="16">
        <f>IFERROR(__xludf.DUMMYFUNCTION("""COMPUTED_VALUE"""),0.0)</f>
        <v>0</v>
      </c>
      <c r="H7" s="16">
        <f>IFERROR(__xludf.DUMMYFUNCTION("""COMPUTED_VALUE"""),0.1)</f>
        <v>0.1</v>
      </c>
    </row>
    <row r="8">
      <c r="A8" s="14">
        <f>VLOOKUP(B8,map!B:C,2,false)</f>
        <v>31</v>
      </c>
      <c r="B8" s="15" t="str">
        <f>IFERROR(__xludf.DUMMYFUNCTION("""COMPUTED_VALUE"""),"Chicago")</f>
        <v>Chicago</v>
      </c>
      <c r="C8" s="16">
        <f>IFERROR(__xludf.DUMMYFUNCTION("""COMPUTED_VALUE"""),0.1)</f>
        <v>0.1</v>
      </c>
      <c r="D8" s="16">
        <f>IFERROR(__xludf.DUMMYFUNCTION("""COMPUTED_VALUE"""),0.0)</f>
        <v>0</v>
      </c>
      <c r="E8" s="16">
        <f>IFERROR(__xludf.DUMMYFUNCTION("""COMPUTED_VALUE"""),0.0)</f>
        <v>0</v>
      </c>
      <c r="F8" s="16">
        <f>IFERROR(__xludf.DUMMYFUNCTION("""COMPUTED_VALUE"""),0.3)</f>
        <v>0.3</v>
      </c>
      <c r="G8" s="16">
        <f>IFERROR(__xludf.DUMMYFUNCTION("""COMPUTED_VALUE"""),0.0)</f>
        <v>0</v>
      </c>
      <c r="H8" s="16">
        <f>IFERROR(__xludf.DUMMYFUNCTION("""COMPUTED_VALUE"""),0.1)</f>
        <v>0.1</v>
      </c>
    </row>
    <row r="9">
      <c r="A9" s="14">
        <f>VLOOKUP(B9,map!B:C,2,false)</f>
        <v>14</v>
      </c>
      <c r="B9" s="15" t="str">
        <f>IFERROR(__xludf.DUMMYFUNCTION("""COMPUTED_VALUE"""),"Tampa Bay")</f>
        <v>Tampa Bay</v>
      </c>
      <c r="C9" s="16">
        <f>IFERROR(__xludf.DUMMYFUNCTION("""COMPUTED_VALUE"""),0.1)</f>
        <v>0.1</v>
      </c>
      <c r="D9" s="16">
        <f>IFERROR(__xludf.DUMMYFUNCTION("""COMPUTED_VALUE"""),0.3)</f>
        <v>0.3</v>
      </c>
      <c r="E9" s="16">
        <f>IFERROR(__xludf.DUMMYFUNCTION("""COMPUTED_VALUE"""),0.0)</f>
        <v>0</v>
      </c>
      <c r="F9" s="16">
        <f>IFERROR(__xludf.DUMMYFUNCTION("""COMPUTED_VALUE"""),0.0)</f>
        <v>0</v>
      </c>
      <c r="G9" s="16">
        <f>IFERROR(__xludf.DUMMYFUNCTION("""COMPUTED_VALUE"""),0.3)</f>
        <v>0.3</v>
      </c>
      <c r="H9" s="16">
        <f>IFERROR(__xludf.DUMMYFUNCTION("""COMPUTED_VALUE"""),0.1)</f>
        <v>0.1</v>
      </c>
    </row>
    <row r="10">
      <c r="A10" s="14">
        <f>VLOOKUP(B10,map!B:C,2,false)</f>
        <v>11</v>
      </c>
      <c r="B10" s="15" t="str">
        <f>IFERROR(__xludf.DUMMYFUNCTION("""COMPUTED_VALUE"""),"Buffalo")</f>
        <v>Buffalo</v>
      </c>
      <c r="C10" s="16">
        <f>IFERROR(__xludf.DUMMYFUNCTION("""COMPUTED_VALUE"""),0.1)</f>
        <v>0.1</v>
      </c>
      <c r="D10" s="16">
        <f>IFERROR(__xludf.DUMMYFUNCTION("""COMPUTED_VALUE"""),0.0)</f>
        <v>0</v>
      </c>
      <c r="E10" s="16">
        <f>IFERROR(__xludf.DUMMYFUNCTION("""COMPUTED_VALUE"""),0.0)</f>
        <v>0</v>
      </c>
      <c r="F10" s="16">
        <f>IFERROR(__xludf.DUMMYFUNCTION("""COMPUTED_VALUE"""),0.0)</f>
        <v>0</v>
      </c>
      <c r="G10" s="16">
        <f>IFERROR(__xludf.DUMMYFUNCTION("""COMPUTED_VALUE"""),0.2)</f>
        <v>0.2</v>
      </c>
      <c r="H10" s="16">
        <f>IFERROR(__xludf.DUMMYFUNCTION("""COMPUTED_VALUE"""),0.1)</f>
        <v>0.1</v>
      </c>
    </row>
    <row r="11">
      <c r="A11" s="14">
        <f>VLOOKUP(B11,map!B:C,2,false)</f>
        <v>15</v>
      </c>
      <c r="B11" s="15" t="str">
        <f>IFERROR(__xludf.DUMMYFUNCTION("""COMPUTED_VALUE"""),"Green Bay")</f>
        <v>Green Bay</v>
      </c>
      <c r="C11" s="16">
        <f>IFERROR(__xludf.DUMMYFUNCTION("""COMPUTED_VALUE"""),0.1)</f>
        <v>0.1</v>
      </c>
      <c r="D11" s="16">
        <f>IFERROR(__xludf.DUMMYFUNCTION("""COMPUTED_VALUE"""),0.0)</f>
        <v>0</v>
      </c>
      <c r="E11" s="16">
        <f>IFERROR(__xludf.DUMMYFUNCTION("""COMPUTED_VALUE"""),0.0)</f>
        <v>0</v>
      </c>
      <c r="F11" s="16">
        <f>IFERROR(__xludf.DUMMYFUNCTION("""COMPUTED_VALUE"""),0.0)</f>
        <v>0</v>
      </c>
      <c r="G11" s="16">
        <f>IFERROR(__xludf.DUMMYFUNCTION("""COMPUTED_VALUE"""),0.3)</f>
        <v>0.3</v>
      </c>
      <c r="H11" s="16">
        <f>IFERROR(__xludf.DUMMYFUNCTION("""COMPUTED_VALUE"""),0.2)</f>
        <v>0.2</v>
      </c>
    </row>
    <row r="12">
      <c r="A12" s="14">
        <f>VLOOKUP(B12,map!B:C,2,false)</f>
        <v>8</v>
      </c>
      <c r="B12" s="15" t="str">
        <f>IFERROR(__xludf.DUMMYFUNCTION("""COMPUTED_VALUE"""),"Washington")</f>
        <v>Washington</v>
      </c>
      <c r="C12" s="16">
        <f>IFERROR(__xludf.DUMMYFUNCTION("""COMPUTED_VALUE"""),0.1)</f>
        <v>0.1</v>
      </c>
      <c r="D12" s="16">
        <f>IFERROR(__xludf.DUMMYFUNCTION("""COMPUTED_VALUE"""),0.3)</f>
        <v>0.3</v>
      </c>
      <c r="E12" s="16">
        <f>IFERROR(__xludf.DUMMYFUNCTION("""COMPUTED_VALUE"""),0.0)</f>
        <v>0</v>
      </c>
      <c r="F12" s="16">
        <f>IFERROR(__xludf.DUMMYFUNCTION("""COMPUTED_VALUE"""),0.3)</f>
        <v>0.3</v>
      </c>
      <c r="G12" s="16">
        <f>IFERROR(__xludf.DUMMYFUNCTION("""COMPUTED_VALUE"""),0.0)</f>
        <v>0</v>
      </c>
      <c r="H12" s="16">
        <f>IFERROR(__xludf.DUMMYFUNCTION("""COMPUTED_VALUE"""),0.0)</f>
        <v>0</v>
      </c>
    </row>
    <row r="13">
      <c r="A13" s="14">
        <f>VLOOKUP(B13,map!B:C,2,false)</f>
        <v>25</v>
      </c>
      <c r="B13" s="15" t="str">
        <f>IFERROR(__xludf.DUMMYFUNCTION("""COMPUTED_VALUE"""),"San Francisco")</f>
        <v>San Francisco</v>
      </c>
      <c r="C13" s="16">
        <f>IFERROR(__xludf.DUMMYFUNCTION("""COMPUTED_VALUE"""),0.1)</f>
        <v>0.1</v>
      </c>
      <c r="D13" s="16">
        <f>IFERROR(__xludf.DUMMYFUNCTION("""COMPUTED_VALUE"""),0.0)</f>
        <v>0</v>
      </c>
      <c r="E13" s="16">
        <f>IFERROR(__xludf.DUMMYFUNCTION("""COMPUTED_VALUE"""),0.0)</f>
        <v>0</v>
      </c>
      <c r="F13" s="16">
        <f>IFERROR(__xludf.DUMMYFUNCTION("""COMPUTED_VALUE"""),0.2)</f>
        <v>0.2</v>
      </c>
      <c r="G13" s="16">
        <f>IFERROR(__xludf.DUMMYFUNCTION("""COMPUTED_VALUE"""),0.0)</f>
        <v>0</v>
      </c>
      <c r="H13" s="16">
        <f>IFERROR(__xludf.DUMMYFUNCTION("""COMPUTED_VALUE"""),0.1)</f>
        <v>0.1</v>
      </c>
    </row>
    <row r="14">
      <c r="A14" s="14">
        <f>VLOOKUP(B14,map!B:C,2,false)</f>
        <v>16</v>
      </c>
      <c r="B14" s="15" t="str">
        <f>IFERROR(__xludf.DUMMYFUNCTION("""COMPUTED_VALUE"""),"Cleveland")</f>
        <v>Cleveland</v>
      </c>
      <c r="C14" s="16">
        <f>IFERROR(__xludf.DUMMYFUNCTION("""COMPUTED_VALUE"""),0.1)</f>
        <v>0.1</v>
      </c>
      <c r="D14" s="16">
        <f>IFERROR(__xludf.DUMMYFUNCTION("""COMPUTED_VALUE"""),0.0)</f>
        <v>0</v>
      </c>
      <c r="E14" s="16">
        <f>IFERROR(__xludf.DUMMYFUNCTION("""COMPUTED_VALUE"""),0.0)</f>
        <v>0</v>
      </c>
      <c r="F14" s="16">
        <f>IFERROR(__xludf.DUMMYFUNCTION("""COMPUTED_VALUE"""),0.0)</f>
        <v>0</v>
      </c>
      <c r="G14" s="16">
        <f>IFERROR(__xludf.DUMMYFUNCTION("""COMPUTED_VALUE"""),0.3)</f>
        <v>0.3</v>
      </c>
      <c r="H14" s="16">
        <f>IFERROR(__xludf.DUMMYFUNCTION("""COMPUTED_VALUE"""),0.2)</f>
        <v>0.2</v>
      </c>
    </row>
    <row r="15">
      <c r="A15" s="14">
        <f>VLOOKUP(B15,map!B:C,2,false)</f>
        <v>17</v>
      </c>
      <c r="B15" s="15" t="str">
        <f>IFERROR(__xludf.DUMMYFUNCTION("""COMPUTED_VALUE"""),"Houston")</f>
        <v>Houston</v>
      </c>
      <c r="C15" s="16">
        <f>IFERROR(__xludf.DUMMYFUNCTION("""COMPUTED_VALUE"""),0.0)</f>
        <v>0</v>
      </c>
      <c r="D15" s="16">
        <f>IFERROR(__xludf.DUMMYFUNCTION("""COMPUTED_VALUE"""),0.0)</f>
        <v>0</v>
      </c>
      <c r="E15" s="16">
        <f>IFERROR(__xludf.DUMMYFUNCTION("""COMPUTED_VALUE"""),0.0)</f>
        <v>0</v>
      </c>
      <c r="F15" s="16">
        <f>IFERROR(__xludf.DUMMYFUNCTION("""COMPUTED_VALUE"""),0.0)</f>
        <v>0</v>
      </c>
      <c r="G15" s="16">
        <f>IFERROR(__xludf.DUMMYFUNCTION("""COMPUTED_VALUE"""),0.0)</f>
        <v>0</v>
      </c>
      <c r="H15" s="16">
        <f>IFERROR(__xludf.DUMMYFUNCTION("""COMPUTED_VALUE"""),0.2)</f>
        <v>0.2</v>
      </c>
    </row>
    <row r="16">
      <c r="A16" s="14">
        <f>VLOOKUP(B16,map!B:C,2,false)</f>
        <v>21</v>
      </c>
      <c r="B16" s="15" t="str">
        <f>IFERROR(__xludf.DUMMYFUNCTION("""COMPUTED_VALUE"""),"Arizona")</f>
        <v>Arizona</v>
      </c>
      <c r="C16" s="16">
        <f>IFERROR(__xludf.DUMMYFUNCTION("""COMPUTED_VALUE"""),0.0)</f>
        <v>0</v>
      </c>
      <c r="D16" s="16">
        <f>IFERROR(__xludf.DUMMYFUNCTION("""COMPUTED_VALUE"""),0.0)</f>
        <v>0</v>
      </c>
      <c r="E16" s="16">
        <f>IFERROR(__xludf.DUMMYFUNCTION("""COMPUTED_VALUE"""),0.0)</f>
        <v>0</v>
      </c>
      <c r="F16" s="16">
        <f>IFERROR(__xludf.DUMMYFUNCTION("""COMPUTED_VALUE"""),0.0)</f>
        <v>0</v>
      </c>
      <c r="G16" s="16">
        <f>IFERROR(__xludf.DUMMYFUNCTION("""COMPUTED_VALUE"""),0.0)</f>
        <v>0</v>
      </c>
      <c r="H16" s="16">
        <f>IFERROR(__xludf.DUMMYFUNCTION("""COMPUTED_VALUE"""),0.1)</f>
        <v>0.1</v>
      </c>
    </row>
    <row r="17">
      <c r="A17" s="14">
        <f>VLOOKUP(B17,map!B:C,2,false)</f>
        <v>22</v>
      </c>
      <c r="B17" s="15" t="str">
        <f>IFERROR(__xludf.DUMMYFUNCTION("""COMPUTED_VALUE"""),"New England")</f>
        <v>New England</v>
      </c>
      <c r="C17" s="16">
        <f>IFERROR(__xludf.DUMMYFUNCTION("""COMPUTED_VALUE"""),0.0)</f>
        <v>0</v>
      </c>
      <c r="D17" s="16">
        <f>IFERROR(__xludf.DUMMYFUNCTION("""COMPUTED_VALUE"""),0.0)</f>
        <v>0</v>
      </c>
      <c r="E17" s="16">
        <f>IFERROR(__xludf.DUMMYFUNCTION("""COMPUTED_VALUE"""),0.0)</f>
        <v>0</v>
      </c>
      <c r="F17" s="16">
        <f>IFERROR(__xludf.DUMMYFUNCTION("""COMPUTED_VALUE"""),0.0)</f>
        <v>0</v>
      </c>
      <c r="G17" s="16">
        <f>IFERROR(__xludf.DUMMYFUNCTION("""COMPUTED_VALUE"""),0.0)</f>
        <v>0</v>
      </c>
      <c r="H17" s="16">
        <f>IFERROR(__xludf.DUMMYFUNCTION("""COMPUTED_VALUE"""),0.1)</f>
        <v>0.1</v>
      </c>
    </row>
    <row r="18">
      <c r="A18" s="14">
        <f>VLOOKUP(B18,map!B:C,2,false)</f>
        <v>23</v>
      </c>
      <c r="B18" s="15" t="str">
        <f>IFERROR(__xludf.DUMMYFUNCTION("""COMPUTED_VALUE"""),"Carolina")</f>
        <v>Carolina</v>
      </c>
      <c r="C18" s="16">
        <f>IFERROR(__xludf.DUMMYFUNCTION("""COMPUTED_VALUE"""),0.0)</f>
        <v>0</v>
      </c>
      <c r="D18" s="16">
        <f>IFERROR(__xludf.DUMMYFUNCTION("""COMPUTED_VALUE"""),0.0)</f>
        <v>0</v>
      </c>
      <c r="E18" s="16">
        <f>IFERROR(__xludf.DUMMYFUNCTION("""COMPUTED_VALUE"""),0.0)</f>
        <v>0</v>
      </c>
      <c r="F18" s="16">
        <f>IFERROR(__xludf.DUMMYFUNCTION("""COMPUTED_VALUE"""),0.0)</f>
        <v>0</v>
      </c>
      <c r="G18" s="16">
        <f>IFERROR(__xludf.DUMMYFUNCTION("""COMPUTED_VALUE"""),0.0)</f>
        <v>0</v>
      </c>
      <c r="H18" s="16">
        <f>IFERROR(__xludf.DUMMYFUNCTION("""COMPUTED_VALUE"""),0.1)</f>
        <v>0.1</v>
      </c>
    </row>
    <row r="19">
      <c r="A19" s="14">
        <f>VLOOKUP(B19,map!B:C,2,false)</f>
        <v>7</v>
      </c>
      <c r="B19" s="15" t="str">
        <f>IFERROR(__xludf.DUMMYFUNCTION("""COMPUTED_VALUE"""),"LA Chargers")</f>
        <v>LA Chargers</v>
      </c>
      <c r="C19" s="16">
        <f>IFERROR(__xludf.DUMMYFUNCTION("""COMPUTED_VALUE"""),0.0)</f>
        <v>0</v>
      </c>
      <c r="D19" s="16">
        <f>IFERROR(__xludf.DUMMYFUNCTION("""COMPUTED_VALUE"""),0.0)</f>
        <v>0</v>
      </c>
      <c r="E19" s="16">
        <f>IFERROR(__xludf.DUMMYFUNCTION("""COMPUTED_VALUE"""),0.0)</f>
        <v>0</v>
      </c>
      <c r="F19" s="16">
        <f>IFERROR(__xludf.DUMMYFUNCTION("""COMPUTED_VALUE"""),0.0)</f>
        <v>0</v>
      </c>
      <c r="G19" s="16">
        <f>IFERROR(__xludf.DUMMYFUNCTION("""COMPUTED_VALUE"""),0.0)</f>
        <v>0</v>
      </c>
      <c r="H19" s="16">
        <f>IFERROR(__xludf.DUMMYFUNCTION("""COMPUTED_VALUE"""),0.0)</f>
        <v>0</v>
      </c>
    </row>
    <row r="20">
      <c r="A20" s="14">
        <f>VLOOKUP(B20,map!B:C,2,false)</f>
        <v>26</v>
      </c>
      <c r="B20" s="15" t="str">
        <f>IFERROR(__xludf.DUMMYFUNCTION("""COMPUTED_VALUE"""),"NY Giants")</f>
        <v>NY Giants</v>
      </c>
      <c r="C20" s="16">
        <f>IFERROR(__xludf.DUMMYFUNCTION("""COMPUTED_VALUE"""),0.0)</f>
        <v>0</v>
      </c>
      <c r="D20" s="16">
        <f>IFERROR(__xludf.DUMMYFUNCTION("""COMPUTED_VALUE"""),0.0)</f>
        <v>0</v>
      </c>
      <c r="E20" s="16">
        <f>IFERROR(__xludf.DUMMYFUNCTION("""COMPUTED_VALUE"""),0.0)</f>
        <v>0</v>
      </c>
      <c r="F20" s="16">
        <f>IFERROR(__xludf.DUMMYFUNCTION("""COMPUTED_VALUE"""),0.0)</f>
        <v>0</v>
      </c>
      <c r="G20" s="16">
        <f>IFERROR(__xludf.DUMMYFUNCTION("""COMPUTED_VALUE"""),0.0)</f>
        <v>0</v>
      </c>
      <c r="H20" s="16">
        <f>IFERROR(__xludf.DUMMYFUNCTION("""COMPUTED_VALUE"""),0.2)</f>
        <v>0.2</v>
      </c>
    </row>
    <row r="21">
      <c r="A21" s="14">
        <f>VLOOKUP(B21,map!B:C,2,false)</f>
        <v>4</v>
      </c>
      <c r="B21" s="15" t="str">
        <f>IFERROR(__xludf.DUMMYFUNCTION("""COMPUTED_VALUE"""),"Cincinnati")</f>
        <v>Cincinnati</v>
      </c>
      <c r="C21" s="16">
        <f>IFERROR(__xludf.DUMMYFUNCTION("""COMPUTED_VALUE"""),0.0)</f>
        <v>0</v>
      </c>
      <c r="D21" s="16">
        <f>IFERROR(__xludf.DUMMYFUNCTION("""COMPUTED_VALUE"""),0.0)</f>
        <v>0</v>
      </c>
      <c r="E21" s="16">
        <f>IFERROR(__xludf.DUMMYFUNCTION("""COMPUTED_VALUE"""),0.0)</f>
        <v>0</v>
      </c>
      <c r="F21" s="16">
        <f>IFERROR(__xludf.DUMMYFUNCTION("""COMPUTED_VALUE"""),0.0)</f>
        <v>0</v>
      </c>
      <c r="G21" s="16">
        <f>IFERROR(__xludf.DUMMYFUNCTION("""COMPUTED_VALUE"""),0.0)</f>
        <v>0</v>
      </c>
      <c r="H21" s="16">
        <f>IFERROR(__xludf.DUMMYFUNCTION("""COMPUTED_VALUE"""),0.1)</f>
        <v>0.1</v>
      </c>
    </row>
    <row r="22">
      <c r="A22" s="14">
        <f>VLOOKUP(B22,map!B:C,2,false)</f>
        <v>30</v>
      </c>
      <c r="B22" s="15" t="str">
        <f>IFERROR(__xludf.DUMMYFUNCTION("""COMPUTED_VALUE"""),"Baltimore")</f>
        <v>Baltimore</v>
      </c>
      <c r="C22" s="16">
        <f>IFERROR(__xludf.DUMMYFUNCTION("""COMPUTED_VALUE"""),0.0)</f>
        <v>0</v>
      </c>
      <c r="D22" s="16">
        <f>IFERROR(__xludf.DUMMYFUNCTION("""COMPUTED_VALUE"""),0.0)</f>
        <v>0</v>
      </c>
      <c r="E22" s="16">
        <f>IFERROR(__xludf.DUMMYFUNCTION("""COMPUTED_VALUE"""),0.0)</f>
        <v>0</v>
      </c>
      <c r="F22" s="16">
        <f>IFERROR(__xludf.DUMMYFUNCTION("""COMPUTED_VALUE"""),0.0)</f>
        <v>0</v>
      </c>
      <c r="G22" s="16">
        <f>IFERROR(__xludf.DUMMYFUNCTION("""COMPUTED_VALUE"""),0.0)</f>
        <v>0</v>
      </c>
      <c r="H22" s="16">
        <f>IFERROR(__xludf.DUMMYFUNCTION("""COMPUTED_VALUE"""),0.1)</f>
        <v>0.1</v>
      </c>
    </row>
    <row r="23">
      <c r="A23" s="14">
        <f>VLOOKUP(B23,map!B:C,2,false)</f>
        <v>12</v>
      </c>
      <c r="B23" s="15" t="str">
        <f>IFERROR(__xludf.DUMMYFUNCTION("""COMPUTED_VALUE"""),"Philadelphia")</f>
        <v>Philadelphia</v>
      </c>
      <c r="C23" s="16">
        <f>IFERROR(__xludf.DUMMYFUNCTION("""COMPUTED_VALUE"""),0.0)</f>
        <v>0</v>
      </c>
      <c r="D23" s="16">
        <f>IFERROR(__xludf.DUMMYFUNCTION("""COMPUTED_VALUE"""),0.0)</f>
        <v>0</v>
      </c>
      <c r="E23" s="16">
        <f>IFERROR(__xludf.DUMMYFUNCTION("""COMPUTED_VALUE"""),0.0)</f>
        <v>0</v>
      </c>
      <c r="F23" s="16">
        <f>IFERROR(__xludf.DUMMYFUNCTION("""COMPUTED_VALUE"""),0.0)</f>
        <v>0</v>
      </c>
      <c r="G23" s="16">
        <f>IFERROR(__xludf.DUMMYFUNCTION("""COMPUTED_VALUE"""),0.0)</f>
        <v>0</v>
      </c>
      <c r="H23" s="16">
        <f>IFERROR(__xludf.DUMMYFUNCTION("""COMPUTED_VALUE"""),0.2)</f>
        <v>0.2</v>
      </c>
    </row>
    <row r="24">
      <c r="A24" s="14">
        <f>VLOOKUP(B24,map!B:C,2,false)</f>
        <v>20</v>
      </c>
      <c r="B24" s="15" t="str">
        <f>IFERROR(__xludf.DUMMYFUNCTION("""COMPUTED_VALUE"""),"Indianapolis")</f>
        <v>Indianapolis</v>
      </c>
      <c r="C24" s="16">
        <f>IFERROR(__xludf.DUMMYFUNCTION("""COMPUTED_VALUE"""),0.0)</f>
        <v>0</v>
      </c>
      <c r="D24" s="16">
        <f>IFERROR(__xludf.DUMMYFUNCTION("""COMPUTED_VALUE"""),0.0)</f>
        <v>0</v>
      </c>
      <c r="E24" s="16">
        <f>IFERROR(__xludf.DUMMYFUNCTION("""COMPUTED_VALUE"""),0.0)</f>
        <v>0</v>
      </c>
      <c r="F24" s="16">
        <f>IFERROR(__xludf.DUMMYFUNCTION("""COMPUTED_VALUE"""),0.0)</f>
        <v>0</v>
      </c>
      <c r="G24" s="16">
        <f>IFERROR(__xludf.DUMMYFUNCTION("""COMPUTED_VALUE"""),0.0)</f>
        <v>0</v>
      </c>
      <c r="H24" s="16">
        <f>IFERROR(__xludf.DUMMYFUNCTION("""COMPUTED_VALUE"""),0.2)</f>
        <v>0.2</v>
      </c>
    </row>
    <row r="25">
      <c r="A25" s="14">
        <f>VLOOKUP(B25,map!B:C,2,false)</f>
        <v>1</v>
      </c>
      <c r="B25" s="15" t="str">
        <f>IFERROR(__xludf.DUMMYFUNCTION("""COMPUTED_VALUE"""),"Dallas")</f>
        <v>Dallas</v>
      </c>
      <c r="C25" s="16">
        <f>IFERROR(__xludf.DUMMYFUNCTION("""COMPUTED_VALUE"""),0.0)</f>
        <v>0</v>
      </c>
      <c r="D25" s="16">
        <f>IFERROR(__xludf.DUMMYFUNCTION("""COMPUTED_VALUE"""),0.0)</f>
        <v>0</v>
      </c>
      <c r="E25" s="16">
        <f>IFERROR(__xludf.DUMMYFUNCTION("""COMPUTED_VALUE"""),0.0)</f>
        <v>0</v>
      </c>
      <c r="F25" s="16">
        <f>IFERROR(__xludf.DUMMYFUNCTION("""COMPUTED_VALUE"""),0.0)</f>
        <v>0</v>
      </c>
      <c r="G25" s="16">
        <f>IFERROR(__xludf.DUMMYFUNCTION("""COMPUTED_VALUE"""),0.0)</f>
        <v>0</v>
      </c>
      <c r="H25" s="16">
        <f>IFERROR(__xludf.DUMMYFUNCTION("""COMPUTED_VALUE"""),0.3)</f>
        <v>0.3</v>
      </c>
    </row>
    <row r="26">
      <c r="A26" s="14">
        <f>VLOOKUP(B26,map!B:C,2,false)</f>
        <v>29</v>
      </c>
      <c r="B26" s="15" t="str">
        <f>IFERROR(__xludf.DUMMYFUNCTION("""COMPUTED_VALUE"""),"Pittsburgh")</f>
        <v>Pittsburgh</v>
      </c>
      <c r="C26" s="16">
        <f>IFERROR(__xludf.DUMMYFUNCTION("""COMPUTED_VALUE"""),0.0)</f>
        <v>0</v>
      </c>
      <c r="D26" s="16">
        <f>IFERROR(__xludf.DUMMYFUNCTION("""COMPUTED_VALUE"""),0.0)</f>
        <v>0</v>
      </c>
      <c r="E26" s="16">
        <f>IFERROR(__xludf.DUMMYFUNCTION("""COMPUTED_VALUE"""),0.0)</f>
        <v>0</v>
      </c>
      <c r="F26" s="16">
        <f>IFERROR(__xludf.DUMMYFUNCTION("""COMPUTED_VALUE"""),0.0)</f>
        <v>0</v>
      </c>
      <c r="G26" s="16">
        <f>IFERROR(__xludf.DUMMYFUNCTION("""COMPUTED_VALUE"""),0.0)</f>
        <v>0</v>
      </c>
      <c r="H26" s="16">
        <f>IFERROR(__xludf.DUMMYFUNCTION("""COMPUTED_VALUE"""),0.1)</f>
        <v>0.1</v>
      </c>
    </row>
    <row r="27">
      <c r="A27" s="14">
        <f>VLOOKUP(B27,map!B:C,2,false)</f>
        <v>9</v>
      </c>
      <c r="B27" s="15" t="str">
        <f>IFERROR(__xludf.DUMMYFUNCTION("""COMPUTED_VALUE"""),"New Orleans")</f>
        <v>New Orleans</v>
      </c>
      <c r="C27" s="16">
        <f>IFERROR(__xludf.DUMMYFUNCTION("""COMPUTED_VALUE"""),0.0)</f>
        <v>0</v>
      </c>
      <c r="D27" s="16">
        <f>IFERROR(__xludf.DUMMYFUNCTION("""COMPUTED_VALUE"""),0.0)</f>
        <v>0</v>
      </c>
      <c r="E27" s="16">
        <f>IFERROR(__xludf.DUMMYFUNCTION("""COMPUTED_VALUE"""),0.0)</f>
        <v>0</v>
      </c>
      <c r="F27" s="16">
        <f>IFERROR(__xludf.DUMMYFUNCTION("""COMPUTED_VALUE"""),0.0)</f>
        <v>0</v>
      </c>
      <c r="G27" s="16">
        <f>IFERROR(__xludf.DUMMYFUNCTION("""COMPUTED_VALUE"""),0.0)</f>
        <v>0</v>
      </c>
      <c r="H27" s="16">
        <f>IFERROR(__xludf.DUMMYFUNCTION("""COMPUTED_VALUE"""),0.1)</f>
        <v>0.1</v>
      </c>
    </row>
    <row r="28">
      <c r="A28" s="14">
        <f>VLOOKUP(B28,map!B:C,2,false)</f>
        <v>24</v>
      </c>
      <c r="B28" s="15" t="str">
        <f>IFERROR(__xludf.DUMMYFUNCTION("""COMPUTED_VALUE"""),"Las Vegas")</f>
        <v>Las Vegas</v>
      </c>
      <c r="C28" s="16">
        <f>IFERROR(__xludf.DUMMYFUNCTION("""COMPUTED_VALUE"""),0.0)</f>
        <v>0</v>
      </c>
      <c r="D28" s="16">
        <f>IFERROR(__xludf.DUMMYFUNCTION("""COMPUTED_VALUE"""),0.0)</f>
        <v>0</v>
      </c>
      <c r="E28" s="16">
        <f>IFERROR(__xludf.DUMMYFUNCTION("""COMPUTED_VALUE"""),0.0)</f>
        <v>0</v>
      </c>
      <c r="F28" s="16">
        <f>IFERROR(__xludf.DUMMYFUNCTION("""COMPUTED_VALUE"""),0.0)</f>
        <v>0</v>
      </c>
      <c r="G28" s="16">
        <f>IFERROR(__xludf.DUMMYFUNCTION("""COMPUTED_VALUE"""),0.0)</f>
        <v>0</v>
      </c>
      <c r="H28" s="16">
        <f>IFERROR(__xludf.DUMMYFUNCTION("""COMPUTED_VALUE"""),0.3)</f>
        <v>0.3</v>
      </c>
    </row>
    <row r="29">
      <c r="A29" s="14">
        <f>VLOOKUP(B29,map!B:C,2,false)</f>
        <v>5</v>
      </c>
      <c r="B29" s="15" t="str">
        <f>IFERROR(__xludf.DUMMYFUNCTION("""COMPUTED_VALUE"""),"Detroit")</f>
        <v>Detroit</v>
      </c>
      <c r="C29" s="16">
        <f>IFERROR(__xludf.DUMMYFUNCTION("""COMPUTED_VALUE"""),0.0)</f>
        <v>0</v>
      </c>
      <c r="D29" s="16">
        <f>IFERROR(__xludf.DUMMYFUNCTION("""COMPUTED_VALUE"""),0.0)</f>
        <v>0</v>
      </c>
      <c r="E29" s="16">
        <f>IFERROR(__xludf.DUMMYFUNCTION("""COMPUTED_VALUE"""),0.0)</f>
        <v>0</v>
      </c>
      <c r="F29" s="16">
        <f>IFERROR(__xludf.DUMMYFUNCTION("""COMPUTED_VALUE"""),0.0)</f>
        <v>0</v>
      </c>
      <c r="G29" s="16">
        <f>IFERROR(__xludf.DUMMYFUNCTION("""COMPUTED_VALUE"""),0.0)</f>
        <v>0</v>
      </c>
      <c r="H29" s="16">
        <f>IFERROR(__xludf.DUMMYFUNCTION("""COMPUTED_VALUE"""),0.1)</f>
        <v>0.1</v>
      </c>
    </row>
    <row r="30">
      <c r="A30" s="14">
        <f>VLOOKUP(B30,map!B:C,2,false)</f>
        <v>6</v>
      </c>
      <c r="B30" s="15" t="str">
        <f>IFERROR(__xludf.DUMMYFUNCTION("""COMPUTED_VALUE"""),"Jacksonville")</f>
        <v>Jacksonville</v>
      </c>
      <c r="C30" s="16">
        <f>IFERROR(__xludf.DUMMYFUNCTION("""COMPUTED_VALUE"""),0.0)</f>
        <v>0</v>
      </c>
      <c r="D30" s="16">
        <f>IFERROR(__xludf.DUMMYFUNCTION("""COMPUTED_VALUE"""),0.0)</f>
        <v>0</v>
      </c>
      <c r="E30" s="16">
        <f>IFERROR(__xludf.DUMMYFUNCTION("""COMPUTED_VALUE"""),0.0)</f>
        <v>0</v>
      </c>
      <c r="F30" s="16">
        <f>IFERROR(__xludf.DUMMYFUNCTION("""COMPUTED_VALUE"""),0.0)</f>
        <v>0</v>
      </c>
      <c r="G30" s="16">
        <f>IFERROR(__xludf.DUMMYFUNCTION("""COMPUTED_VALUE"""),0.0)</f>
        <v>0</v>
      </c>
      <c r="H30" s="16">
        <f>IFERROR(__xludf.DUMMYFUNCTION("""COMPUTED_VALUE"""),0.1)</f>
        <v>0.1</v>
      </c>
    </row>
    <row r="31">
      <c r="A31" s="14">
        <f>VLOOKUP(B31,map!B:C,2,false)</f>
        <v>19</v>
      </c>
      <c r="B31" s="15" t="str">
        <f>IFERROR(__xludf.DUMMYFUNCTION("""COMPUTED_VALUE"""),"NY Jets")</f>
        <v>NY Jets</v>
      </c>
      <c r="C31" s="16">
        <f>IFERROR(__xludf.DUMMYFUNCTION("""COMPUTED_VALUE"""),0.0)</f>
        <v>0</v>
      </c>
      <c r="D31" s="16">
        <f>IFERROR(__xludf.DUMMYFUNCTION("""COMPUTED_VALUE"""),0.0)</f>
        <v>0</v>
      </c>
      <c r="E31" s="16">
        <f>IFERROR(__xludf.DUMMYFUNCTION("""COMPUTED_VALUE"""),0.0)</f>
        <v>0</v>
      </c>
      <c r="F31" s="16">
        <f>IFERROR(__xludf.DUMMYFUNCTION("""COMPUTED_VALUE"""),0.0)</f>
        <v>0</v>
      </c>
      <c r="G31" s="16">
        <f>IFERROR(__xludf.DUMMYFUNCTION("""COMPUTED_VALUE"""),0.0)</f>
        <v>0</v>
      </c>
      <c r="H31" s="16">
        <f>IFERROR(__xludf.DUMMYFUNCTION("""COMPUTED_VALUE"""),0.2)</f>
        <v>0.2</v>
      </c>
    </row>
    <row r="32">
      <c r="A32" s="14">
        <f>VLOOKUP(B32,map!B:C,2,false)</f>
        <v>10</v>
      </c>
      <c r="B32" s="15" t="str">
        <f>IFERROR(__xludf.DUMMYFUNCTION("""COMPUTED_VALUE"""),"Miami")</f>
        <v>Miami</v>
      </c>
      <c r="C32" s="16">
        <f>IFERROR(__xludf.DUMMYFUNCTION("""COMPUTED_VALUE"""),0.0)</f>
        <v>0</v>
      </c>
      <c r="D32" s="16">
        <f>IFERROR(__xludf.DUMMYFUNCTION("""COMPUTED_VALUE"""),0.0)</f>
        <v>0</v>
      </c>
      <c r="E32" s="16">
        <f>IFERROR(__xludf.DUMMYFUNCTION("""COMPUTED_VALUE"""),0.0)</f>
        <v>0</v>
      </c>
      <c r="F32" s="16">
        <f>IFERROR(__xludf.DUMMYFUNCTION("""COMPUTED_VALUE"""),0.0)</f>
        <v>0</v>
      </c>
      <c r="G32" s="16">
        <f>IFERROR(__xludf.DUMMYFUNCTION("""COMPUTED_VALUE"""),0.0)</f>
        <v>0</v>
      </c>
      <c r="H32" s="16">
        <f>IFERROR(__xludf.DUMMYFUNCTION("""COMPUTED_VALUE"""),0.2)</f>
        <v>0.2</v>
      </c>
    </row>
    <row r="33">
      <c r="A33" s="14">
        <f>VLOOKUP(B33,map!B:C,2,false)</f>
        <v>32</v>
      </c>
      <c r="B33" s="15" t="str">
        <f>IFERROR(__xludf.DUMMYFUNCTION("""COMPUTED_VALUE"""),"Tennessee")</f>
        <v>Tennessee</v>
      </c>
      <c r="C33" s="16">
        <f>IFERROR(__xludf.DUMMYFUNCTION("""COMPUTED_VALUE"""),0.0)</f>
        <v>0</v>
      </c>
      <c r="D33" s="16">
        <f>IFERROR(__xludf.DUMMYFUNCTION("""COMPUTED_VALUE"""),0.0)</f>
        <v>0</v>
      </c>
      <c r="E33" s="16">
        <f>IFERROR(__xludf.DUMMYFUNCTION("""COMPUTED_VALUE"""),0.0)</f>
        <v>0</v>
      </c>
      <c r="F33" s="16">
        <f>IFERROR(__xludf.DUMMYFUNCTION("""COMPUTED_VALUE"""),0.0)</f>
        <v>0</v>
      </c>
      <c r="G33" s="16">
        <f>IFERROR(__xludf.DUMMYFUNCTION("""COMPUTED_VALUE"""),0.0)</f>
        <v>0</v>
      </c>
      <c r="H33" s="16">
        <f>IFERROR(__xludf.DUMMYFUNCTION("""COMPUTED_VALUE"""),0.1)</f>
        <v>0.1</v>
      </c>
    </row>
  </sheetData>
  <drawing r:id="rId1"/>
</worksheet>
</file>