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odds" sheetId="2" r:id="rId5"/>
    <sheet state="visible" name="spread" sheetId="3" r:id="rId6"/>
    <sheet state="visible" name="team_data" sheetId="4" r:id="rId7"/>
    <sheet state="visible" name="rushes" sheetId="5" r:id="rId8"/>
    <sheet state="visible" name="td" sheetId="6" r:id="rId9"/>
    <sheet state="visible" name="yards" sheetId="7" r:id="rId10"/>
    <sheet state="visible" name="passing_yards" sheetId="8" r:id="rId11"/>
    <sheet state="visible" name="rush_yrds" sheetId="9" r:id="rId12"/>
    <sheet state="visible" name="1st down rush" sheetId="10" r:id="rId13"/>
    <sheet state="visible" name="map" sheetId="11" r:id="rId14"/>
  </sheets>
  <definedNames/>
  <calcPr/>
</workbook>
</file>

<file path=xl/sharedStrings.xml><?xml version="1.0" encoding="utf-8"?>
<sst xmlns="http://schemas.openxmlformats.org/spreadsheetml/2006/main" count="321" uniqueCount="290">
  <si>
    <t>Home Map</t>
  </si>
  <si>
    <t>Away Map</t>
  </si>
  <si>
    <t>Game ID</t>
  </si>
  <si>
    <t>Home Team</t>
  </si>
  <si>
    <t>Away Team</t>
  </si>
  <si>
    <t>Home Points</t>
  </si>
  <si>
    <t>Away Points</t>
  </si>
  <si>
    <t>Total Predicted Points</t>
  </si>
  <si>
    <t>Line</t>
  </si>
  <si>
    <t>Delta</t>
  </si>
  <si>
    <t>Recommended Total Bet</t>
  </si>
  <si>
    <t>Home Spread</t>
  </si>
  <si>
    <t>Home Margin</t>
  </si>
  <si>
    <t>Spread Delta</t>
  </si>
  <si>
    <t>Recommended Spread Bet</t>
  </si>
  <si>
    <t>Map</t>
  </si>
  <si>
    <t>Team</t>
  </si>
  <si>
    <t>Rush_Attempts</t>
  </si>
  <si>
    <t>Touchdowns</t>
  </si>
  <si>
    <t>Yards_Gained</t>
  </si>
  <si>
    <t>Passing_Yards</t>
  </si>
  <si>
    <t>Rushing_Yards</t>
  </si>
  <si>
    <t>Predicted_Points</t>
  </si>
  <si>
    <t>Team_A_Predicted_Score</t>
  </si>
  <si>
    <t>Team_B_Predicted_Score</t>
  </si>
  <si>
    <t>Total_Line</t>
  </si>
  <si>
    <t>Spread</t>
  </si>
  <si>
    <t>Total_Bet_Recommendation</t>
  </si>
  <si>
    <t>Spread_Bet_Recommendation</t>
  </si>
  <si>
    <t>Rank</t>
  </si>
  <si>
    <t>Last 3</t>
  </si>
  <si>
    <t>Last 1</t>
  </si>
  <si>
    <t>Home</t>
  </si>
  <si>
    <t>Away</t>
  </si>
  <si>
    <r>
      <rPr>
        <rFont val="inherit"/>
        <color rgb="FF2171CD"/>
      </rPr>
      <t>Baltimore</t>
    </r>
  </si>
  <si>
    <r>
      <rPr>
        <rFont val="inherit"/>
        <color rgb="FF2171CD"/>
      </rPr>
      <t>Pittsburgh</t>
    </r>
  </si>
  <si>
    <r>
      <rPr>
        <rFont val="inherit"/>
        <color rgb="FF2171CD"/>
      </rPr>
      <t>Green Bay</t>
    </r>
  </si>
  <si>
    <r>
      <rPr>
        <rFont val="inherit"/>
        <color rgb="FF2171CD"/>
      </rPr>
      <t>Detroit</t>
    </r>
  </si>
  <si>
    <r>
      <rPr>
        <rFont val="inherit"/>
        <color rgb="FF2171CD"/>
      </rPr>
      <t>San Francisco</t>
    </r>
  </si>
  <si>
    <r>
      <rPr>
        <rFont val="inherit"/>
        <color rgb="FF2171CD"/>
      </rPr>
      <t>Philadelphia</t>
    </r>
  </si>
  <si>
    <r>
      <rPr>
        <rFont val="inherit"/>
        <color rgb="FF2171CD"/>
      </rPr>
      <t>Washington</t>
    </r>
  </si>
  <si>
    <r>
      <rPr>
        <rFont val="inherit"/>
        <color rgb="FF2171CD"/>
      </rPr>
      <t>LA Chargers</t>
    </r>
  </si>
  <si>
    <r>
      <rPr>
        <rFont val="inherit"/>
        <color rgb="FF2171CD"/>
      </rPr>
      <t>Kansas City</t>
    </r>
  </si>
  <si>
    <r>
      <rPr>
        <rFont val="inherit"/>
        <color rgb="FF2171CD"/>
      </rPr>
      <t>Miami</t>
    </r>
  </si>
  <si>
    <r>
      <rPr>
        <rFont val="inherit"/>
        <color rgb="FF2171CD"/>
      </rPr>
      <t>New Orleans</t>
    </r>
  </si>
  <si>
    <r>
      <rPr>
        <rFont val="inherit"/>
        <color rgb="FF2171CD"/>
      </rPr>
      <t>Buffalo</t>
    </r>
  </si>
  <si>
    <r>
      <rPr>
        <rFont val="inherit"/>
        <color rgb="FF2171CD"/>
      </rPr>
      <t>Minnesota</t>
    </r>
  </si>
  <si>
    <r>
      <rPr>
        <rFont val="inherit"/>
        <color rgb="FF2171CD"/>
      </rPr>
      <t>Chicago</t>
    </r>
  </si>
  <si>
    <r>
      <rPr>
        <rFont val="inherit"/>
        <color rgb="FF2171CD"/>
      </rPr>
      <t>NY Giants</t>
    </r>
  </si>
  <si>
    <r>
      <rPr>
        <rFont val="inherit"/>
        <color rgb="FF2171CD"/>
      </rPr>
      <t>Arizona</t>
    </r>
  </si>
  <si>
    <r>
      <rPr>
        <rFont val="inherit"/>
        <color rgb="FF2171CD"/>
      </rPr>
      <t>Tennessee</t>
    </r>
  </si>
  <si>
    <r>
      <rPr>
        <rFont val="inherit"/>
        <color rgb="FF2171CD"/>
      </rPr>
      <t>New England</t>
    </r>
  </si>
  <si>
    <r>
      <rPr>
        <rFont val="inherit"/>
        <color rgb="FF2171CD"/>
      </rPr>
      <t>Houston</t>
    </r>
  </si>
  <si>
    <r>
      <rPr>
        <rFont val="inherit"/>
        <color rgb="FF2171CD"/>
      </rPr>
      <t>Tampa Bay</t>
    </r>
  </si>
  <si>
    <r>
      <rPr>
        <rFont val="inherit"/>
        <color rgb="FF2171CD"/>
      </rPr>
      <t>Indianapolis</t>
    </r>
  </si>
  <si>
    <r>
      <rPr>
        <rFont val="inherit"/>
        <color rgb="FF2171CD"/>
      </rPr>
      <t>Denver</t>
    </r>
  </si>
  <si>
    <r>
      <rPr>
        <rFont val="inherit"/>
        <color rgb="FF2171CD"/>
      </rPr>
      <t>LA Rams</t>
    </r>
  </si>
  <si>
    <r>
      <rPr>
        <rFont val="inherit"/>
        <color rgb="FF2171CD"/>
      </rPr>
      <t>Atlanta</t>
    </r>
  </si>
  <si>
    <r>
      <rPr>
        <rFont val="inherit"/>
        <color rgb="FF2171CD"/>
      </rPr>
      <t>Carolina</t>
    </r>
  </si>
  <si>
    <r>
      <rPr>
        <rFont val="inherit"/>
        <color rgb="FF2171CD"/>
      </rPr>
      <t>Cleveland</t>
    </r>
  </si>
  <si>
    <r>
      <rPr>
        <rFont val="inherit"/>
        <color rgb="FF2171CD"/>
      </rPr>
      <t>NY Jets</t>
    </r>
  </si>
  <si>
    <r>
      <rPr>
        <rFont val="inherit"/>
        <color rgb="FF2171CD"/>
      </rPr>
      <t>Dallas</t>
    </r>
  </si>
  <si>
    <r>
      <rPr>
        <rFont val="inherit"/>
        <color rgb="FF2171CD"/>
      </rPr>
      <t>Cincinnati</t>
    </r>
  </si>
  <si>
    <r>
      <rPr>
        <rFont val="inherit"/>
        <color rgb="FF2171CD"/>
      </rPr>
      <t>Jacksonville</t>
    </r>
  </si>
  <si>
    <r>
      <rPr>
        <rFont val="inherit"/>
        <color rgb="FF2171CD"/>
      </rPr>
      <t>Las Vegas</t>
    </r>
  </si>
  <si>
    <r>
      <rPr>
        <rFont val="inherit"/>
        <color rgb="FF2171CD"/>
      </rPr>
      <t>Seattle</t>
    </r>
  </si>
  <si>
    <r>
      <rPr>
        <rFont val="inherit"/>
        <color rgb="FF2171CD"/>
      </rPr>
      <t>Detroit</t>
    </r>
  </si>
  <si>
    <r>
      <rPr>
        <rFont val="inherit"/>
        <color rgb="FF2171CD"/>
      </rPr>
      <t>Tampa Bay</t>
    </r>
  </si>
  <si>
    <r>
      <rPr>
        <rFont val="inherit"/>
        <color rgb="FF2171CD"/>
      </rPr>
      <t>Baltimore</t>
    </r>
  </si>
  <si>
    <r>
      <rPr>
        <rFont val="inherit"/>
        <color rgb="FF2171CD"/>
      </rPr>
      <t>New Orleans</t>
    </r>
  </si>
  <si>
    <r>
      <rPr>
        <rFont val="inherit"/>
        <color rgb="FF2171CD"/>
      </rPr>
      <t>Buffalo</t>
    </r>
  </si>
  <si>
    <r>
      <rPr>
        <rFont val="inherit"/>
        <color rgb="FF2171CD"/>
      </rPr>
      <t>Minnesota</t>
    </r>
  </si>
  <si>
    <r>
      <rPr>
        <rFont val="inherit"/>
        <color rgb="FF2171CD"/>
      </rPr>
      <t>Washington</t>
    </r>
  </si>
  <si>
    <r>
      <rPr>
        <rFont val="inherit"/>
        <color rgb="FF2171CD"/>
      </rPr>
      <t>Chicago</t>
    </r>
  </si>
  <si>
    <r>
      <rPr>
        <rFont val="inherit"/>
        <color rgb="FF2171CD"/>
      </rPr>
      <t>Green Bay</t>
    </r>
  </si>
  <si>
    <r>
      <rPr>
        <rFont val="inherit"/>
        <color rgb="FF2171CD"/>
      </rPr>
      <t>Cincinnati</t>
    </r>
  </si>
  <si>
    <r>
      <rPr>
        <rFont val="inherit"/>
        <color rgb="FF2171CD"/>
      </rPr>
      <t>Indianapolis</t>
    </r>
  </si>
  <si>
    <r>
      <rPr>
        <rFont val="inherit"/>
        <color rgb="FF2171CD"/>
      </rPr>
      <t>Seattle</t>
    </r>
  </si>
  <si>
    <r>
      <rPr>
        <rFont val="inherit"/>
        <color rgb="FF2171CD"/>
      </rPr>
      <t>San Francisco</t>
    </r>
  </si>
  <si>
    <r>
      <rPr>
        <rFont val="inherit"/>
        <color rgb="FF2171CD"/>
      </rPr>
      <t>Atlanta</t>
    </r>
  </si>
  <si>
    <r>
      <rPr>
        <rFont val="inherit"/>
        <color rgb="FF2171CD"/>
      </rPr>
      <t>Houston</t>
    </r>
  </si>
  <si>
    <r>
      <rPr>
        <rFont val="inherit"/>
        <color rgb="FF2171CD"/>
      </rPr>
      <t>Kansas City</t>
    </r>
  </si>
  <si>
    <r>
      <rPr>
        <rFont val="inherit"/>
        <color rgb="FF2171CD"/>
      </rPr>
      <t>Philadelphia</t>
    </r>
  </si>
  <si>
    <r>
      <rPr>
        <rFont val="inherit"/>
        <color rgb="FF2171CD"/>
      </rPr>
      <t>Arizona</t>
    </r>
  </si>
  <si>
    <r>
      <rPr>
        <rFont val="inherit"/>
        <color rgb="FF2171CD"/>
      </rPr>
      <t>NY Jets</t>
    </r>
  </si>
  <si>
    <r>
      <rPr>
        <rFont val="inherit"/>
        <color rgb="FF2171CD"/>
      </rPr>
      <t>Las Vegas</t>
    </r>
  </si>
  <si>
    <r>
      <rPr>
        <rFont val="inherit"/>
        <color rgb="FF2171CD"/>
      </rPr>
      <t>Jacksonville</t>
    </r>
  </si>
  <si>
    <r>
      <rPr>
        <rFont val="inherit"/>
        <color rgb="FF2171CD"/>
      </rPr>
      <t>Tennessee</t>
    </r>
  </si>
  <si>
    <r>
      <rPr>
        <rFont val="inherit"/>
        <color rgb="FF2171CD"/>
      </rPr>
      <t>LA Rams</t>
    </r>
  </si>
  <si>
    <r>
      <rPr>
        <rFont val="inherit"/>
        <color rgb="FF2171CD"/>
      </rPr>
      <t>Dallas</t>
    </r>
  </si>
  <si>
    <r>
      <rPr>
        <rFont val="inherit"/>
        <color rgb="FF2171CD"/>
      </rPr>
      <t>Pittsburgh</t>
    </r>
  </si>
  <si>
    <r>
      <rPr>
        <rFont val="inherit"/>
        <color rgb="FF2171CD"/>
      </rPr>
      <t>Carolina</t>
    </r>
  </si>
  <si>
    <r>
      <rPr>
        <rFont val="inherit"/>
        <color rgb="FF2171CD"/>
      </rPr>
      <t>LA Chargers</t>
    </r>
  </si>
  <si>
    <r>
      <rPr>
        <rFont val="inherit"/>
        <color rgb="FF2171CD"/>
      </rPr>
      <t>Denver</t>
    </r>
  </si>
  <si>
    <r>
      <rPr>
        <rFont val="inherit"/>
        <color rgb="FF2171CD"/>
      </rPr>
      <t>NY Giants</t>
    </r>
  </si>
  <si>
    <r>
      <rPr>
        <rFont val="inherit"/>
        <color rgb="FF2171CD"/>
      </rPr>
      <t>Cleveland</t>
    </r>
  </si>
  <si>
    <r>
      <rPr>
        <rFont val="inherit"/>
        <color rgb="FF2171CD"/>
      </rPr>
      <t>New England</t>
    </r>
  </si>
  <si>
    <r>
      <rPr>
        <rFont val="inherit"/>
        <color rgb="FF2171CD"/>
      </rPr>
      <t>Miami</t>
    </r>
  </si>
  <si>
    <r>
      <rPr>
        <rFont val="&quot;Helvetica Neue&quot;, Helvetica, Arial, sans-serif"/>
        <color rgb="FF2171CD"/>
        <sz val="11.0"/>
      </rPr>
      <t>Baltimore</t>
    </r>
  </si>
  <si>
    <r>
      <rPr>
        <rFont val="&quot;Helvetica Neue&quot;, Helvetica, Arial, sans-serif"/>
        <color rgb="FF2171CD"/>
        <sz val="11.0"/>
      </rPr>
      <t>San Francisco</t>
    </r>
  </si>
  <si>
    <r>
      <rPr>
        <rFont val="&quot;Helvetica Neue&quot;, Helvetica, Arial, sans-serif"/>
        <color rgb="FF2171CD"/>
        <sz val="11.0"/>
      </rPr>
      <t>Detroit</t>
    </r>
  </si>
  <si>
    <r>
      <rPr>
        <rFont val="&quot;Helvetica Neue&quot;, Helvetica, Arial, sans-serif"/>
        <color rgb="FF2171CD"/>
        <sz val="11.0"/>
      </rPr>
      <t>Green Bay</t>
    </r>
  </si>
  <si>
    <r>
      <rPr>
        <rFont val="&quot;Helvetica Neue&quot;, Helvetica, Arial, sans-serif"/>
        <color rgb="FF2171CD"/>
        <sz val="11.0"/>
      </rPr>
      <t>Washington</t>
    </r>
  </si>
  <si>
    <r>
      <rPr>
        <rFont val="&quot;Helvetica Neue&quot;, Helvetica, Arial, sans-serif"/>
        <color rgb="FF2171CD"/>
        <sz val="11.0"/>
      </rPr>
      <t>Houston</t>
    </r>
  </si>
  <si>
    <r>
      <rPr>
        <rFont val="&quot;Helvetica Neue&quot;, Helvetica, Arial, sans-serif"/>
        <color rgb="FF2171CD"/>
        <sz val="11.0"/>
      </rPr>
      <t>Seattle</t>
    </r>
  </si>
  <si>
    <r>
      <rPr>
        <rFont val="&quot;Helvetica Neue&quot;, Helvetica, Arial, sans-serif"/>
        <color rgb="FF2171CD"/>
        <sz val="11.0"/>
      </rPr>
      <t>Atlanta</t>
    </r>
  </si>
  <si>
    <r>
      <rPr>
        <rFont val="&quot;Helvetica Neue&quot;, Helvetica, Arial, sans-serif"/>
        <color rgb="FF2171CD"/>
        <sz val="11.0"/>
      </rPr>
      <t>Tampa Bay</t>
    </r>
  </si>
  <si>
    <r>
      <rPr>
        <rFont val="&quot;Helvetica Neue&quot;, Helvetica, Arial, sans-serif"/>
        <color rgb="FF2171CD"/>
        <sz val="11.0"/>
      </rPr>
      <t>Philadelphia</t>
    </r>
  </si>
  <si>
    <r>
      <rPr>
        <rFont val="&quot;Helvetica Neue&quot;, Helvetica, Arial, sans-serif"/>
        <color rgb="FF2171CD"/>
        <sz val="11.0"/>
      </rPr>
      <t>Kansas City</t>
    </r>
  </si>
  <si>
    <r>
      <rPr>
        <rFont val="&quot;Helvetica Neue&quot;, Helvetica, Arial, sans-serif"/>
        <color rgb="FF2171CD"/>
        <sz val="11.0"/>
      </rPr>
      <t>Cincinnati</t>
    </r>
  </si>
  <si>
    <r>
      <rPr>
        <rFont val="&quot;Helvetica Neue&quot;, Helvetica, Arial, sans-serif"/>
        <color rgb="FF2171CD"/>
        <sz val="11.0"/>
      </rPr>
      <t>Indianapolis</t>
    </r>
  </si>
  <si>
    <r>
      <rPr>
        <rFont val="&quot;Helvetica Neue&quot;, Helvetica, Arial, sans-serif"/>
        <color rgb="FF2171CD"/>
        <sz val="11.0"/>
      </rPr>
      <t>Dallas</t>
    </r>
  </si>
  <si>
    <r>
      <rPr>
        <rFont val="&quot;Helvetica Neue&quot;, Helvetica, Arial, sans-serif"/>
        <color rgb="FF2171CD"/>
        <sz val="11.0"/>
      </rPr>
      <t>Arizona</t>
    </r>
  </si>
  <si>
    <r>
      <rPr>
        <rFont val="&quot;Helvetica Neue&quot;, Helvetica, Arial, sans-serif"/>
        <color rgb="FF2171CD"/>
        <sz val="11.0"/>
      </rPr>
      <t>LA Rams</t>
    </r>
  </si>
  <si>
    <r>
      <rPr>
        <rFont val="&quot;Helvetica Neue&quot;, Helvetica, Arial, sans-serif"/>
        <color rgb="FF2171CD"/>
        <sz val="11.0"/>
      </rPr>
      <t>Minnesota</t>
    </r>
  </si>
  <si>
    <r>
      <rPr>
        <rFont val="&quot;Helvetica Neue&quot;, Helvetica, Arial, sans-serif"/>
        <color rgb="FF2171CD"/>
        <sz val="11.0"/>
      </rPr>
      <t>New Orleans</t>
    </r>
  </si>
  <si>
    <r>
      <rPr>
        <rFont val="&quot;Helvetica Neue&quot;, Helvetica, Arial, sans-serif"/>
        <color rgb="FF2171CD"/>
        <sz val="11.0"/>
      </rPr>
      <t>Jacksonville</t>
    </r>
  </si>
  <si>
    <r>
      <rPr>
        <rFont val="&quot;Helvetica Neue&quot;, Helvetica, Arial, sans-serif"/>
        <color rgb="FF2171CD"/>
        <sz val="11.0"/>
      </rPr>
      <t>NY Giants</t>
    </r>
  </si>
  <si>
    <r>
      <rPr>
        <rFont val="&quot;Helvetica Neue&quot;, Helvetica, Arial, sans-serif"/>
        <color rgb="FF2171CD"/>
        <sz val="11.0"/>
      </rPr>
      <t>Buffalo</t>
    </r>
  </si>
  <si>
    <r>
      <rPr>
        <rFont val="&quot;Helvetica Neue&quot;, Helvetica, Arial, sans-serif"/>
        <color rgb="FF2171CD"/>
        <sz val="11.0"/>
      </rPr>
      <t>NY Jets</t>
    </r>
  </si>
  <si>
    <r>
      <rPr>
        <rFont val="&quot;Helvetica Neue&quot;, Helvetica, Arial, sans-serif"/>
        <color rgb="FF2171CD"/>
        <sz val="11.0"/>
      </rPr>
      <t>Miami</t>
    </r>
  </si>
  <si>
    <r>
      <rPr>
        <rFont val="&quot;Helvetica Neue&quot;, Helvetica, Arial, sans-serif"/>
        <color rgb="FF2171CD"/>
        <sz val="11.0"/>
      </rPr>
      <t>Chicago</t>
    </r>
  </si>
  <si>
    <r>
      <rPr>
        <rFont val="&quot;Helvetica Neue&quot;, Helvetica, Arial, sans-serif"/>
        <color rgb="FF2171CD"/>
        <sz val="11.0"/>
      </rPr>
      <t>Carolina</t>
    </r>
  </si>
  <si>
    <r>
      <rPr>
        <rFont val="&quot;Helvetica Neue&quot;, Helvetica, Arial, sans-serif"/>
        <color rgb="FF2171CD"/>
        <sz val="11.0"/>
      </rPr>
      <t>Pittsburgh</t>
    </r>
  </si>
  <si>
    <r>
      <rPr>
        <rFont val="&quot;Helvetica Neue&quot;, Helvetica, Arial, sans-serif"/>
        <color rgb="FF2171CD"/>
        <sz val="11.0"/>
      </rPr>
      <t>Las Vegas</t>
    </r>
  </si>
  <si>
    <r>
      <rPr>
        <rFont val="&quot;Helvetica Neue&quot;, Helvetica, Arial, sans-serif"/>
        <color rgb="FF2171CD"/>
        <sz val="11.0"/>
      </rPr>
      <t>LA Chargers</t>
    </r>
  </si>
  <si>
    <r>
      <rPr>
        <rFont val="&quot;Helvetica Neue&quot;, Helvetica, Arial, sans-serif"/>
        <color rgb="FF2171CD"/>
        <sz val="11.0"/>
      </rPr>
      <t>Denver</t>
    </r>
  </si>
  <si>
    <r>
      <rPr>
        <rFont val="&quot;Helvetica Neue&quot;, Helvetica, Arial, sans-serif"/>
        <color rgb="FF2171CD"/>
        <sz val="11.0"/>
      </rPr>
      <t>New England</t>
    </r>
  </si>
  <si>
    <r>
      <rPr>
        <rFont val="&quot;Helvetica Neue&quot;, Helvetica, Arial, sans-serif"/>
        <color rgb="FF2171CD"/>
        <sz val="11.0"/>
      </rPr>
      <t>Tennessee</t>
    </r>
  </si>
  <si>
    <r>
      <rPr>
        <rFont val="&quot;Helvetica Neue&quot;, Helvetica, Arial, sans-serif"/>
        <color rgb="FF2171CD"/>
        <sz val="11.0"/>
      </rPr>
      <t>Cleveland</t>
    </r>
  </si>
  <si>
    <r>
      <rPr>
        <rFont val="inherit"/>
        <color rgb="FF2171CD"/>
      </rPr>
      <t>Seattle</t>
    </r>
  </si>
  <si>
    <r>
      <rPr>
        <rFont val="inherit"/>
        <color rgb="FF2171CD"/>
      </rPr>
      <t>San Francisco</t>
    </r>
  </si>
  <si>
    <r>
      <rPr>
        <rFont val="inherit"/>
        <color rgb="FF2171CD"/>
      </rPr>
      <t>Dallas</t>
    </r>
  </si>
  <si>
    <r>
      <rPr>
        <rFont val="inherit"/>
        <color rgb="FF2171CD"/>
      </rPr>
      <t>Detroit</t>
    </r>
  </si>
  <si>
    <r>
      <rPr>
        <rFont val="inherit"/>
        <color rgb="FF2171CD"/>
      </rPr>
      <t>Houston</t>
    </r>
  </si>
  <si>
    <r>
      <rPr>
        <rFont val="inherit"/>
        <color rgb="FF2171CD"/>
      </rPr>
      <t>Atlanta</t>
    </r>
  </si>
  <si>
    <r>
      <rPr>
        <rFont val="inherit"/>
        <color rgb="FF2171CD"/>
      </rPr>
      <t>Cincinnati</t>
    </r>
  </si>
  <si>
    <r>
      <rPr>
        <rFont val="inherit"/>
        <color rgb="FF2171CD"/>
      </rPr>
      <t>Baltimore</t>
    </r>
  </si>
  <si>
    <r>
      <rPr>
        <rFont val="inherit"/>
        <color rgb="FF2171CD"/>
      </rPr>
      <t>Kansas City</t>
    </r>
  </si>
  <si>
    <r>
      <rPr>
        <rFont val="inherit"/>
        <color rgb="FF2171CD"/>
      </rPr>
      <t>Green Bay</t>
    </r>
  </si>
  <si>
    <r>
      <rPr>
        <rFont val="inherit"/>
        <color rgb="FF2171CD"/>
      </rPr>
      <t>Tampa Bay</t>
    </r>
  </si>
  <si>
    <r>
      <rPr>
        <rFont val="inherit"/>
        <color rgb="FF2171CD"/>
      </rPr>
      <t>LA Rams</t>
    </r>
  </si>
  <si>
    <r>
      <rPr>
        <rFont val="inherit"/>
        <color rgb="FF2171CD"/>
      </rPr>
      <t>Washington</t>
    </r>
  </si>
  <si>
    <r>
      <rPr>
        <rFont val="inherit"/>
        <color rgb="FF2171CD"/>
      </rPr>
      <t>Philadelphia</t>
    </r>
  </si>
  <si>
    <r>
      <rPr>
        <rFont val="inherit"/>
        <color rgb="FF2171CD"/>
      </rPr>
      <t>Indianapolis</t>
    </r>
  </si>
  <si>
    <r>
      <rPr>
        <rFont val="inherit"/>
        <color rgb="FF2171CD"/>
      </rPr>
      <t>NY Jets</t>
    </r>
  </si>
  <si>
    <r>
      <rPr>
        <rFont val="inherit"/>
        <color rgb="FF2171CD"/>
      </rPr>
      <t>Las Vegas</t>
    </r>
  </si>
  <si>
    <r>
      <rPr>
        <rFont val="inherit"/>
        <color rgb="FF2171CD"/>
      </rPr>
      <t>NY Giants</t>
    </r>
  </si>
  <si>
    <r>
      <rPr>
        <rFont val="inherit"/>
        <color rgb="FF2171CD"/>
      </rPr>
      <t>Minnesota</t>
    </r>
  </si>
  <si>
    <r>
      <rPr>
        <rFont val="inherit"/>
        <color rgb="FF2171CD"/>
      </rPr>
      <t>Jacksonville</t>
    </r>
  </si>
  <si>
    <r>
      <rPr>
        <rFont val="inherit"/>
        <color rgb="FF2171CD"/>
      </rPr>
      <t>New Orleans</t>
    </r>
  </si>
  <si>
    <r>
      <rPr>
        <rFont val="inherit"/>
        <color rgb="FF2171CD"/>
      </rPr>
      <t>Chicago</t>
    </r>
  </si>
  <si>
    <r>
      <rPr>
        <rFont val="inherit"/>
        <color rgb="FF2171CD"/>
      </rPr>
      <t>Carolina</t>
    </r>
  </si>
  <si>
    <r>
      <rPr>
        <rFont val="inherit"/>
        <color rgb="FF2171CD"/>
      </rPr>
      <t>Arizona</t>
    </r>
  </si>
  <si>
    <r>
      <rPr>
        <rFont val="inherit"/>
        <color rgb="FF2171CD"/>
      </rPr>
      <t>Buffalo</t>
    </r>
  </si>
  <si>
    <r>
      <rPr>
        <rFont val="inherit"/>
        <color rgb="FF2171CD"/>
      </rPr>
      <t>Miami</t>
    </r>
  </si>
  <si>
    <r>
      <rPr>
        <rFont val="inherit"/>
        <color rgb="FF2171CD"/>
      </rPr>
      <t>Denver</t>
    </r>
  </si>
  <si>
    <r>
      <rPr>
        <rFont val="inherit"/>
        <color rgb="FF2171CD"/>
      </rPr>
      <t>Pittsburgh</t>
    </r>
  </si>
  <si>
    <r>
      <rPr>
        <rFont val="inherit"/>
        <color rgb="FF2171CD"/>
      </rPr>
      <t>LA Chargers</t>
    </r>
  </si>
  <si>
    <r>
      <rPr>
        <rFont val="inherit"/>
        <color rgb="FF2171CD"/>
      </rPr>
      <t>Cleveland</t>
    </r>
  </si>
  <si>
    <r>
      <rPr>
        <rFont val="inherit"/>
        <color rgb="FF2171CD"/>
      </rPr>
      <t>Tennessee</t>
    </r>
  </si>
  <si>
    <r>
      <rPr>
        <rFont val="inherit"/>
        <color rgb="FF2171CD"/>
      </rPr>
      <t>New England</t>
    </r>
  </si>
  <si>
    <r>
      <rPr>
        <rFont val="&quot;Helvetica Neue&quot;, Helvetica, Arial, sans-serif"/>
        <color rgb="FF2171CD"/>
        <sz val="11.0"/>
      </rPr>
      <t>Baltimore</t>
    </r>
  </si>
  <si>
    <r>
      <rPr>
        <rFont val="&quot;Helvetica Neue&quot;, Helvetica, Arial, sans-serif"/>
        <color rgb="FF2171CD"/>
        <sz val="11.0"/>
      </rPr>
      <t>Green Bay</t>
    </r>
  </si>
  <si>
    <r>
      <rPr>
        <rFont val="&quot;Helvetica Neue&quot;, Helvetica, Arial, sans-serif"/>
        <color rgb="FF2171CD"/>
        <sz val="11.0"/>
      </rPr>
      <t>San Francisco</t>
    </r>
  </si>
  <si>
    <r>
      <rPr>
        <rFont val="&quot;Helvetica Neue&quot;, Helvetica, Arial, sans-serif"/>
        <color rgb="FF2171CD"/>
        <sz val="11.0"/>
      </rPr>
      <t>Detroit</t>
    </r>
  </si>
  <si>
    <r>
      <rPr>
        <rFont val="&quot;Helvetica Neue&quot;, Helvetica, Arial, sans-serif"/>
        <color rgb="FF2171CD"/>
        <sz val="11.0"/>
      </rPr>
      <t>Washington</t>
    </r>
  </si>
  <si>
    <r>
      <rPr>
        <rFont val="&quot;Helvetica Neue&quot;, Helvetica, Arial, sans-serif"/>
        <color rgb="FF2171CD"/>
        <sz val="11.0"/>
      </rPr>
      <t>Philadelphia</t>
    </r>
  </si>
  <si>
    <r>
      <rPr>
        <rFont val="&quot;Helvetica Neue&quot;, Helvetica, Arial, sans-serif"/>
        <color rgb="FF2171CD"/>
        <sz val="11.0"/>
      </rPr>
      <t>Arizona</t>
    </r>
  </si>
  <si>
    <r>
      <rPr>
        <rFont val="&quot;Helvetica Neue&quot;, Helvetica, Arial, sans-serif"/>
        <color rgb="FF2171CD"/>
        <sz val="11.0"/>
      </rPr>
      <t>Tampa Bay</t>
    </r>
  </si>
  <si>
    <r>
      <rPr>
        <rFont val="&quot;Helvetica Neue&quot;, Helvetica, Arial, sans-serif"/>
        <color rgb="FF2171CD"/>
        <sz val="11.0"/>
      </rPr>
      <t>Pittsburgh</t>
    </r>
  </si>
  <si>
    <r>
      <rPr>
        <rFont val="&quot;Helvetica Neue&quot;, Helvetica, Arial, sans-serif"/>
        <color rgb="FF2171CD"/>
        <sz val="11.0"/>
      </rPr>
      <t>LA Chargers</t>
    </r>
  </si>
  <si>
    <r>
      <rPr>
        <rFont val="&quot;Helvetica Neue&quot;, Helvetica, Arial, sans-serif"/>
        <color rgb="FF2171CD"/>
        <sz val="11.0"/>
      </rPr>
      <t>Buffalo</t>
    </r>
  </si>
  <si>
    <r>
      <rPr>
        <rFont val="&quot;Helvetica Neue&quot;, Helvetica, Arial, sans-serif"/>
        <color rgb="FF2171CD"/>
        <sz val="11.0"/>
      </rPr>
      <t>New England</t>
    </r>
  </si>
  <si>
    <r>
      <rPr>
        <rFont val="&quot;Helvetica Neue&quot;, Helvetica, Arial, sans-serif"/>
        <color rgb="FF2171CD"/>
        <sz val="11.0"/>
      </rPr>
      <t>New Orleans</t>
    </r>
  </si>
  <si>
    <r>
      <rPr>
        <rFont val="&quot;Helvetica Neue&quot;, Helvetica, Arial, sans-serif"/>
        <color rgb="FF2171CD"/>
        <sz val="11.0"/>
      </rPr>
      <t>Houston</t>
    </r>
  </si>
  <si>
    <r>
      <rPr>
        <rFont val="&quot;Helvetica Neue&quot;, Helvetica, Arial, sans-serif"/>
        <color rgb="FF2171CD"/>
        <sz val="11.0"/>
      </rPr>
      <t>Tennessee</t>
    </r>
  </si>
  <si>
    <r>
      <rPr>
        <rFont val="&quot;Helvetica Neue&quot;, Helvetica, Arial, sans-serif"/>
        <color rgb="FF2171CD"/>
        <sz val="11.0"/>
      </rPr>
      <t>Kansas City</t>
    </r>
  </si>
  <si>
    <r>
      <rPr>
        <rFont val="&quot;Helvetica Neue&quot;, Helvetica, Arial, sans-serif"/>
        <color rgb="FF2171CD"/>
        <sz val="11.0"/>
      </rPr>
      <t>Indianapolis</t>
    </r>
  </si>
  <si>
    <r>
      <rPr>
        <rFont val="&quot;Helvetica Neue&quot;, Helvetica, Arial, sans-serif"/>
        <color rgb="FF2171CD"/>
        <sz val="11.0"/>
      </rPr>
      <t>Miami</t>
    </r>
  </si>
  <si>
    <r>
      <rPr>
        <rFont val="&quot;Helvetica Neue&quot;, Helvetica, Arial, sans-serif"/>
        <color rgb="FF2171CD"/>
        <sz val="11.0"/>
      </rPr>
      <t>Jacksonville</t>
    </r>
  </si>
  <si>
    <r>
      <rPr>
        <rFont val="&quot;Helvetica Neue&quot;, Helvetica, Arial, sans-serif"/>
        <color rgb="FF2171CD"/>
        <sz val="11.0"/>
      </rPr>
      <t>Minnesota</t>
    </r>
  </si>
  <si>
    <r>
      <rPr>
        <rFont val="&quot;Helvetica Neue&quot;, Helvetica, Arial, sans-serif"/>
        <color rgb="FF2171CD"/>
        <sz val="11.0"/>
      </rPr>
      <t>Atlanta</t>
    </r>
  </si>
  <si>
    <r>
      <rPr>
        <rFont val="&quot;Helvetica Neue&quot;, Helvetica, Arial, sans-serif"/>
        <color rgb="FF2171CD"/>
        <sz val="11.0"/>
      </rPr>
      <t>Carolina</t>
    </r>
  </si>
  <si>
    <r>
      <rPr>
        <rFont val="&quot;Helvetica Neue&quot;, Helvetica, Arial, sans-serif"/>
        <color rgb="FF2171CD"/>
        <sz val="11.0"/>
      </rPr>
      <t>Denver</t>
    </r>
  </si>
  <si>
    <r>
      <rPr>
        <rFont val="&quot;Helvetica Neue&quot;, Helvetica, Arial, sans-serif"/>
        <color rgb="FF2171CD"/>
        <sz val="11.0"/>
      </rPr>
      <t>NY Giants</t>
    </r>
  </si>
  <si>
    <r>
      <rPr>
        <rFont val="&quot;Helvetica Neue&quot;, Helvetica, Arial, sans-serif"/>
        <color rgb="FF2171CD"/>
        <sz val="11.0"/>
      </rPr>
      <t>Chicago</t>
    </r>
  </si>
  <si>
    <r>
      <rPr>
        <rFont val="&quot;Helvetica Neue&quot;, Helvetica, Arial, sans-serif"/>
        <color rgb="FF2171CD"/>
        <sz val="11.0"/>
      </rPr>
      <t>Cincinnati</t>
    </r>
  </si>
  <si>
    <r>
      <rPr>
        <rFont val="&quot;Helvetica Neue&quot;, Helvetica, Arial, sans-serif"/>
        <color rgb="FF2171CD"/>
        <sz val="11.0"/>
      </rPr>
      <t>LA Rams</t>
    </r>
  </si>
  <si>
    <r>
      <rPr>
        <rFont val="&quot;Helvetica Neue&quot;, Helvetica, Arial, sans-serif"/>
        <color rgb="FF2171CD"/>
        <sz val="11.0"/>
      </rPr>
      <t>Cleveland</t>
    </r>
  </si>
  <si>
    <r>
      <rPr>
        <rFont val="&quot;Helvetica Neue&quot;, Helvetica, Arial, sans-serif"/>
        <color rgb="FF2171CD"/>
        <sz val="11.0"/>
      </rPr>
      <t>Seattle</t>
    </r>
  </si>
  <si>
    <r>
      <rPr>
        <rFont val="&quot;Helvetica Neue&quot;, Helvetica, Arial, sans-serif"/>
        <color rgb="FF2171CD"/>
        <sz val="11.0"/>
      </rPr>
      <t>NY Jets</t>
    </r>
  </si>
  <si>
    <r>
      <rPr>
        <rFont val="&quot;Helvetica Neue&quot;, Helvetica, Arial, sans-serif"/>
        <color rgb="FF2171CD"/>
        <sz val="11.0"/>
      </rPr>
      <t>Las Vegas</t>
    </r>
  </si>
  <si>
    <r>
      <rPr>
        <rFont val="&quot;Helvetica Neue&quot;, Helvetica, Arial, sans-serif"/>
        <color rgb="FF2171CD"/>
        <sz val="11.0"/>
      </rPr>
      <t>Dallas</t>
    </r>
  </si>
  <si>
    <r>
      <rPr>
        <rFont val="&quot;Helvetica Neue&quot;, Helvetica, Arial, sans-serif"/>
        <color rgb="FF2171CD"/>
        <sz val="11.0"/>
      </rPr>
      <t>Baltimore</t>
    </r>
  </si>
  <si>
    <r>
      <rPr>
        <rFont val="&quot;Helvetica Neue&quot;, Helvetica, Arial, sans-serif"/>
        <color rgb="FF2171CD"/>
        <sz val="11.0"/>
      </rPr>
      <t>Detroit</t>
    </r>
  </si>
  <si>
    <r>
      <rPr>
        <rFont val="&quot;Helvetica Neue&quot;, Helvetica, Arial, sans-serif"/>
        <color rgb="FF2171CD"/>
        <sz val="11.0"/>
      </rPr>
      <t>San Francisco</t>
    </r>
  </si>
  <si>
    <r>
      <rPr>
        <rFont val="&quot;Helvetica Neue&quot;, Helvetica, Arial, sans-serif"/>
        <color rgb="FF2171CD"/>
        <sz val="11.0"/>
      </rPr>
      <t>Seattle</t>
    </r>
  </si>
  <si>
    <r>
      <rPr>
        <rFont val="&quot;Helvetica Neue&quot;, Helvetica, Arial, sans-serif"/>
        <color rgb="FF2171CD"/>
        <sz val="11.0"/>
      </rPr>
      <t>Tampa Bay</t>
    </r>
  </si>
  <si>
    <r>
      <rPr>
        <rFont val="&quot;Helvetica Neue&quot;, Helvetica, Arial, sans-serif"/>
        <color rgb="FF2171CD"/>
        <sz val="11.0"/>
      </rPr>
      <t>Washington</t>
    </r>
  </si>
  <si>
    <r>
      <rPr>
        <rFont val="&quot;Helvetica Neue&quot;, Helvetica, Arial, sans-serif"/>
        <color rgb="FF2171CD"/>
        <sz val="11.0"/>
      </rPr>
      <t>Kansas City</t>
    </r>
  </si>
  <si>
    <r>
      <rPr>
        <rFont val="&quot;Helvetica Neue&quot;, Helvetica, Arial, sans-serif"/>
        <color rgb="FF2171CD"/>
        <sz val="11.0"/>
      </rPr>
      <t>LA Rams</t>
    </r>
  </si>
  <si>
    <r>
      <rPr>
        <rFont val="&quot;Helvetica Neue&quot;, Helvetica, Arial, sans-serif"/>
        <color rgb="FF2171CD"/>
        <sz val="11.0"/>
      </rPr>
      <t>Green Bay</t>
    </r>
  </si>
  <si>
    <r>
      <rPr>
        <rFont val="&quot;Helvetica Neue&quot;, Helvetica, Arial, sans-serif"/>
        <color rgb="FF2171CD"/>
        <sz val="11.0"/>
      </rPr>
      <t>Atlanta</t>
    </r>
  </si>
  <si>
    <r>
      <rPr>
        <rFont val="&quot;Helvetica Neue&quot;, Helvetica, Arial, sans-serif"/>
        <color rgb="FF2171CD"/>
        <sz val="11.0"/>
      </rPr>
      <t>Philadelphia</t>
    </r>
  </si>
  <si>
    <r>
      <rPr>
        <rFont val="&quot;Helvetica Neue&quot;, Helvetica, Arial, sans-serif"/>
        <color rgb="FF2171CD"/>
        <sz val="11.0"/>
      </rPr>
      <t>Houston</t>
    </r>
  </si>
  <si>
    <r>
      <rPr>
        <rFont val="&quot;Helvetica Neue&quot;, Helvetica, Arial, sans-serif"/>
        <color rgb="FF2171CD"/>
        <sz val="11.0"/>
      </rPr>
      <t>Cincinnati</t>
    </r>
  </si>
  <si>
    <r>
      <rPr>
        <rFont val="&quot;Helvetica Neue&quot;, Helvetica, Arial, sans-serif"/>
        <color rgb="FF2171CD"/>
        <sz val="11.0"/>
      </rPr>
      <t>Chicago</t>
    </r>
  </si>
  <si>
    <r>
      <rPr>
        <rFont val="&quot;Helvetica Neue&quot;, Helvetica, Arial, sans-serif"/>
        <color rgb="FF2171CD"/>
        <sz val="11.0"/>
      </rPr>
      <t>NY Giants</t>
    </r>
  </si>
  <si>
    <r>
      <rPr>
        <rFont val="&quot;Helvetica Neue&quot;, Helvetica, Arial, sans-serif"/>
        <color rgb="FF2171CD"/>
        <sz val="11.0"/>
      </rPr>
      <t>Dallas</t>
    </r>
  </si>
  <si>
    <r>
      <rPr>
        <rFont val="&quot;Helvetica Neue&quot;, Helvetica, Arial, sans-serif"/>
        <color rgb="FF2171CD"/>
        <sz val="11.0"/>
      </rPr>
      <t>New Orleans</t>
    </r>
  </si>
  <si>
    <r>
      <rPr>
        <rFont val="&quot;Helvetica Neue&quot;, Helvetica, Arial, sans-serif"/>
        <color rgb="FF2171CD"/>
        <sz val="11.0"/>
      </rPr>
      <t>Indianapolis</t>
    </r>
  </si>
  <si>
    <r>
      <rPr>
        <rFont val="&quot;Helvetica Neue&quot;, Helvetica, Arial, sans-serif"/>
        <color rgb="FF2171CD"/>
        <sz val="11.0"/>
      </rPr>
      <t>Buffalo</t>
    </r>
  </si>
  <si>
    <r>
      <rPr>
        <rFont val="&quot;Helvetica Neue&quot;, Helvetica, Arial, sans-serif"/>
        <color rgb="FF2171CD"/>
        <sz val="11.0"/>
      </rPr>
      <t>Arizona</t>
    </r>
  </si>
  <si>
    <r>
      <rPr>
        <rFont val="&quot;Helvetica Neue&quot;, Helvetica, Arial, sans-serif"/>
        <color rgb="FF2171CD"/>
        <sz val="11.0"/>
      </rPr>
      <t>Minnesota</t>
    </r>
  </si>
  <si>
    <r>
      <rPr>
        <rFont val="&quot;Helvetica Neue&quot;, Helvetica, Arial, sans-serif"/>
        <color rgb="FF2171CD"/>
        <sz val="11.0"/>
      </rPr>
      <t>NY Jets</t>
    </r>
  </si>
  <si>
    <r>
      <rPr>
        <rFont val="&quot;Helvetica Neue&quot;, Helvetica, Arial, sans-serif"/>
        <color rgb="FF2171CD"/>
        <sz val="11.0"/>
      </rPr>
      <t>Pittsburgh</t>
    </r>
  </si>
  <si>
    <r>
      <rPr>
        <rFont val="&quot;Helvetica Neue&quot;, Helvetica, Arial, sans-serif"/>
        <color rgb="FF2171CD"/>
        <sz val="11.0"/>
      </rPr>
      <t>Jacksonville</t>
    </r>
  </si>
  <si>
    <r>
      <rPr>
        <rFont val="&quot;Helvetica Neue&quot;, Helvetica, Arial, sans-serif"/>
        <color rgb="FF2171CD"/>
        <sz val="11.0"/>
      </rPr>
      <t>Miami</t>
    </r>
  </si>
  <si>
    <r>
      <rPr>
        <rFont val="&quot;Helvetica Neue&quot;, Helvetica, Arial, sans-serif"/>
        <color rgb="FF2171CD"/>
        <sz val="11.0"/>
      </rPr>
      <t>Las Vegas</t>
    </r>
  </si>
  <si>
    <r>
      <rPr>
        <rFont val="&quot;Helvetica Neue&quot;, Helvetica, Arial, sans-serif"/>
        <color rgb="FF2171CD"/>
        <sz val="11.0"/>
      </rPr>
      <t>Tennessee</t>
    </r>
  </si>
  <si>
    <r>
      <rPr>
        <rFont val="&quot;Helvetica Neue&quot;, Helvetica, Arial, sans-serif"/>
        <color rgb="FF2171CD"/>
        <sz val="11.0"/>
      </rPr>
      <t>Carolina</t>
    </r>
  </si>
  <si>
    <r>
      <rPr>
        <rFont val="&quot;Helvetica Neue&quot;, Helvetica, Arial, sans-serif"/>
        <color rgb="FF2171CD"/>
        <sz val="11.0"/>
      </rPr>
      <t>LA Chargers</t>
    </r>
  </si>
  <si>
    <r>
      <rPr>
        <rFont val="&quot;Helvetica Neue&quot;, Helvetica, Arial, sans-serif"/>
        <color rgb="FF2171CD"/>
        <sz val="11.0"/>
      </rPr>
      <t>New England</t>
    </r>
  </si>
  <si>
    <r>
      <rPr>
        <rFont val="&quot;Helvetica Neue&quot;, Helvetica, Arial, sans-serif"/>
        <color rgb="FF2171CD"/>
        <sz val="11.0"/>
      </rPr>
      <t>Denver</t>
    </r>
  </si>
  <si>
    <r>
      <rPr>
        <rFont val="&quot;Helvetica Neue&quot;, Helvetica, Arial, sans-serif"/>
        <color rgb="FF2171CD"/>
        <sz val="11.0"/>
      </rPr>
      <t>Cleveland</t>
    </r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</si>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</sst>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color rgb="FF0000FF"/>
    </font>
    <font>
      <b/>
      <color theme="1"/>
      <name val="Inherit"/>
    </font>
    <font>
      <color theme="1"/>
      <name val="Inherit"/>
    </font>
    <font>
      <u/>
      <color rgb="FF0000FF"/>
      <name val="Inherit"/>
    </font>
    <font>
      <sz val="11.0"/>
      <color rgb="FF222222"/>
      <name val="&quot;Helvetica Neue&quot;"/>
    </font>
    <font>
      <b/>
      <sz val="11.0"/>
      <color rgb="FF222222"/>
      <name val="&quot;Helvetica Neue&quot;"/>
    </font>
    <font>
      <u/>
      <sz val="11.0"/>
      <color rgb="FF0000FF"/>
      <name val="&quot;Helvetica Neue&quot;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5" numFmtId="0" xfId="0" applyFont="1"/>
    <xf borderId="0" fillId="2" fontId="6" numFmtId="0" xfId="0" applyAlignment="1" applyFill="1" applyFont="1">
      <alignment horizontal="center" readingOrder="0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right" readingOrder="0"/>
    </xf>
    <xf borderId="0" fillId="2" fontId="6" numFmtId="0" xfId="0" applyAlignment="1" applyFont="1">
      <alignment horizontal="right" readingOrder="0" shrinkToFit="0" wrapText="0"/>
    </xf>
    <xf borderId="2" fillId="3" fontId="7" numFmtId="0" xfId="0" applyAlignment="1" applyBorder="1" applyFill="1" applyFont="1">
      <alignment horizontal="center" readingOrder="0"/>
    </xf>
    <xf borderId="2" fillId="0" fontId="8" numFmtId="0" xfId="0" applyAlignment="1" applyBorder="1" applyFont="1">
      <alignment horizontal="left" readingOrder="0" shrinkToFit="0" wrapText="0"/>
    </xf>
    <xf borderId="2" fillId="3" fontId="7" numFmtId="0" xfId="0" applyAlignment="1" applyBorder="1" applyFont="1">
      <alignment horizontal="right" readingOrder="0"/>
    </xf>
    <xf borderId="0" fillId="3" fontId="9" numFmtId="0" xfId="0" applyAlignment="1" applyFont="1">
      <alignment horizontal="center"/>
    </xf>
    <xf borderId="0" fillId="2" fontId="10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0" fillId="2" fontId="10" numFmtId="0" xfId="0" applyAlignment="1" applyFont="1">
      <alignment horizontal="right" readingOrder="0"/>
    </xf>
    <xf borderId="0" fillId="2" fontId="10" numFmtId="0" xfId="0" applyAlignment="1" applyFont="1">
      <alignment horizontal="right" readingOrder="0" shrinkToFit="0" wrapText="0"/>
    </xf>
    <xf borderId="2" fillId="3" fontId="9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3" fontId="9" numFmtId="0" xfId="0" applyAlignment="1" applyBorder="1" applyFont="1">
      <alignment horizontal="right"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arizona-cardinals" TargetMode="External"/><Relationship Id="rId22" Type="http://schemas.openxmlformats.org/officeDocument/2006/relationships/hyperlink" Target="https://www.teamrankings.com/nfl/team/new-york-jets" TargetMode="External"/><Relationship Id="rId21" Type="http://schemas.openxmlformats.org/officeDocument/2006/relationships/hyperlink" Target="https://www.teamrankings.com/nfl/team/minnesota-vikings" TargetMode="External"/><Relationship Id="rId24" Type="http://schemas.openxmlformats.org/officeDocument/2006/relationships/hyperlink" Target="https://www.teamrankings.com/nfl/team/jacksonville-jaguars" TargetMode="External"/><Relationship Id="rId23" Type="http://schemas.openxmlformats.org/officeDocument/2006/relationships/hyperlink" Target="https://www.teamrankings.com/nfl/team/pittsburgh-steeler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detroit-lions" TargetMode="External"/><Relationship Id="rId3" Type="http://schemas.openxmlformats.org/officeDocument/2006/relationships/hyperlink" Target="https://www.teamrankings.com/nfl/team/san-francisco-49ers" TargetMode="External"/><Relationship Id="rId4" Type="http://schemas.openxmlformats.org/officeDocument/2006/relationships/hyperlink" Target="https://www.teamrankings.com/nfl/team/seattle-seahawks" TargetMode="External"/><Relationship Id="rId9" Type="http://schemas.openxmlformats.org/officeDocument/2006/relationships/hyperlink" Target="https://www.teamrankings.com/nfl/team/green-bay-packers" TargetMode="External"/><Relationship Id="rId26" Type="http://schemas.openxmlformats.org/officeDocument/2006/relationships/hyperlink" Target="https://www.teamrankings.com/nfl/team/las-vegas-raiders" TargetMode="External"/><Relationship Id="rId25" Type="http://schemas.openxmlformats.org/officeDocument/2006/relationships/hyperlink" Target="https://www.teamrankings.com/nfl/team/miami-dolphins" TargetMode="External"/><Relationship Id="rId28" Type="http://schemas.openxmlformats.org/officeDocument/2006/relationships/hyperlink" Target="https://www.teamrankings.com/nfl/team/carolina-panthers" TargetMode="External"/><Relationship Id="rId27" Type="http://schemas.openxmlformats.org/officeDocument/2006/relationships/hyperlink" Target="https://www.teamrankings.com/nfl/team/tennessee-titans" TargetMode="External"/><Relationship Id="rId5" Type="http://schemas.openxmlformats.org/officeDocument/2006/relationships/hyperlink" Target="https://www.teamrankings.com/nfl/team/tampa-bay-buccaneers" TargetMode="External"/><Relationship Id="rId6" Type="http://schemas.openxmlformats.org/officeDocument/2006/relationships/hyperlink" Target="https://www.teamrankings.com/nfl/team/washington-commanders" TargetMode="External"/><Relationship Id="rId29" Type="http://schemas.openxmlformats.org/officeDocument/2006/relationships/hyperlink" Target="https://www.teamrankings.com/nfl/team/los-angeles-chargers" TargetMode="External"/><Relationship Id="rId7" Type="http://schemas.openxmlformats.org/officeDocument/2006/relationships/hyperlink" Target="https://www.teamrankings.com/nfl/team/kansas-city-chiefs" TargetMode="External"/><Relationship Id="rId8" Type="http://schemas.openxmlformats.org/officeDocument/2006/relationships/hyperlink" Target="https://www.teamrankings.com/nfl/team/los-angeles-rams" TargetMode="External"/><Relationship Id="rId31" Type="http://schemas.openxmlformats.org/officeDocument/2006/relationships/hyperlink" Target="https://www.teamrankings.com/nfl/team/denver-bronco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philadelphia-eagles" TargetMode="External"/><Relationship Id="rId33" Type="http://schemas.openxmlformats.org/officeDocument/2006/relationships/drawing" Target="../drawings/drawing10.xml"/><Relationship Id="rId10" Type="http://schemas.openxmlformats.org/officeDocument/2006/relationships/hyperlink" Target="https://www.teamrankings.com/nfl/team/atlanta-falcons" TargetMode="External"/><Relationship Id="rId32" Type="http://schemas.openxmlformats.org/officeDocument/2006/relationships/hyperlink" Target="https://www.teamrankings.com/nfl/team/cleveland-browns" TargetMode="External"/><Relationship Id="rId13" Type="http://schemas.openxmlformats.org/officeDocument/2006/relationships/hyperlink" Target="https://www.teamrankings.com/nfl/team/cincinnati-bengals" TargetMode="External"/><Relationship Id="rId12" Type="http://schemas.openxmlformats.org/officeDocument/2006/relationships/hyperlink" Target="https://www.teamrankings.com/nfl/team/houston-texans" TargetMode="External"/><Relationship Id="rId15" Type="http://schemas.openxmlformats.org/officeDocument/2006/relationships/hyperlink" Target="https://www.teamrankings.com/nfl/team/new-york-giants" TargetMode="External"/><Relationship Id="rId14" Type="http://schemas.openxmlformats.org/officeDocument/2006/relationships/hyperlink" Target="https://www.teamrankings.com/nfl/team/chicago-bears" TargetMode="External"/><Relationship Id="rId17" Type="http://schemas.openxmlformats.org/officeDocument/2006/relationships/hyperlink" Target="https://www.teamrankings.com/nfl/team/new-orleans-saints" TargetMode="External"/><Relationship Id="rId16" Type="http://schemas.openxmlformats.org/officeDocument/2006/relationships/hyperlink" Target="https://www.teamrankings.com/nfl/team/dallas-cowboys" TargetMode="External"/><Relationship Id="rId19" Type="http://schemas.openxmlformats.org/officeDocument/2006/relationships/hyperlink" Target="https://www.teamrankings.com/nfl/team/buffalo-bills" TargetMode="External"/><Relationship Id="rId18" Type="http://schemas.openxmlformats.org/officeDocument/2006/relationships/hyperlink" Target="https://www.teamrankings.com/nfl/team/indianapolis-colt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indianapolis-colts" TargetMode="External"/><Relationship Id="rId22" Type="http://schemas.openxmlformats.org/officeDocument/2006/relationships/hyperlink" Target="https://www.teamrankings.com/nfl/team/los-angeles-rams" TargetMode="External"/><Relationship Id="rId21" Type="http://schemas.openxmlformats.org/officeDocument/2006/relationships/hyperlink" Target="https://www.teamrankings.com/nfl/team/denver-broncos" TargetMode="External"/><Relationship Id="rId24" Type="http://schemas.openxmlformats.org/officeDocument/2006/relationships/hyperlink" Target="https://www.teamrankings.com/nfl/team/carolina-panthers" TargetMode="External"/><Relationship Id="rId23" Type="http://schemas.openxmlformats.org/officeDocument/2006/relationships/hyperlink" Target="https://www.teamrankings.com/nfl/team/atlanta-falcons" TargetMode="External"/><Relationship Id="rId1" Type="http://schemas.openxmlformats.org/officeDocument/2006/relationships/hyperlink" Target="https://www.teamrankings.com/nfl/team/pittsburgh-steelers" TargetMode="External"/><Relationship Id="rId2" Type="http://schemas.openxmlformats.org/officeDocument/2006/relationships/hyperlink" Target="https://www.teamrankings.com/nfl/team/green-bay-packers" TargetMode="External"/><Relationship Id="rId3" Type="http://schemas.openxmlformats.org/officeDocument/2006/relationships/hyperlink" Target="https://www.teamrankings.com/nfl/team/detroit-lions" TargetMode="External"/><Relationship Id="rId4" Type="http://schemas.openxmlformats.org/officeDocument/2006/relationships/hyperlink" Target="https://www.teamrankings.com/nfl/team/san-francisco-49ers" TargetMode="External"/><Relationship Id="rId9" Type="http://schemas.openxmlformats.org/officeDocument/2006/relationships/hyperlink" Target="https://www.teamrankings.com/nfl/team/miami-dolphins" TargetMode="External"/><Relationship Id="rId26" Type="http://schemas.openxmlformats.org/officeDocument/2006/relationships/hyperlink" Target="https://www.teamrankings.com/nfl/team/new-york-jets" TargetMode="External"/><Relationship Id="rId25" Type="http://schemas.openxmlformats.org/officeDocument/2006/relationships/hyperlink" Target="https://www.teamrankings.com/nfl/team/cleveland-browns" TargetMode="External"/><Relationship Id="rId28" Type="http://schemas.openxmlformats.org/officeDocument/2006/relationships/hyperlink" Target="https://www.teamrankings.com/nfl/team/cincinnati-bengals" TargetMode="External"/><Relationship Id="rId27" Type="http://schemas.openxmlformats.org/officeDocument/2006/relationships/hyperlink" Target="https://www.teamrankings.com/nfl/team/dallas-cowboys" TargetMode="External"/><Relationship Id="rId5" Type="http://schemas.openxmlformats.org/officeDocument/2006/relationships/hyperlink" Target="https://www.teamrankings.com/nfl/team/philadelphia-eagles" TargetMode="External"/><Relationship Id="rId6" Type="http://schemas.openxmlformats.org/officeDocument/2006/relationships/hyperlink" Target="https://www.teamrankings.com/nfl/team/washington-commanders" TargetMode="External"/><Relationship Id="rId29" Type="http://schemas.openxmlformats.org/officeDocument/2006/relationships/hyperlink" Target="https://www.teamrankings.com/nfl/team/jacksonville-jaguars" TargetMode="External"/><Relationship Id="rId7" Type="http://schemas.openxmlformats.org/officeDocument/2006/relationships/hyperlink" Target="https://www.teamrankings.com/nfl/team/los-angeles-chargers" TargetMode="External"/><Relationship Id="rId8" Type="http://schemas.openxmlformats.org/officeDocument/2006/relationships/hyperlink" Target="https://www.teamrankings.com/nfl/team/kansas-city-chiefs" TargetMode="External"/><Relationship Id="rId31" Type="http://schemas.openxmlformats.org/officeDocument/2006/relationships/hyperlink" Target="https://www.teamrankings.com/nfl/team/seattle-seahawks" TargetMode="External"/><Relationship Id="rId30" Type="http://schemas.openxmlformats.org/officeDocument/2006/relationships/hyperlink" Target="https://www.teamrankings.com/nfl/team/las-vegas-raiders" TargetMode="External"/><Relationship Id="rId11" Type="http://schemas.openxmlformats.org/officeDocument/2006/relationships/hyperlink" Target="https://www.teamrankings.com/nfl/team/buffalo-bills" TargetMode="External"/><Relationship Id="rId10" Type="http://schemas.openxmlformats.org/officeDocument/2006/relationships/hyperlink" Target="https://www.teamrankings.com/nfl/team/new-orleans-saints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www.teamrankings.com/nfl/team/chicago-bears" TargetMode="External"/><Relationship Id="rId12" Type="http://schemas.openxmlformats.org/officeDocument/2006/relationships/hyperlink" Target="https://www.teamrankings.com/nfl/team/minnesota-vikings" TargetMode="External"/><Relationship Id="rId15" Type="http://schemas.openxmlformats.org/officeDocument/2006/relationships/hyperlink" Target="https://www.teamrankings.com/nfl/team/arizona-cardinals" TargetMode="External"/><Relationship Id="rId14" Type="http://schemas.openxmlformats.org/officeDocument/2006/relationships/hyperlink" Target="https://www.teamrankings.com/nfl/team/new-york-giants" TargetMode="External"/><Relationship Id="rId17" Type="http://schemas.openxmlformats.org/officeDocument/2006/relationships/hyperlink" Target="https://www.teamrankings.com/nfl/team/new-england-patriots" TargetMode="External"/><Relationship Id="rId16" Type="http://schemas.openxmlformats.org/officeDocument/2006/relationships/hyperlink" Target="https://www.teamrankings.com/nfl/team/tennessee-titans" TargetMode="External"/><Relationship Id="rId19" Type="http://schemas.openxmlformats.org/officeDocument/2006/relationships/hyperlink" Target="https://www.teamrankings.com/nfl/team/tampa-bay-buccaneers" TargetMode="External"/><Relationship Id="rId18" Type="http://schemas.openxmlformats.org/officeDocument/2006/relationships/hyperlink" Target="https://www.teamrankings.com/nfl/team/houston-texans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tampa-bay-buccaneers" TargetMode="External"/><Relationship Id="rId22" Type="http://schemas.openxmlformats.org/officeDocument/2006/relationships/hyperlink" Target="https://www.teamrankings.com/nfl/team/denver-broncos" TargetMode="External"/><Relationship Id="rId21" Type="http://schemas.openxmlformats.org/officeDocument/2006/relationships/hyperlink" Target="https://www.teamrankings.com/nfl/team/indianapolis-colts" TargetMode="External"/><Relationship Id="rId24" Type="http://schemas.openxmlformats.org/officeDocument/2006/relationships/hyperlink" Target="https://www.teamrankings.com/nfl/team/atlanta-falcons" TargetMode="External"/><Relationship Id="rId23" Type="http://schemas.openxmlformats.org/officeDocument/2006/relationships/hyperlink" Target="https://www.teamrankings.com/nfl/team/los-angeles-ram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pittsburgh-steelers" TargetMode="External"/><Relationship Id="rId3" Type="http://schemas.openxmlformats.org/officeDocument/2006/relationships/hyperlink" Target="https://www.teamrankings.com/nfl/team/green-bay-packers" TargetMode="External"/><Relationship Id="rId4" Type="http://schemas.openxmlformats.org/officeDocument/2006/relationships/hyperlink" Target="https://www.teamrankings.com/nfl/team/detroit-lions" TargetMode="External"/><Relationship Id="rId9" Type="http://schemas.openxmlformats.org/officeDocument/2006/relationships/hyperlink" Target="https://www.teamrankings.com/nfl/team/kansas-city-chiefs" TargetMode="External"/><Relationship Id="rId26" Type="http://schemas.openxmlformats.org/officeDocument/2006/relationships/hyperlink" Target="https://www.teamrankings.com/nfl/team/cleveland-browns" TargetMode="External"/><Relationship Id="rId25" Type="http://schemas.openxmlformats.org/officeDocument/2006/relationships/hyperlink" Target="https://www.teamrankings.com/nfl/team/carolina-panthers" TargetMode="External"/><Relationship Id="rId28" Type="http://schemas.openxmlformats.org/officeDocument/2006/relationships/hyperlink" Target="https://www.teamrankings.com/nfl/team/dallas-cowboys" TargetMode="External"/><Relationship Id="rId27" Type="http://schemas.openxmlformats.org/officeDocument/2006/relationships/hyperlink" Target="https://www.teamrankings.com/nfl/team/new-york-jets" TargetMode="External"/><Relationship Id="rId5" Type="http://schemas.openxmlformats.org/officeDocument/2006/relationships/hyperlink" Target="https://www.teamrankings.com/nfl/team/san-francisco-49ers" TargetMode="External"/><Relationship Id="rId6" Type="http://schemas.openxmlformats.org/officeDocument/2006/relationships/hyperlink" Target="https://www.teamrankings.com/nfl/team/philadelphia-eagles" TargetMode="External"/><Relationship Id="rId29" Type="http://schemas.openxmlformats.org/officeDocument/2006/relationships/hyperlink" Target="https://www.teamrankings.com/nfl/team/cincinnati-bengals" TargetMode="External"/><Relationship Id="rId7" Type="http://schemas.openxmlformats.org/officeDocument/2006/relationships/hyperlink" Target="https://www.teamrankings.com/nfl/team/washington-commanders" TargetMode="External"/><Relationship Id="rId8" Type="http://schemas.openxmlformats.org/officeDocument/2006/relationships/hyperlink" Target="https://www.teamrankings.com/nfl/team/los-angeles-chargers" TargetMode="External"/><Relationship Id="rId31" Type="http://schemas.openxmlformats.org/officeDocument/2006/relationships/hyperlink" Target="https://www.teamrankings.com/nfl/team/las-vegas-raiders" TargetMode="External"/><Relationship Id="rId30" Type="http://schemas.openxmlformats.org/officeDocument/2006/relationships/hyperlink" Target="https://www.teamrankings.com/nfl/team/jacksonville-jaguars" TargetMode="External"/><Relationship Id="rId11" Type="http://schemas.openxmlformats.org/officeDocument/2006/relationships/hyperlink" Target="https://www.teamrankings.com/nfl/team/new-orleans-saints" TargetMode="External"/><Relationship Id="rId33" Type="http://schemas.openxmlformats.org/officeDocument/2006/relationships/drawing" Target="../drawings/drawing5.xml"/><Relationship Id="rId10" Type="http://schemas.openxmlformats.org/officeDocument/2006/relationships/hyperlink" Target="https://www.teamrankings.com/nfl/team/miami-dolphins" TargetMode="External"/><Relationship Id="rId32" Type="http://schemas.openxmlformats.org/officeDocument/2006/relationships/hyperlink" Target="https://www.teamrankings.com/nfl/team/seattle-seahawks" TargetMode="External"/><Relationship Id="rId13" Type="http://schemas.openxmlformats.org/officeDocument/2006/relationships/hyperlink" Target="https://www.teamrankings.com/nfl/team/minnesota-vikings" TargetMode="External"/><Relationship Id="rId12" Type="http://schemas.openxmlformats.org/officeDocument/2006/relationships/hyperlink" Target="https://www.teamrankings.com/nfl/team/buffalo-bills" TargetMode="External"/><Relationship Id="rId15" Type="http://schemas.openxmlformats.org/officeDocument/2006/relationships/hyperlink" Target="https://www.teamrankings.com/nfl/team/new-york-giants" TargetMode="External"/><Relationship Id="rId14" Type="http://schemas.openxmlformats.org/officeDocument/2006/relationships/hyperlink" Target="https://www.teamrankings.com/nfl/team/chicago-bears" TargetMode="External"/><Relationship Id="rId17" Type="http://schemas.openxmlformats.org/officeDocument/2006/relationships/hyperlink" Target="https://www.teamrankings.com/nfl/team/tennessee-titans" TargetMode="External"/><Relationship Id="rId16" Type="http://schemas.openxmlformats.org/officeDocument/2006/relationships/hyperlink" Target="https://www.teamrankings.com/nfl/team/arizona-cardinals" TargetMode="External"/><Relationship Id="rId19" Type="http://schemas.openxmlformats.org/officeDocument/2006/relationships/hyperlink" Target="https://www.teamrankings.com/nfl/team/houston-texans" TargetMode="External"/><Relationship Id="rId18" Type="http://schemas.openxmlformats.org/officeDocument/2006/relationships/hyperlink" Target="https://www.teamrankings.com/nfl/team/new-england-patriot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las-vegas-raiders" TargetMode="External"/><Relationship Id="rId22" Type="http://schemas.openxmlformats.org/officeDocument/2006/relationships/hyperlink" Target="https://www.teamrankings.com/nfl/team/tennessee-titans" TargetMode="External"/><Relationship Id="rId21" Type="http://schemas.openxmlformats.org/officeDocument/2006/relationships/hyperlink" Target="https://www.teamrankings.com/nfl/team/jacksonville-jaguars" TargetMode="External"/><Relationship Id="rId24" Type="http://schemas.openxmlformats.org/officeDocument/2006/relationships/hyperlink" Target="https://www.teamrankings.com/nfl/team/dallas-cowboys" TargetMode="External"/><Relationship Id="rId23" Type="http://schemas.openxmlformats.org/officeDocument/2006/relationships/hyperlink" Target="https://www.teamrankings.com/nfl/team/los-angeles-rams" TargetMode="External"/><Relationship Id="rId1" Type="http://schemas.openxmlformats.org/officeDocument/2006/relationships/hyperlink" Target="https://www.teamrankings.com/nfl/team/detroit-lions" TargetMode="External"/><Relationship Id="rId2" Type="http://schemas.openxmlformats.org/officeDocument/2006/relationships/hyperlink" Target="https://www.teamrankings.com/nfl/team/tampa-bay-buccaneers" TargetMode="External"/><Relationship Id="rId3" Type="http://schemas.openxmlformats.org/officeDocument/2006/relationships/hyperlink" Target="https://www.teamrankings.com/nfl/team/baltimore-ravens" TargetMode="External"/><Relationship Id="rId4" Type="http://schemas.openxmlformats.org/officeDocument/2006/relationships/hyperlink" Target="https://www.teamrankings.com/nfl/team/new-orleans-saints" TargetMode="External"/><Relationship Id="rId9" Type="http://schemas.openxmlformats.org/officeDocument/2006/relationships/hyperlink" Target="https://www.teamrankings.com/nfl/team/green-bay-packers" TargetMode="External"/><Relationship Id="rId26" Type="http://schemas.openxmlformats.org/officeDocument/2006/relationships/hyperlink" Target="https://www.teamrankings.com/nfl/team/carolina-panthers" TargetMode="External"/><Relationship Id="rId25" Type="http://schemas.openxmlformats.org/officeDocument/2006/relationships/hyperlink" Target="https://www.teamrankings.com/nfl/team/pittsburgh-steelers" TargetMode="External"/><Relationship Id="rId28" Type="http://schemas.openxmlformats.org/officeDocument/2006/relationships/hyperlink" Target="https://www.teamrankings.com/nfl/team/denver-broncos" TargetMode="External"/><Relationship Id="rId27" Type="http://schemas.openxmlformats.org/officeDocument/2006/relationships/hyperlink" Target="https://www.teamrankings.com/nfl/team/los-angeles-chargers" TargetMode="External"/><Relationship Id="rId5" Type="http://schemas.openxmlformats.org/officeDocument/2006/relationships/hyperlink" Target="https://www.teamrankings.com/nfl/team/buffalo-bill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new-york-giants" TargetMode="External"/><Relationship Id="rId7" Type="http://schemas.openxmlformats.org/officeDocument/2006/relationships/hyperlink" Target="https://www.teamrankings.com/nfl/team/washington-commanders" TargetMode="External"/><Relationship Id="rId8" Type="http://schemas.openxmlformats.org/officeDocument/2006/relationships/hyperlink" Target="https://www.teamrankings.com/nfl/team/chicago-bears" TargetMode="External"/><Relationship Id="rId31" Type="http://schemas.openxmlformats.org/officeDocument/2006/relationships/hyperlink" Target="https://www.teamrankings.com/nfl/team/new-england-patriots" TargetMode="External"/><Relationship Id="rId30" Type="http://schemas.openxmlformats.org/officeDocument/2006/relationships/hyperlink" Target="https://www.teamrankings.com/nfl/team/cleveland-browns" TargetMode="External"/><Relationship Id="rId11" Type="http://schemas.openxmlformats.org/officeDocument/2006/relationships/hyperlink" Target="https://www.teamrankings.com/nfl/team/indianapolis-colts" TargetMode="External"/><Relationship Id="rId33" Type="http://schemas.openxmlformats.org/officeDocument/2006/relationships/drawing" Target="../drawings/drawing6.xml"/><Relationship Id="rId10" Type="http://schemas.openxmlformats.org/officeDocument/2006/relationships/hyperlink" Target="https://www.teamrankings.com/nfl/team/cincinnati-bengals" TargetMode="External"/><Relationship Id="rId32" Type="http://schemas.openxmlformats.org/officeDocument/2006/relationships/hyperlink" Target="https://www.teamrankings.com/nfl/team/miami-dolphins" TargetMode="External"/><Relationship Id="rId13" Type="http://schemas.openxmlformats.org/officeDocument/2006/relationships/hyperlink" Target="https://www.teamrankings.com/nfl/team/san-francisco-49ers" TargetMode="External"/><Relationship Id="rId12" Type="http://schemas.openxmlformats.org/officeDocument/2006/relationships/hyperlink" Target="https://www.teamrankings.com/nfl/team/seattle-seahawks" TargetMode="External"/><Relationship Id="rId15" Type="http://schemas.openxmlformats.org/officeDocument/2006/relationships/hyperlink" Target="https://www.teamrankings.com/nfl/team/houston-texans" TargetMode="External"/><Relationship Id="rId14" Type="http://schemas.openxmlformats.org/officeDocument/2006/relationships/hyperlink" Target="https://www.teamrankings.com/nfl/team/atlanta-falcons" TargetMode="External"/><Relationship Id="rId17" Type="http://schemas.openxmlformats.org/officeDocument/2006/relationships/hyperlink" Target="https://www.teamrankings.com/nfl/team/philadelphia-eagles" TargetMode="External"/><Relationship Id="rId16" Type="http://schemas.openxmlformats.org/officeDocument/2006/relationships/hyperlink" Target="https://www.teamrankings.com/nfl/team/kansas-city-chiefs" TargetMode="External"/><Relationship Id="rId19" Type="http://schemas.openxmlformats.org/officeDocument/2006/relationships/hyperlink" Target="https://www.teamrankings.com/nfl/team/new-york-jets" TargetMode="External"/><Relationship Id="rId18" Type="http://schemas.openxmlformats.org/officeDocument/2006/relationships/hyperlink" Target="https://www.teamrankings.com/nfl/team/arizona-cardinals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new-york-giants" TargetMode="External"/><Relationship Id="rId22" Type="http://schemas.openxmlformats.org/officeDocument/2006/relationships/hyperlink" Target="https://www.teamrankings.com/nfl/team/new-york-jets" TargetMode="External"/><Relationship Id="rId21" Type="http://schemas.openxmlformats.org/officeDocument/2006/relationships/hyperlink" Target="https://www.teamrankings.com/nfl/team/buffalo-bills" TargetMode="External"/><Relationship Id="rId24" Type="http://schemas.openxmlformats.org/officeDocument/2006/relationships/hyperlink" Target="https://www.teamrankings.com/nfl/team/chicago-bears" TargetMode="External"/><Relationship Id="rId23" Type="http://schemas.openxmlformats.org/officeDocument/2006/relationships/hyperlink" Target="https://www.teamrankings.com/nfl/team/miami-dolphin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san-francisco-49ers" TargetMode="External"/><Relationship Id="rId3" Type="http://schemas.openxmlformats.org/officeDocument/2006/relationships/hyperlink" Target="https://www.teamrankings.com/nfl/team/detroit-lions" TargetMode="External"/><Relationship Id="rId4" Type="http://schemas.openxmlformats.org/officeDocument/2006/relationships/hyperlink" Target="https://www.teamrankings.com/nfl/team/green-bay-packers" TargetMode="External"/><Relationship Id="rId9" Type="http://schemas.openxmlformats.org/officeDocument/2006/relationships/hyperlink" Target="https://www.teamrankings.com/nfl/team/tampa-bay-buccaneers" TargetMode="External"/><Relationship Id="rId26" Type="http://schemas.openxmlformats.org/officeDocument/2006/relationships/hyperlink" Target="https://www.teamrankings.com/nfl/team/pittsburgh-steelers" TargetMode="External"/><Relationship Id="rId25" Type="http://schemas.openxmlformats.org/officeDocument/2006/relationships/hyperlink" Target="https://www.teamrankings.com/nfl/team/carolina-panthers" TargetMode="External"/><Relationship Id="rId28" Type="http://schemas.openxmlformats.org/officeDocument/2006/relationships/hyperlink" Target="https://www.teamrankings.com/nfl/team/los-angeles-chargers" TargetMode="External"/><Relationship Id="rId27" Type="http://schemas.openxmlformats.org/officeDocument/2006/relationships/hyperlink" Target="https://www.teamrankings.com/nfl/team/las-vegas-raiders" TargetMode="External"/><Relationship Id="rId5" Type="http://schemas.openxmlformats.org/officeDocument/2006/relationships/hyperlink" Target="https://www.teamrankings.com/nfl/team/washington-commanders" TargetMode="External"/><Relationship Id="rId6" Type="http://schemas.openxmlformats.org/officeDocument/2006/relationships/hyperlink" Target="https://www.teamrankings.com/nfl/team/houston-texans" TargetMode="External"/><Relationship Id="rId29" Type="http://schemas.openxmlformats.org/officeDocument/2006/relationships/hyperlink" Target="https://www.teamrankings.com/nfl/team/denver-broncos" TargetMode="External"/><Relationship Id="rId7" Type="http://schemas.openxmlformats.org/officeDocument/2006/relationships/hyperlink" Target="https://www.teamrankings.com/nfl/team/seattle-seahawks" TargetMode="External"/><Relationship Id="rId8" Type="http://schemas.openxmlformats.org/officeDocument/2006/relationships/hyperlink" Target="https://www.teamrankings.com/nfl/team/atlanta-falcons" TargetMode="External"/><Relationship Id="rId31" Type="http://schemas.openxmlformats.org/officeDocument/2006/relationships/hyperlink" Target="https://www.teamrankings.com/nfl/team/tennessee-titans" TargetMode="External"/><Relationship Id="rId30" Type="http://schemas.openxmlformats.org/officeDocument/2006/relationships/hyperlink" Target="https://www.teamrankings.com/nfl/team/new-england-patriots" TargetMode="External"/><Relationship Id="rId11" Type="http://schemas.openxmlformats.org/officeDocument/2006/relationships/hyperlink" Target="https://www.teamrankings.com/nfl/team/kansas-city-chiefs" TargetMode="External"/><Relationship Id="rId33" Type="http://schemas.openxmlformats.org/officeDocument/2006/relationships/drawing" Target="../drawings/drawing7.xml"/><Relationship Id="rId10" Type="http://schemas.openxmlformats.org/officeDocument/2006/relationships/hyperlink" Target="https://www.teamrankings.com/nfl/team/philadelphia-eagles" TargetMode="External"/><Relationship Id="rId32" Type="http://schemas.openxmlformats.org/officeDocument/2006/relationships/hyperlink" Target="https://www.teamrankings.com/nfl/team/cleveland-browns" TargetMode="External"/><Relationship Id="rId13" Type="http://schemas.openxmlformats.org/officeDocument/2006/relationships/hyperlink" Target="https://www.teamrankings.com/nfl/team/indianapolis-colts" TargetMode="External"/><Relationship Id="rId12" Type="http://schemas.openxmlformats.org/officeDocument/2006/relationships/hyperlink" Target="https://www.teamrankings.com/nfl/team/cincinnati-bengals" TargetMode="External"/><Relationship Id="rId15" Type="http://schemas.openxmlformats.org/officeDocument/2006/relationships/hyperlink" Target="https://www.teamrankings.com/nfl/team/arizona-cardinals" TargetMode="External"/><Relationship Id="rId14" Type="http://schemas.openxmlformats.org/officeDocument/2006/relationships/hyperlink" Target="https://www.teamrankings.com/nfl/team/dallas-cowboys" TargetMode="External"/><Relationship Id="rId17" Type="http://schemas.openxmlformats.org/officeDocument/2006/relationships/hyperlink" Target="https://www.teamrankings.com/nfl/team/minnesota-vikings" TargetMode="External"/><Relationship Id="rId16" Type="http://schemas.openxmlformats.org/officeDocument/2006/relationships/hyperlink" Target="https://www.teamrankings.com/nfl/team/los-angeles-rams" TargetMode="External"/><Relationship Id="rId19" Type="http://schemas.openxmlformats.org/officeDocument/2006/relationships/hyperlink" Target="https://www.teamrankings.com/nfl/team/jacksonville-jaguars" TargetMode="External"/><Relationship Id="rId18" Type="http://schemas.openxmlformats.org/officeDocument/2006/relationships/hyperlink" Target="https://www.teamrankings.com/nfl/team/new-orleans-saints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jacksonville-jaguars" TargetMode="External"/><Relationship Id="rId22" Type="http://schemas.openxmlformats.org/officeDocument/2006/relationships/hyperlink" Target="https://www.teamrankings.com/nfl/team/chicago-bears" TargetMode="External"/><Relationship Id="rId21" Type="http://schemas.openxmlformats.org/officeDocument/2006/relationships/hyperlink" Target="https://www.teamrankings.com/nfl/team/new-orleans-saints" TargetMode="External"/><Relationship Id="rId24" Type="http://schemas.openxmlformats.org/officeDocument/2006/relationships/hyperlink" Target="https://www.teamrankings.com/nfl/team/arizona-cardinals" TargetMode="External"/><Relationship Id="rId23" Type="http://schemas.openxmlformats.org/officeDocument/2006/relationships/hyperlink" Target="https://www.teamrankings.com/nfl/team/carolina-panthers" TargetMode="External"/><Relationship Id="rId1" Type="http://schemas.openxmlformats.org/officeDocument/2006/relationships/hyperlink" Target="https://www.teamrankings.com/nfl/team/seattle-seahawks" TargetMode="External"/><Relationship Id="rId2" Type="http://schemas.openxmlformats.org/officeDocument/2006/relationships/hyperlink" Target="https://www.teamrankings.com/nfl/team/san-francisco-49ers" TargetMode="External"/><Relationship Id="rId3" Type="http://schemas.openxmlformats.org/officeDocument/2006/relationships/hyperlink" Target="https://www.teamrankings.com/nfl/team/dallas-cowboys" TargetMode="External"/><Relationship Id="rId4" Type="http://schemas.openxmlformats.org/officeDocument/2006/relationships/hyperlink" Target="https://www.teamrankings.com/nfl/team/detroit-lions" TargetMode="External"/><Relationship Id="rId9" Type="http://schemas.openxmlformats.org/officeDocument/2006/relationships/hyperlink" Target="https://www.teamrankings.com/nfl/team/kansas-city-chiefs" TargetMode="External"/><Relationship Id="rId26" Type="http://schemas.openxmlformats.org/officeDocument/2006/relationships/hyperlink" Target="https://www.teamrankings.com/nfl/team/miami-dolphins" TargetMode="External"/><Relationship Id="rId25" Type="http://schemas.openxmlformats.org/officeDocument/2006/relationships/hyperlink" Target="https://www.teamrankings.com/nfl/team/buffalo-bills" TargetMode="External"/><Relationship Id="rId28" Type="http://schemas.openxmlformats.org/officeDocument/2006/relationships/hyperlink" Target="https://www.teamrankings.com/nfl/team/pittsburgh-steelers" TargetMode="External"/><Relationship Id="rId27" Type="http://schemas.openxmlformats.org/officeDocument/2006/relationships/hyperlink" Target="https://www.teamrankings.com/nfl/team/denver-broncos" TargetMode="External"/><Relationship Id="rId5" Type="http://schemas.openxmlformats.org/officeDocument/2006/relationships/hyperlink" Target="https://www.teamrankings.com/nfl/team/houston-texans" TargetMode="External"/><Relationship Id="rId6" Type="http://schemas.openxmlformats.org/officeDocument/2006/relationships/hyperlink" Target="https://www.teamrankings.com/nfl/team/atlanta-falcons" TargetMode="External"/><Relationship Id="rId29" Type="http://schemas.openxmlformats.org/officeDocument/2006/relationships/hyperlink" Target="https://www.teamrankings.com/nfl/team/los-angeles-chargers" TargetMode="External"/><Relationship Id="rId7" Type="http://schemas.openxmlformats.org/officeDocument/2006/relationships/hyperlink" Target="https://www.teamrankings.com/nfl/team/cincinnati-bengals" TargetMode="External"/><Relationship Id="rId8" Type="http://schemas.openxmlformats.org/officeDocument/2006/relationships/hyperlink" Target="https://www.teamrankings.com/nfl/team/baltimore-ravens" TargetMode="External"/><Relationship Id="rId31" Type="http://schemas.openxmlformats.org/officeDocument/2006/relationships/hyperlink" Target="https://www.teamrankings.com/nfl/team/tennessee-titans" TargetMode="External"/><Relationship Id="rId30" Type="http://schemas.openxmlformats.org/officeDocument/2006/relationships/hyperlink" Target="https://www.teamrankings.com/nfl/team/cleveland-browns" TargetMode="External"/><Relationship Id="rId11" Type="http://schemas.openxmlformats.org/officeDocument/2006/relationships/hyperlink" Target="https://www.teamrankings.com/nfl/team/tampa-bay-buccaneers" TargetMode="External"/><Relationship Id="rId33" Type="http://schemas.openxmlformats.org/officeDocument/2006/relationships/drawing" Target="../drawings/drawing8.xml"/><Relationship Id="rId10" Type="http://schemas.openxmlformats.org/officeDocument/2006/relationships/hyperlink" Target="https://www.teamrankings.com/nfl/team/green-bay-packers" TargetMode="External"/><Relationship Id="rId32" Type="http://schemas.openxmlformats.org/officeDocument/2006/relationships/hyperlink" Target="https://www.teamrankings.com/nfl/team/new-england-patriots" TargetMode="External"/><Relationship Id="rId13" Type="http://schemas.openxmlformats.org/officeDocument/2006/relationships/hyperlink" Target="https://www.teamrankings.com/nfl/team/washington-commanders" TargetMode="External"/><Relationship Id="rId12" Type="http://schemas.openxmlformats.org/officeDocument/2006/relationships/hyperlink" Target="https://www.teamrankings.com/nfl/team/los-angeles-rams" TargetMode="External"/><Relationship Id="rId15" Type="http://schemas.openxmlformats.org/officeDocument/2006/relationships/hyperlink" Target="https://www.teamrankings.com/nfl/team/indianapolis-colts" TargetMode="External"/><Relationship Id="rId14" Type="http://schemas.openxmlformats.org/officeDocument/2006/relationships/hyperlink" Target="https://www.teamrankings.com/nfl/team/philadelphia-eagles" TargetMode="External"/><Relationship Id="rId17" Type="http://schemas.openxmlformats.org/officeDocument/2006/relationships/hyperlink" Target="https://www.teamrankings.com/nfl/team/las-vegas-raiders" TargetMode="External"/><Relationship Id="rId16" Type="http://schemas.openxmlformats.org/officeDocument/2006/relationships/hyperlink" Target="https://www.teamrankings.com/nfl/team/new-york-jets" TargetMode="External"/><Relationship Id="rId19" Type="http://schemas.openxmlformats.org/officeDocument/2006/relationships/hyperlink" Target="https://www.teamrankings.com/nfl/team/minnesota-vikings" TargetMode="External"/><Relationship Id="rId18" Type="http://schemas.openxmlformats.org/officeDocument/2006/relationships/hyperlink" Target="https://www.teamrankings.com/nfl/team/new-york-giants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minnesota-vikings" TargetMode="External"/><Relationship Id="rId22" Type="http://schemas.openxmlformats.org/officeDocument/2006/relationships/hyperlink" Target="https://www.teamrankings.com/nfl/team/carolina-panthers" TargetMode="External"/><Relationship Id="rId21" Type="http://schemas.openxmlformats.org/officeDocument/2006/relationships/hyperlink" Target="https://www.teamrankings.com/nfl/team/atlanta-falcons" TargetMode="External"/><Relationship Id="rId24" Type="http://schemas.openxmlformats.org/officeDocument/2006/relationships/hyperlink" Target="https://www.teamrankings.com/nfl/team/new-york-giants" TargetMode="External"/><Relationship Id="rId23" Type="http://schemas.openxmlformats.org/officeDocument/2006/relationships/hyperlink" Target="https://www.teamrankings.com/nfl/team/denver-broncos" TargetMode="External"/><Relationship Id="rId1" Type="http://schemas.openxmlformats.org/officeDocument/2006/relationships/hyperlink" Target="https://www.teamrankings.com/nfl/team/baltimore-ravens" TargetMode="External"/><Relationship Id="rId2" Type="http://schemas.openxmlformats.org/officeDocument/2006/relationships/hyperlink" Target="https://www.teamrankings.com/nfl/team/green-bay-packers" TargetMode="External"/><Relationship Id="rId3" Type="http://schemas.openxmlformats.org/officeDocument/2006/relationships/hyperlink" Target="https://www.teamrankings.com/nfl/team/san-francisco-49ers" TargetMode="External"/><Relationship Id="rId4" Type="http://schemas.openxmlformats.org/officeDocument/2006/relationships/hyperlink" Target="https://www.teamrankings.com/nfl/team/detroit-lions" TargetMode="External"/><Relationship Id="rId9" Type="http://schemas.openxmlformats.org/officeDocument/2006/relationships/hyperlink" Target="https://www.teamrankings.com/nfl/team/pittsburgh-steelers" TargetMode="External"/><Relationship Id="rId26" Type="http://schemas.openxmlformats.org/officeDocument/2006/relationships/hyperlink" Target="https://www.teamrankings.com/nfl/team/cincinnati-bengals" TargetMode="External"/><Relationship Id="rId25" Type="http://schemas.openxmlformats.org/officeDocument/2006/relationships/hyperlink" Target="https://www.teamrankings.com/nfl/team/chicago-bears" TargetMode="External"/><Relationship Id="rId28" Type="http://schemas.openxmlformats.org/officeDocument/2006/relationships/hyperlink" Target="https://www.teamrankings.com/nfl/team/cleveland-browns" TargetMode="External"/><Relationship Id="rId27" Type="http://schemas.openxmlformats.org/officeDocument/2006/relationships/hyperlink" Target="https://www.teamrankings.com/nfl/team/los-angeles-rams" TargetMode="External"/><Relationship Id="rId5" Type="http://schemas.openxmlformats.org/officeDocument/2006/relationships/hyperlink" Target="https://www.teamrankings.com/nfl/team/washington-commanders" TargetMode="External"/><Relationship Id="rId6" Type="http://schemas.openxmlformats.org/officeDocument/2006/relationships/hyperlink" Target="https://www.teamrankings.com/nfl/team/philadelphia-eagles" TargetMode="External"/><Relationship Id="rId29" Type="http://schemas.openxmlformats.org/officeDocument/2006/relationships/hyperlink" Target="https://www.teamrankings.com/nfl/team/seattle-seahawks" TargetMode="External"/><Relationship Id="rId7" Type="http://schemas.openxmlformats.org/officeDocument/2006/relationships/hyperlink" Target="https://www.teamrankings.com/nfl/team/arizona-cardinals" TargetMode="External"/><Relationship Id="rId8" Type="http://schemas.openxmlformats.org/officeDocument/2006/relationships/hyperlink" Target="https://www.teamrankings.com/nfl/team/tampa-bay-buccaneers" TargetMode="External"/><Relationship Id="rId31" Type="http://schemas.openxmlformats.org/officeDocument/2006/relationships/hyperlink" Target="https://www.teamrankings.com/nfl/team/las-vegas-raiders" TargetMode="External"/><Relationship Id="rId30" Type="http://schemas.openxmlformats.org/officeDocument/2006/relationships/hyperlink" Target="https://www.teamrankings.com/nfl/team/new-york-jets" TargetMode="External"/><Relationship Id="rId11" Type="http://schemas.openxmlformats.org/officeDocument/2006/relationships/hyperlink" Target="https://www.teamrankings.com/nfl/team/buffalo-bills" TargetMode="External"/><Relationship Id="rId33" Type="http://schemas.openxmlformats.org/officeDocument/2006/relationships/drawing" Target="../drawings/drawing9.xml"/><Relationship Id="rId10" Type="http://schemas.openxmlformats.org/officeDocument/2006/relationships/hyperlink" Target="https://www.teamrankings.com/nfl/team/los-angeles-chargers" TargetMode="External"/><Relationship Id="rId32" Type="http://schemas.openxmlformats.org/officeDocument/2006/relationships/hyperlink" Target="https://www.teamrankings.com/nfl/team/dallas-cowboys" TargetMode="External"/><Relationship Id="rId13" Type="http://schemas.openxmlformats.org/officeDocument/2006/relationships/hyperlink" Target="https://www.teamrankings.com/nfl/team/new-orleans-saints" TargetMode="External"/><Relationship Id="rId12" Type="http://schemas.openxmlformats.org/officeDocument/2006/relationships/hyperlink" Target="https://www.teamrankings.com/nfl/team/new-england-patriots" TargetMode="External"/><Relationship Id="rId15" Type="http://schemas.openxmlformats.org/officeDocument/2006/relationships/hyperlink" Target="https://www.teamrankings.com/nfl/team/tennessee-titans" TargetMode="External"/><Relationship Id="rId14" Type="http://schemas.openxmlformats.org/officeDocument/2006/relationships/hyperlink" Target="https://www.teamrankings.com/nfl/team/houston-texans" TargetMode="External"/><Relationship Id="rId17" Type="http://schemas.openxmlformats.org/officeDocument/2006/relationships/hyperlink" Target="https://www.teamrankings.com/nfl/team/indianapolis-colts" TargetMode="External"/><Relationship Id="rId16" Type="http://schemas.openxmlformats.org/officeDocument/2006/relationships/hyperlink" Target="https://www.teamrankings.com/nfl/team/kansas-city-chiefs" TargetMode="External"/><Relationship Id="rId19" Type="http://schemas.openxmlformats.org/officeDocument/2006/relationships/hyperlink" Target="https://www.teamrankings.com/nfl/team/jacksonville-jaguars" TargetMode="External"/><Relationship Id="rId18" Type="http://schemas.openxmlformats.org/officeDocument/2006/relationships/hyperlink" Target="https://www.teamrankings.com/nfl/team/miami-dolph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5" max="15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</row>
    <row r="2">
      <c r="A2" s="3">
        <f>VLOOKUP(D2,map!D:E,2,false)</f>
        <v>29</v>
      </c>
      <c r="B2" s="3">
        <f>VLOOKUP(E2,map!D:E,2,false)</f>
        <v>26</v>
      </c>
      <c r="C2" s="3" t="str">
        <f>IFERROR(__xludf.DUMMYFUNCTION("UNIQUE(odds!A2:A1000)"),"86278ec4bbdcadd945d79df6c695c2ec")</f>
        <v>86278ec4bbdcadd945d79df6c695c2ec</v>
      </c>
      <c r="D2" s="3" t="str">
        <f>VLOOKUP($C2,odds!$A:$G,6,false)</f>
        <v>Pittsburgh Steelers</v>
      </c>
      <c r="E2" s="3" t="str">
        <f>VLOOKUP($C2,odds!$A:$G,7,false)</f>
        <v>New York Giants</v>
      </c>
      <c r="F2" s="4">
        <f>VLOOKUP(A2,team_data!A:H,8,false)</f>
        <v>26.945</v>
      </c>
      <c r="G2" s="4">
        <f>VLOOKUP(B2,team_data!A:H,8,false)</f>
        <v>19.605</v>
      </c>
      <c r="H2" s="4">
        <f t="shared" ref="H2:H27" si="1">SUM(F2:G2)</f>
        <v>46.55</v>
      </c>
      <c r="I2" s="3">
        <f>VLOOKUP(C2,odds!A:L,12,false)</f>
        <v>37.5</v>
      </c>
      <c r="J2" s="4">
        <f t="shared" ref="J2:J27" si="2">H2-I2</f>
        <v>9.05</v>
      </c>
      <c r="K2" s="3" t="str">
        <f t="shared" ref="K2:K27" si="3">IF(J2&gt;=7.65,"Over",if(J2&lt;=-7.65,"Under",""))</f>
        <v>Over</v>
      </c>
      <c r="L2" s="3">
        <f>VLOOKUP(C2,spread!A:L,12,false)</f>
        <v>6</v>
      </c>
      <c r="M2" s="5">
        <f t="shared" ref="M2:M27" si="4">SUM(F2-G2)*-1</f>
        <v>-7.34</v>
      </c>
      <c r="N2" s="5">
        <f t="shared" ref="N2:N27" si="5">L2-M2</f>
        <v>13.34</v>
      </c>
      <c r="O2" s="3" t="str">
        <f t="shared" ref="O2:O27" si="6">IF(N2&gt;=7.65,D2,if(N2&lt;=-7.65,E2,""))</f>
        <v>Pittsburgh Steelers</v>
      </c>
    </row>
    <row r="3">
      <c r="A3" s="3" t="str">
        <f>VLOOKUP(D3,map!D:E,2,false)</f>
        <v>#N/A</v>
      </c>
      <c r="B3" s="3" t="str">
        <f>VLOOKUP(E3,map!D:E,2,false)</f>
        <v>#N/A</v>
      </c>
      <c r="C3" s="3"/>
      <c r="D3" s="3" t="str">
        <f>VLOOKUP($C3,odds!$A:$G,6,false)</f>
        <v>#N/A</v>
      </c>
      <c r="E3" s="3" t="str">
        <f>VLOOKUP($C3,odds!$A:$G,7,false)</f>
        <v>#N/A</v>
      </c>
      <c r="F3" s="3" t="str">
        <f>VLOOKUP(A3,team_data!A:H,8,false)</f>
        <v>#N/A</v>
      </c>
      <c r="G3" s="3" t="str">
        <f>VLOOKUP(B3,team_data!A:H,8,false)</f>
        <v>#N/A</v>
      </c>
      <c r="H3" s="3" t="str">
        <f t="shared" si="1"/>
        <v>#N/A</v>
      </c>
      <c r="I3" s="3" t="str">
        <f>VLOOKUP(C3,odds!A:L,12,false)</f>
        <v>#N/A</v>
      </c>
      <c r="J3" s="3" t="str">
        <f t="shared" si="2"/>
        <v>#N/A</v>
      </c>
      <c r="K3" s="3" t="str">
        <f t="shared" si="3"/>
        <v>#N/A</v>
      </c>
      <c r="L3" s="3" t="str">
        <f>VLOOKUP(C3,spread!A:L,12,false)</f>
        <v>#N/A</v>
      </c>
      <c r="M3" s="5" t="str">
        <f t="shared" si="4"/>
        <v>#N/A</v>
      </c>
      <c r="N3" s="5" t="str">
        <f t="shared" si="5"/>
        <v>#N/A</v>
      </c>
      <c r="O3" s="3" t="str">
        <f t="shared" si="6"/>
        <v>#N/A</v>
      </c>
    </row>
    <row r="4">
      <c r="A4" s="3" t="str">
        <f>VLOOKUP(D4,map!D:E,2,false)</f>
        <v>#N/A</v>
      </c>
      <c r="B4" s="3" t="str">
        <f>VLOOKUP(E4,map!D:E,2,false)</f>
        <v>#N/A</v>
      </c>
      <c r="D4" s="3" t="str">
        <f>VLOOKUP($C4,odds!$A:$G,6,false)</f>
        <v>#N/A</v>
      </c>
      <c r="E4" s="3" t="str">
        <f>VLOOKUP($C4,odds!$A:$G,7,false)</f>
        <v>#N/A</v>
      </c>
      <c r="F4" s="3" t="str">
        <f>VLOOKUP(A4,team_data!A:H,8,false)</f>
        <v>#N/A</v>
      </c>
      <c r="G4" s="3" t="str">
        <f>VLOOKUP(B4,team_data!A:H,8,false)</f>
        <v>#N/A</v>
      </c>
      <c r="H4" s="3" t="str">
        <f t="shared" si="1"/>
        <v>#N/A</v>
      </c>
      <c r="I4" s="3" t="str">
        <f>VLOOKUP(C4,odds!A:L,12,false)</f>
        <v>#N/A</v>
      </c>
      <c r="J4" s="3" t="str">
        <f t="shared" si="2"/>
        <v>#N/A</v>
      </c>
      <c r="K4" s="3" t="str">
        <f t="shared" si="3"/>
        <v>#N/A</v>
      </c>
      <c r="L4" s="3" t="str">
        <f>VLOOKUP(C4,spread!A:L,12,false)</f>
        <v>#N/A</v>
      </c>
      <c r="M4" s="5" t="str">
        <f t="shared" si="4"/>
        <v>#N/A</v>
      </c>
      <c r="N4" s="5" t="str">
        <f t="shared" si="5"/>
        <v>#N/A</v>
      </c>
      <c r="O4" s="3" t="str">
        <f t="shared" si="6"/>
        <v>#N/A</v>
      </c>
    </row>
    <row r="5">
      <c r="A5" s="3" t="str">
        <f>VLOOKUP(D5,map!D:E,2,false)</f>
        <v>#N/A</v>
      </c>
      <c r="B5" s="3" t="str">
        <f>VLOOKUP(E5,map!D:E,2,false)</f>
        <v>#N/A</v>
      </c>
      <c r="D5" s="3" t="str">
        <f>VLOOKUP($C5,odds!$A:$G,6,false)</f>
        <v>#N/A</v>
      </c>
      <c r="E5" s="3" t="str">
        <f>VLOOKUP($C5,odds!$A:$G,7,false)</f>
        <v>#N/A</v>
      </c>
      <c r="F5" s="3" t="str">
        <f>VLOOKUP(A5,team_data!A:H,8,false)</f>
        <v>#N/A</v>
      </c>
      <c r="G5" s="3" t="str">
        <f>VLOOKUP(B5,team_data!A:H,8,false)</f>
        <v>#N/A</v>
      </c>
      <c r="H5" s="3" t="str">
        <f t="shared" si="1"/>
        <v>#N/A</v>
      </c>
      <c r="I5" s="3" t="str">
        <f>VLOOKUP(C5,odds!A:L,12,false)</f>
        <v>#N/A</v>
      </c>
      <c r="J5" s="3" t="str">
        <f t="shared" si="2"/>
        <v>#N/A</v>
      </c>
      <c r="K5" s="3" t="str">
        <f t="shared" si="3"/>
        <v>#N/A</v>
      </c>
      <c r="L5" s="3" t="str">
        <f>VLOOKUP(C5,spread!A:L,12,false)</f>
        <v>#N/A</v>
      </c>
      <c r="M5" s="5" t="str">
        <f t="shared" si="4"/>
        <v>#N/A</v>
      </c>
      <c r="N5" s="5" t="str">
        <f t="shared" si="5"/>
        <v>#N/A</v>
      </c>
      <c r="O5" s="3" t="str">
        <f t="shared" si="6"/>
        <v>#N/A</v>
      </c>
    </row>
    <row r="6">
      <c r="A6" s="3" t="str">
        <f>VLOOKUP(D6,map!D:E,2,false)</f>
        <v>#N/A</v>
      </c>
      <c r="B6" s="3" t="str">
        <f>VLOOKUP(E6,map!D:E,2,false)</f>
        <v>#N/A</v>
      </c>
      <c r="D6" s="3" t="str">
        <f>VLOOKUP($C6,odds!$A:$G,6,false)</f>
        <v>#N/A</v>
      </c>
      <c r="E6" s="3" t="str">
        <f>VLOOKUP($C6,odds!$A:$G,7,false)</f>
        <v>#N/A</v>
      </c>
      <c r="F6" s="3" t="str">
        <f>VLOOKUP(A6,team_data!A:H,8,false)</f>
        <v>#N/A</v>
      </c>
      <c r="G6" s="3" t="str">
        <f>VLOOKUP(B6,team_data!A:H,8,false)</f>
        <v>#N/A</v>
      </c>
      <c r="H6" s="3" t="str">
        <f t="shared" si="1"/>
        <v>#N/A</v>
      </c>
      <c r="I6" s="3" t="str">
        <f>VLOOKUP(C6,odds!A:L,12,false)</f>
        <v>#N/A</v>
      </c>
      <c r="J6" s="3" t="str">
        <f t="shared" si="2"/>
        <v>#N/A</v>
      </c>
      <c r="K6" s="3" t="str">
        <f t="shared" si="3"/>
        <v>#N/A</v>
      </c>
      <c r="L6" s="3" t="str">
        <f>VLOOKUP(C6,spread!A:L,12,false)</f>
        <v>#N/A</v>
      </c>
      <c r="M6" s="5" t="str">
        <f t="shared" si="4"/>
        <v>#N/A</v>
      </c>
      <c r="N6" s="5" t="str">
        <f t="shared" si="5"/>
        <v>#N/A</v>
      </c>
      <c r="O6" s="3" t="str">
        <f t="shared" si="6"/>
        <v>#N/A</v>
      </c>
    </row>
    <row r="7">
      <c r="A7" s="3" t="str">
        <f>VLOOKUP(D7,map!D:E,2,false)</f>
        <v>#N/A</v>
      </c>
      <c r="B7" s="3" t="str">
        <f>VLOOKUP(E7,map!D:E,2,false)</f>
        <v>#N/A</v>
      </c>
      <c r="D7" s="3" t="str">
        <f>VLOOKUP($C7,odds!$A:$G,6,false)</f>
        <v>#N/A</v>
      </c>
      <c r="E7" s="3" t="str">
        <f>VLOOKUP($C7,odds!$A:$G,7,false)</f>
        <v>#N/A</v>
      </c>
      <c r="F7" s="3" t="str">
        <f>VLOOKUP(A7,team_data!A:H,8,false)</f>
        <v>#N/A</v>
      </c>
      <c r="G7" s="3" t="str">
        <f>VLOOKUP(B7,team_data!A:H,8,false)</f>
        <v>#N/A</v>
      </c>
      <c r="H7" s="3" t="str">
        <f t="shared" si="1"/>
        <v>#N/A</v>
      </c>
      <c r="I7" s="3" t="str">
        <f>VLOOKUP(C7,odds!A:L,12,false)</f>
        <v>#N/A</v>
      </c>
      <c r="J7" s="3" t="str">
        <f t="shared" si="2"/>
        <v>#N/A</v>
      </c>
      <c r="K7" s="3" t="str">
        <f t="shared" si="3"/>
        <v>#N/A</v>
      </c>
      <c r="L7" s="3" t="str">
        <f>VLOOKUP(C7,spread!A:L,12,false)</f>
        <v>#N/A</v>
      </c>
      <c r="M7" s="5" t="str">
        <f t="shared" si="4"/>
        <v>#N/A</v>
      </c>
      <c r="N7" s="5" t="str">
        <f t="shared" si="5"/>
        <v>#N/A</v>
      </c>
      <c r="O7" s="3" t="str">
        <f t="shared" si="6"/>
        <v>#N/A</v>
      </c>
    </row>
    <row r="8">
      <c r="A8" s="3" t="str">
        <f>VLOOKUP(D8,map!D:E,2,false)</f>
        <v>#N/A</v>
      </c>
      <c r="B8" s="3" t="str">
        <f>VLOOKUP(E8,map!D:E,2,false)</f>
        <v>#N/A</v>
      </c>
      <c r="D8" s="3" t="str">
        <f>VLOOKUP($C8,odds!$A:$G,6,false)</f>
        <v>#N/A</v>
      </c>
      <c r="E8" s="3" t="str">
        <f>VLOOKUP($C8,odds!$A:$G,7,false)</f>
        <v>#N/A</v>
      </c>
      <c r="F8" s="3" t="str">
        <f>VLOOKUP(A8,team_data!A:H,8,false)</f>
        <v>#N/A</v>
      </c>
      <c r="G8" s="3" t="str">
        <f>VLOOKUP(B8,team_data!A:H,8,false)</f>
        <v>#N/A</v>
      </c>
      <c r="H8" s="3" t="str">
        <f t="shared" si="1"/>
        <v>#N/A</v>
      </c>
      <c r="I8" s="3" t="str">
        <f>VLOOKUP(C8,odds!A:L,12,false)</f>
        <v>#N/A</v>
      </c>
      <c r="J8" s="3" t="str">
        <f t="shared" si="2"/>
        <v>#N/A</v>
      </c>
      <c r="K8" s="3" t="str">
        <f t="shared" si="3"/>
        <v>#N/A</v>
      </c>
      <c r="L8" s="3" t="str">
        <f>VLOOKUP(C8,spread!A:L,12,false)</f>
        <v>#N/A</v>
      </c>
      <c r="M8" s="5" t="str">
        <f t="shared" si="4"/>
        <v>#N/A</v>
      </c>
      <c r="N8" s="5" t="str">
        <f t="shared" si="5"/>
        <v>#N/A</v>
      </c>
      <c r="O8" s="3" t="str">
        <f t="shared" si="6"/>
        <v>#N/A</v>
      </c>
    </row>
    <row r="9">
      <c r="A9" s="3" t="str">
        <f>VLOOKUP(D9,map!D:E,2,false)</f>
        <v>#N/A</v>
      </c>
      <c r="B9" s="3" t="str">
        <f>VLOOKUP(E9,map!D:E,2,false)</f>
        <v>#N/A</v>
      </c>
      <c r="D9" s="3" t="str">
        <f>VLOOKUP($C9,odds!$A:$G,6,false)</f>
        <v>#N/A</v>
      </c>
      <c r="E9" s="3" t="str">
        <f>VLOOKUP($C9,odds!$A:$G,7,false)</f>
        <v>#N/A</v>
      </c>
      <c r="F9" s="3" t="str">
        <f>VLOOKUP(A9,team_data!A:H,8,false)</f>
        <v>#N/A</v>
      </c>
      <c r="G9" s="3" t="str">
        <f>VLOOKUP(B9,team_data!A:H,8,false)</f>
        <v>#N/A</v>
      </c>
      <c r="H9" s="3" t="str">
        <f t="shared" si="1"/>
        <v>#N/A</v>
      </c>
      <c r="I9" s="3" t="str">
        <f>VLOOKUP(C9,odds!A:L,12,false)</f>
        <v>#N/A</v>
      </c>
      <c r="J9" s="3" t="str">
        <f t="shared" si="2"/>
        <v>#N/A</v>
      </c>
      <c r="K9" s="3" t="str">
        <f t="shared" si="3"/>
        <v>#N/A</v>
      </c>
      <c r="L9" s="3" t="str">
        <f>VLOOKUP(C9,spread!A:L,12,false)</f>
        <v>#N/A</v>
      </c>
      <c r="M9" s="5" t="str">
        <f t="shared" si="4"/>
        <v>#N/A</v>
      </c>
      <c r="N9" s="5" t="str">
        <f t="shared" si="5"/>
        <v>#N/A</v>
      </c>
      <c r="O9" s="3" t="str">
        <f t="shared" si="6"/>
        <v>#N/A</v>
      </c>
    </row>
    <row r="10">
      <c r="A10" s="3" t="str">
        <f>VLOOKUP(D10,map!D:E,2,false)</f>
        <v>#N/A</v>
      </c>
      <c r="B10" s="3" t="str">
        <f>VLOOKUP(E10,map!D:E,2,false)</f>
        <v>#N/A</v>
      </c>
      <c r="D10" s="3" t="str">
        <f>VLOOKUP($C10,odds!$A:$G,6,false)</f>
        <v>#N/A</v>
      </c>
      <c r="E10" s="3" t="str">
        <f>VLOOKUP($C10,odds!$A:$G,7,false)</f>
        <v>#N/A</v>
      </c>
      <c r="F10" s="3" t="str">
        <f>VLOOKUP(A10,team_data!A:H,8,false)</f>
        <v>#N/A</v>
      </c>
      <c r="G10" s="3" t="str">
        <f>VLOOKUP(B10,team_data!A:H,8,false)</f>
        <v>#N/A</v>
      </c>
      <c r="H10" s="3" t="str">
        <f t="shared" si="1"/>
        <v>#N/A</v>
      </c>
      <c r="I10" s="3" t="str">
        <f>VLOOKUP(C10,odds!A:L,12,false)</f>
        <v>#N/A</v>
      </c>
      <c r="J10" s="3" t="str">
        <f t="shared" si="2"/>
        <v>#N/A</v>
      </c>
      <c r="K10" s="3" t="str">
        <f t="shared" si="3"/>
        <v>#N/A</v>
      </c>
      <c r="L10" s="3" t="str">
        <f>VLOOKUP(C10,spread!A:L,12,false)</f>
        <v>#N/A</v>
      </c>
      <c r="M10" s="5" t="str">
        <f t="shared" si="4"/>
        <v>#N/A</v>
      </c>
      <c r="N10" s="5" t="str">
        <f t="shared" si="5"/>
        <v>#N/A</v>
      </c>
      <c r="O10" s="3" t="str">
        <f t="shared" si="6"/>
        <v>#N/A</v>
      </c>
    </row>
    <row r="11">
      <c r="A11" s="3" t="str">
        <f>VLOOKUP(D11,map!D:E,2,false)</f>
        <v>#N/A</v>
      </c>
      <c r="B11" s="3" t="str">
        <f>VLOOKUP(E11,map!D:E,2,false)</f>
        <v>#N/A</v>
      </c>
      <c r="D11" s="3" t="str">
        <f>VLOOKUP($C11,odds!$A:$G,6,false)</f>
        <v>#N/A</v>
      </c>
      <c r="E11" s="3" t="str">
        <f>VLOOKUP($C11,odds!$A:$G,7,false)</f>
        <v>#N/A</v>
      </c>
      <c r="F11" s="3" t="str">
        <f>VLOOKUP(A11,team_data!A:H,8,false)</f>
        <v>#N/A</v>
      </c>
      <c r="G11" s="3" t="str">
        <f>VLOOKUP(B11,team_data!A:H,8,false)</f>
        <v>#N/A</v>
      </c>
      <c r="H11" s="3" t="str">
        <f t="shared" si="1"/>
        <v>#N/A</v>
      </c>
      <c r="I11" s="3" t="str">
        <f>VLOOKUP(C11,odds!A:L,12,false)</f>
        <v>#N/A</v>
      </c>
      <c r="J11" s="3" t="str">
        <f t="shared" si="2"/>
        <v>#N/A</v>
      </c>
      <c r="K11" s="3" t="str">
        <f t="shared" si="3"/>
        <v>#N/A</v>
      </c>
      <c r="L11" s="3" t="str">
        <f>VLOOKUP(C11,spread!A:L,12,false)</f>
        <v>#N/A</v>
      </c>
      <c r="M11" s="5" t="str">
        <f t="shared" si="4"/>
        <v>#N/A</v>
      </c>
      <c r="N11" s="5" t="str">
        <f t="shared" si="5"/>
        <v>#N/A</v>
      </c>
      <c r="O11" s="3" t="str">
        <f t="shared" si="6"/>
        <v>#N/A</v>
      </c>
    </row>
    <row r="12">
      <c r="A12" s="3" t="str">
        <f>VLOOKUP(D12,map!D:E,2,false)</f>
        <v>#N/A</v>
      </c>
      <c r="B12" s="3" t="str">
        <f>VLOOKUP(E12,map!D:E,2,false)</f>
        <v>#N/A</v>
      </c>
      <c r="D12" s="3" t="str">
        <f>VLOOKUP($C12,odds!$A:$G,6,false)</f>
        <v>#N/A</v>
      </c>
      <c r="E12" s="3" t="str">
        <f>VLOOKUP($C12,odds!$A:$G,7,false)</f>
        <v>#N/A</v>
      </c>
      <c r="F12" s="3" t="str">
        <f>VLOOKUP(A12,team_data!A:H,8,false)</f>
        <v>#N/A</v>
      </c>
      <c r="G12" s="3" t="str">
        <f>VLOOKUP(B12,team_data!A:H,8,false)</f>
        <v>#N/A</v>
      </c>
      <c r="H12" s="3" t="str">
        <f t="shared" si="1"/>
        <v>#N/A</v>
      </c>
      <c r="I12" s="3" t="str">
        <f>VLOOKUP(C12,odds!A:L,12,false)</f>
        <v>#N/A</v>
      </c>
      <c r="J12" s="3" t="str">
        <f t="shared" si="2"/>
        <v>#N/A</v>
      </c>
      <c r="K12" s="3" t="str">
        <f t="shared" si="3"/>
        <v>#N/A</v>
      </c>
      <c r="L12" s="3" t="str">
        <f>VLOOKUP(C12,spread!A:L,12,false)</f>
        <v>#N/A</v>
      </c>
      <c r="M12" s="5" t="str">
        <f t="shared" si="4"/>
        <v>#N/A</v>
      </c>
      <c r="N12" s="5" t="str">
        <f t="shared" si="5"/>
        <v>#N/A</v>
      </c>
      <c r="O12" s="3" t="str">
        <f t="shared" si="6"/>
        <v>#N/A</v>
      </c>
    </row>
    <row r="13">
      <c r="A13" s="3" t="str">
        <f>VLOOKUP(D13,map!D:E,2,false)</f>
        <v>#N/A</v>
      </c>
      <c r="B13" s="3" t="str">
        <f>VLOOKUP(E13,map!D:E,2,false)</f>
        <v>#N/A</v>
      </c>
      <c r="D13" s="3" t="str">
        <f>VLOOKUP($C13,odds!$A:$G,6,false)</f>
        <v>#N/A</v>
      </c>
      <c r="E13" s="3" t="str">
        <f>VLOOKUP($C13,odds!$A:$G,7,false)</f>
        <v>#N/A</v>
      </c>
      <c r="F13" s="3" t="str">
        <f>VLOOKUP(A13,team_data!A:H,8,false)</f>
        <v>#N/A</v>
      </c>
      <c r="G13" s="3" t="str">
        <f>VLOOKUP(B13,team_data!A:H,8,false)</f>
        <v>#N/A</v>
      </c>
      <c r="H13" s="3" t="str">
        <f t="shared" si="1"/>
        <v>#N/A</v>
      </c>
      <c r="I13" s="3" t="str">
        <f>VLOOKUP(C13,odds!A:L,12,false)</f>
        <v>#N/A</v>
      </c>
      <c r="J13" s="3" t="str">
        <f t="shared" si="2"/>
        <v>#N/A</v>
      </c>
      <c r="K13" s="3" t="str">
        <f t="shared" si="3"/>
        <v>#N/A</v>
      </c>
      <c r="L13" s="3" t="str">
        <f>VLOOKUP(C13,spread!A:L,12,false)</f>
        <v>#N/A</v>
      </c>
      <c r="M13" s="5" t="str">
        <f t="shared" si="4"/>
        <v>#N/A</v>
      </c>
      <c r="N13" s="5" t="str">
        <f t="shared" si="5"/>
        <v>#N/A</v>
      </c>
      <c r="O13" s="3" t="str">
        <f t="shared" si="6"/>
        <v>#N/A</v>
      </c>
    </row>
    <row r="14">
      <c r="A14" s="3" t="str">
        <f>VLOOKUP(D14,map!D:E,2,false)</f>
        <v>#N/A</v>
      </c>
      <c r="B14" s="3" t="str">
        <f>VLOOKUP(E14,map!D:E,2,false)</f>
        <v>#N/A</v>
      </c>
      <c r="D14" s="3" t="str">
        <f>VLOOKUP($C14,odds!$A:$G,6,false)</f>
        <v>#N/A</v>
      </c>
      <c r="E14" s="3" t="str">
        <f>VLOOKUP($C14,odds!$A:$G,7,false)</f>
        <v>#N/A</v>
      </c>
      <c r="F14" s="3" t="str">
        <f>VLOOKUP(A14,team_data!A:H,8,false)</f>
        <v>#N/A</v>
      </c>
      <c r="G14" s="3" t="str">
        <f>VLOOKUP(B14,team_data!A:H,8,false)</f>
        <v>#N/A</v>
      </c>
      <c r="H14" s="3" t="str">
        <f t="shared" si="1"/>
        <v>#N/A</v>
      </c>
      <c r="I14" s="3" t="str">
        <f>VLOOKUP(C14,odds!A:L,12,false)</f>
        <v>#N/A</v>
      </c>
      <c r="J14" s="3" t="str">
        <f t="shared" si="2"/>
        <v>#N/A</v>
      </c>
      <c r="K14" s="3" t="str">
        <f t="shared" si="3"/>
        <v>#N/A</v>
      </c>
      <c r="L14" s="3" t="str">
        <f>VLOOKUP(C14,spread!A:L,12,false)</f>
        <v>#N/A</v>
      </c>
      <c r="M14" s="5" t="str">
        <f t="shared" si="4"/>
        <v>#N/A</v>
      </c>
      <c r="N14" s="5" t="str">
        <f t="shared" si="5"/>
        <v>#N/A</v>
      </c>
      <c r="O14" s="3" t="str">
        <f t="shared" si="6"/>
        <v>#N/A</v>
      </c>
    </row>
    <row r="15">
      <c r="A15" s="3" t="str">
        <f>VLOOKUP(D15,map!D:E,2,false)</f>
        <v>#N/A</v>
      </c>
      <c r="B15" s="3" t="str">
        <f>VLOOKUP(E15,map!D:E,2,false)</f>
        <v>#N/A</v>
      </c>
      <c r="D15" s="3" t="str">
        <f>VLOOKUP($C15,odds!$A:$G,6,false)</f>
        <v>#N/A</v>
      </c>
      <c r="E15" s="3" t="str">
        <f>VLOOKUP($C15,odds!$A:$G,7,false)</f>
        <v>#N/A</v>
      </c>
      <c r="F15" s="3" t="str">
        <f>VLOOKUP(A15,team_data!A:H,8,false)</f>
        <v>#N/A</v>
      </c>
      <c r="G15" s="3" t="str">
        <f>VLOOKUP(B15,team_data!A:H,8,false)</f>
        <v>#N/A</v>
      </c>
      <c r="H15" s="3" t="str">
        <f t="shared" si="1"/>
        <v>#N/A</v>
      </c>
      <c r="I15" s="3" t="str">
        <f>VLOOKUP(C15,odds!A:L,12,false)</f>
        <v>#N/A</v>
      </c>
      <c r="J15" s="3" t="str">
        <f t="shared" si="2"/>
        <v>#N/A</v>
      </c>
      <c r="K15" s="3" t="str">
        <f t="shared" si="3"/>
        <v>#N/A</v>
      </c>
      <c r="L15" s="3" t="str">
        <f>VLOOKUP(C15,spread!A:L,12,false)</f>
        <v>#N/A</v>
      </c>
      <c r="M15" s="5" t="str">
        <f t="shared" si="4"/>
        <v>#N/A</v>
      </c>
      <c r="N15" s="5" t="str">
        <f t="shared" si="5"/>
        <v>#N/A</v>
      </c>
      <c r="O15" s="3" t="str">
        <f t="shared" si="6"/>
        <v>#N/A</v>
      </c>
    </row>
    <row r="16">
      <c r="A16" s="3" t="str">
        <f>VLOOKUP(D16,map!D:E,2,false)</f>
        <v>#N/A</v>
      </c>
      <c r="B16" s="3" t="str">
        <f>VLOOKUP(E16,map!D:E,2,false)</f>
        <v>#N/A</v>
      </c>
      <c r="D16" s="3" t="str">
        <f>VLOOKUP($C16,odds!$A:$G,6,false)</f>
        <v>#N/A</v>
      </c>
      <c r="E16" s="3" t="str">
        <f>VLOOKUP($C16,odds!$A:$G,7,false)</f>
        <v>#N/A</v>
      </c>
      <c r="F16" s="3" t="str">
        <f>VLOOKUP(A16,team_data!A:H,8,false)</f>
        <v>#N/A</v>
      </c>
      <c r="G16" s="3" t="str">
        <f>VLOOKUP(B16,team_data!A:H,8,false)</f>
        <v>#N/A</v>
      </c>
      <c r="H16" s="3" t="str">
        <f t="shared" si="1"/>
        <v>#N/A</v>
      </c>
      <c r="I16" s="3" t="str">
        <f>VLOOKUP(C16,odds!A:L,12,false)</f>
        <v>#N/A</v>
      </c>
      <c r="J16" s="3" t="str">
        <f t="shared" si="2"/>
        <v>#N/A</v>
      </c>
      <c r="K16" s="3" t="str">
        <f t="shared" si="3"/>
        <v>#N/A</v>
      </c>
      <c r="L16" s="3" t="str">
        <f>VLOOKUP(C16,spread!A:L,12,false)</f>
        <v>#N/A</v>
      </c>
      <c r="M16" s="5" t="str">
        <f t="shared" si="4"/>
        <v>#N/A</v>
      </c>
      <c r="N16" s="5" t="str">
        <f t="shared" si="5"/>
        <v>#N/A</v>
      </c>
      <c r="O16" s="3" t="str">
        <f t="shared" si="6"/>
        <v>#N/A</v>
      </c>
    </row>
    <row r="17">
      <c r="F17" s="3" t="str">
        <f>VLOOKUP(A17,team_data!A:H,8,false)</f>
        <v>#N/A</v>
      </c>
      <c r="G17" s="3" t="str">
        <f>VLOOKUP(B17,team_data!A:H,8,false)</f>
        <v>#N/A</v>
      </c>
      <c r="H17" s="3" t="str">
        <f t="shared" si="1"/>
        <v>#N/A</v>
      </c>
      <c r="I17" s="3" t="str">
        <f>VLOOKUP(C17,odds!A:L,12,false)</f>
        <v>#N/A</v>
      </c>
      <c r="J17" s="3" t="str">
        <f t="shared" si="2"/>
        <v>#N/A</v>
      </c>
      <c r="K17" s="3" t="str">
        <f t="shared" si="3"/>
        <v>#N/A</v>
      </c>
      <c r="L17" s="3" t="str">
        <f>VLOOKUP(C17,spread!A:L,12,false)</f>
        <v>#N/A</v>
      </c>
      <c r="M17" s="5" t="str">
        <f t="shared" si="4"/>
        <v>#N/A</v>
      </c>
      <c r="N17" s="5" t="str">
        <f t="shared" si="5"/>
        <v>#N/A</v>
      </c>
      <c r="O17" s="3" t="str">
        <f t="shared" si="6"/>
        <v>#N/A</v>
      </c>
    </row>
    <row r="18">
      <c r="F18" s="3" t="str">
        <f>VLOOKUP(A18,team_data!A:H,8,false)</f>
        <v>#N/A</v>
      </c>
      <c r="G18" s="3" t="str">
        <f>VLOOKUP(B18,team_data!A:H,8,false)</f>
        <v>#N/A</v>
      </c>
      <c r="H18" s="3" t="str">
        <f t="shared" si="1"/>
        <v>#N/A</v>
      </c>
      <c r="I18" s="3" t="str">
        <f>VLOOKUP(C18,odds!A:L,12,false)</f>
        <v>#N/A</v>
      </c>
      <c r="J18" s="3" t="str">
        <f t="shared" si="2"/>
        <v>#N/A</v>
      </c>
      <c r="K18" s="3" t="str">
        <f t="shared" si="3"/>
        <v>#N/A</v>
      </c>
      <c r="L18" s="3" t="str">
        <f>VLOOKUP(C18,spread!A:L,12,false)</f>
        <v>#N/A</v>
      </c>
      <c r="M18" s="5" t="str">
        <f t="shared" si="4"/>
        <v>#N/A</v>
      </c>
      <c r="N18" s="5" t="str">
        <f t="shared" si="5"/>
        <v>#N/A</v>
      </c>
      <c r="O18" s="3" t="str">
        <f t="shared" si="6"/>
        <v>#N/A</v>
      </c>
    </row>
    <row r="19">
      <c r="F19" s="3" t="str">
        <f>VLOOKUP(A19,team_data!A:H,8,false)</f>
        <v>#N/A</v>
      </c>
      <c r="G19" s="3" t="str">
        <f>VLOOKUP(B19,team_data!A:H,8,false)</f>
        <v>#N/A</v>
      </c>
      <c r="H19" s="3" t="str">
        <f t="shared" si="1"/>
        <v>#N/A</v>
      </c>
      <c r="I19" s="3" t="str">
        <f>VLOOKUP(C19,odds!A:L,12,false)</f>
        <v>#N/A</v>
      </c>
      <c r="J19" s="3" t="str">
        <f t="shared" si="2"/>
        <v>#N/A</v>
      </c>
      <c r="K19" s="3" t="str">
        <f t="shared" si="3"/>
        <v>#N/A</v>
      </c>
      <c r="L19" s="3" t="str">
        <f>VLOOKUP(C19,spread!A:L,12,false)</f>
        <v>#N/A</v>
      </c>
      <c r="M19" s="5" t="str">
        <f t="shared" si="4"/>
        <v>#N/A</v>
      </c>
      <c r="N19" s="5" t="str">
        <f t="shared" si="5"/>
        <v>#N/A</v>
      </c>
      <c r="O19" s="3" t="str">
        <f t="shared" si="6"/>
        <v>#N/A</v>
      </c>
    </row>
    <row r="20">
      <c r="F20" s="3" t="str">
        <f>VLOOKUP(A20,team_data!A:H,8,false)</f>
        <v>#N/A</v>
      </c>
      <c r="G20" s="3" t="str">
        <f>VLOOKUP(B20,team_data!A:H,8,false)</f>
        <v>#N/A</v>
      </c>
      <c r="H20" s="3" t="str">
        <f t="shared" si="1"/>
        <v>#N/A</v>
      </c>
      <c r="I20" s="3" t="str">
        <f>VLOOKUP(C20,odds!A:L,12,false)</f>
        <v>#N/A</v>
      </c>
      <c r="J20" s="3" t="str">
        <f t="shared" si="2"/>
        <v>#N/A</v>
      </c>
      <c r="K20" s="3" t="str">
        <f t="shared" si="3"/>
        <v>#N/A</v>
      </c>
      <c r="L20" s="3" t="str">
        <f>VLOOKUP(C20,spread!A:L,12,false)</f>
        <v>#N/A</v>
      </c>
      <c r="M20" s="5" t="str">
        <f t="shared" si="4"/>
        <v>#N/A</v>
      </c>
      <c r="N20" s="5" t="str">
        <f t="shared" si="5"/>
        <v>#N/A</v>
      </c>
      <c r="O20" s="3" t="str">
        <f t="shared" si="6"/>
        <v>#N/A</v>
      </c>
    </row>
    <row r="21">
      <c r="F21" s="3" t="str">
        <f>VLOOKUP(A21,team_data!A:H,8,false)</f>
        <v>#N/A</v>
      </c>
      <c r="G21" s="3" t="str">
        <f>VLOOKUP(B21,team_data!A:H,8,false)</f>
        <v>#N/A</v>
      </c>
      <c r="H21" s="3" t="str">
        <f t="shared" si="1"/>
        <v>#N/A</v>
      </c>
      <c r="I21" s="3" t="str">
        <f>VLOOKUP(C21,odds!A:L,12,false)</f>
        <v>#N/A</v>
      </c>
      <c r="J21" s="3" t="str">
        <f t="shared" si="2"/>
        <v>#N/A</v>
      </c>
      <c r="K21" s="3" t="str">
        <f t="shared" si="3"/>
        <v>#N/A</v>
      </c>
      <c r="L21" s="3" t="str">
        <f>VLOOKUP(C21,spread!A:L,12,false)</f>
        <v>#N/A</v>
      </c>
      <c r="M21" s="5" t="str">
        <f t="shared" si="4"/>
        <v>#N/A</v>
      </c>
      <c r="N21" s="5" t="str">
        <f t="shared" si="5"/>
        <v>#N/A</v>
      </c>
      <c r="O21" s="3" t="str">
        <f t="shared" si="6"/>
        <v>#N/A</v>
      </c>
    </row>
    <row r="22">
      <c r="F22" s="3" t="str">
        <f>VLOOKUP(A22,team_data!A:H,8,false)</f>
        <v>#N/A</v>
      </c>
      <c r="G22" s="3" t="str">
        <f>VLOOKUP(B22,team_data!A:H,8,false)</f>
        <v>#N/A</v>
      </c>
      <c r="H22" s="3" t="str">
        <f t="shared" si="1"/>
        <v>#N/A</v>
      </c>
      <c r="I22" s="3" t="str">
        <f>VLOOKUP(C22,odds!A:L,12,false)</f>
        <v>#N/A</v>
      </c>
      <c r="J22" s="3" t="str">
        <f t="shared" si="2"/>
        <v>#N/A</v>
      </c>
      <c r="K22" s="3" t="str">
        <f t="shared" si="3"/>
        <v>#N/A</v>
      </c>
      <c r="L22" s="3" t="str">
        <f>VLOOKUP(C22,spread!A:L,12,false)</f>
        <v>#N/A</v>
      </c>
      <c r="M22" s="5" t="str">
        <f t="shared" si="4"/>
        <v>#N/A</v>
      </c>
      <c r="N22" s="5" t="str">
        <f t="shared" si="5"/>
        <v>#N/A</v>
      </c>
      <c r="O22" s="3" t="str">
        <f t="shared" si="6"/>
        <v>#N/A</v>
      </c>
    </row>
    <row r="23">
      <c r="F23" s="3" t="str">
        <f>VLOOKUP(A23,team_data!A:H,8,false)</f>
        <v>#N/A</v>
      </c>
      <c r="G23" s="3" t="str">
        <f>VLOOKUP(B23,team_data!A:H,8,false)</f>
        <v>#N/A</v>
      </c>
      <c r="H23" s="3" t="str">
        <f t="shared" si="1"/>
        <v>#N/A</v>
      </c>
      <c r="I23" s="3" t="str">
        <f>VLOOKUP(C23,odds!A:L,12,false)</f>
        <v>#N/A</v>
      </c>
      <c r="J23" s="3" t="str">
        <f t="shared" si="2"/>
        <v>#N/A</v>
      </c>
      <c r="K23" s="3" t="str">
        <f t="shared" si="3"/>
        <v>#N/A</v>
      </c>
      <c r="L23" s="3" t="str">
        <f>VLOOKUP(C23,spread!A:L,12,false)</f>
        <v>#N/A</v>
      </c>
      <c r="M23" s="5" t="str">
        <f t="shared" si="4"/>
        <v>#N/A</v>
      </c>
      <c r="N23" s="5" t="str">
        <f t="shared" si="5"/>
        <v>#N/A</v>
      </c>
      <c r="O23" s="3" t="str">
        <f t="shared" si="6"/>
        <v>#N/A</v>
      </c>
    </row>
    <row r="24">
      <c r="F24" s="3" t="str">
        <f>VLOOKUP(A24,team_data!A:H,8,false)</f>
        <v>#N/A</v>
      </c>
      <c r="G24" s="3" t="str">
        <f>VLOOKUP(B24,team_data!A:H,8,false)</f>
        <v>#N/A</v>
      </c>
      <c r="H24" s="3" t="str">
        <f t="shared" si="1"/>
        <v>#N/A</v>
      </c>
      <c r="I24" s="3" t="str">
        <f>VLOOKUP(C24,odds!A:L,12,false)</f>
        <v>#N/A</v>
      </c>
      <c r="J24" s="3" t="str">
        <f t="shared" si="2"/>
        <v>#N/A</v>
      </c>
      <c r="K24" s="3" t="str">
        <f t="shared" si="3"/>
        <v>#N/A</v>
      </c>
      <c r="L24" s="3" t="str">
        <f>VLOOKUP(C24,spread!A:L,12,false)</f>
        <v>#N/A</v>
      </c>
      <c r="M24" s="5" t="str">
        <f t="shared" si="4"/>
        <v>#N/A</v>
      </c>
      <c r="N24" s="5" t="str">
        <f t="shared" si="5"/>
        <v>#N/A</v>
      </c>
      <c r="O24" s="3" t="str">
        <f t="shared" si="6"/>
        <v>#N/A</v>
      </c>
    </row>
    <row r="25">
      <c r="F25" s="3" t="str">
        <f>VLOOKUP(A25,team_data!A:H,8,false)</f>
        <v>#N/A</v>
      </c>
      <c r="G25" s="3" t="str">
        <f>VLOOKUP(B25,team_data!A:H,8,false)</f>
        <v>#N/A</v>
      </c>
      <c r="H25" s="3" t="str">
        <f t="shared" si="1"/>
        <v>#N/A</v>
      </c>
      <c r="I25" s="3" t="str">
        <f>VLOOKUP(C25,odds!A:L,12,false)</f>
        <v>#N/A</v>
      </c>
      <c r="J25" s="3" t="str">
        <f t="shared" si="2"/>
        <v>#N/A</v>
      </c>
      <c r="K25" s="3" t="str">
        <f t="shared" si="3"/>
        <v>#N/A</v>
      </c>
      <c r="L25" s="3" t="str">
        <f>VLOOKUP(C25,spread!A:L,12,false)</f>
        <v>#N/A</v>
      </c>
      <c r="M25" s="5" t="str">
        <f t="shared" si="4"/>
        <v>#N/A</v>
      </c>
      <c r="N25" s="5" t="str">
        <f t="shared" si="5"/>
        <v>#N/A</v>
      </c>
      <c r="O25" s="3" t="str">
        <f t="shared" si="6"/>
        <v>#N/A</v>
      </c>
    </row>
    <row r="26">
      <c r="F26" s="3" t="str">
        <f>VLOOKUP(A26,team_data!A:H,8,false)</f>
        <v>#N/A</v>
      </c>
      <c r="G26" s="3" t="str">
        <f>VLOOKUP(B26,team_data!A:H,8,false)</f>
        <v>#N/A</v>
      </c>
      <c r="H26" s="3" t="str">
        <f t="shared" si="1"/>
        <v>#N/A</v>
      </c>
      <c r="I26" s="3" t="str">
        <f>VLOOKUP(C26,odds!A:L,12,false)</f>
        <v>#N/A</v>
      </c>
      <c r="J26" s="3" t="str">
        <f t="shared" si="2"/>
        <v>#N/A</v>
      </c>
      <c r="K26" s="3" t="str">
        <f t="shared" si="3"/>
        <v>#N/A</v>
      </c>
      <c r="L26" s="3" t="str">
        <f>VLOOKUP(C26,spread!A:L,12,false)</f>
        <v>#N/A</v>
      </c>
      <c r="M26" s="5" t="str">
        <f t="shared" si="4"/>
        <v>#N/A</v>
      </c>
      <c r="N26" s="5" t="str">
        <f t="shared" si="5"/>
        <v>#N/A</v>
      </c>
      <c r="O26" s="3" t="str">
        <f t="shared" si="6"/>
        <v>#N/A</v>
      </c>
    </row>
    <row r="27">
      <c r="F27" s="3" t="str">
        <f>VLOOKUP(A27,team_data!A:H,8,false)</f>
        <v>#N/A</v>
      </c>
      <c r="G27" s="3" t="str">
        <f>VLOOKUP(B27,team_data!A:H,8,false)</f>
        <v>#N/A</v>
      </c>
      <c r="H27" s="3" t="str">
        <f t="shared" si="1"/>
        <v>#N/A</v>
      </c>
      <c r="I27" s="3" t="str">
        <f>VLOOKUP(C27,odds!A:L,12,false)</f>
        <v>#N/A</v>
      </c>
      <c r="J27" s="3" t="str">
        <f t="shared" si="2"/>
        <v>#N/A</v>
      </c>
      <c r="K27" s="3" t="str">
        <f t="shared" si="3"/>
        <v>#N/A</v>
      </c>
      <c r="L27" s="3" t="str">
        <f>VLOOKUP(C27,spread!A:L,12,false)</f>
        <v>#N/A</v>
      </c>
      <c r="M27" s="5" t="str">
        <f t="shared" si="4"/>
        <v>#N/A</v>
      </c>
      <c r="N27" s="5" t="str">
        <f t="shared" si="5"/>
        <v>#N/A</v>
      </c>
      <c r="O27" s="3" t="str">
        <f t="shared" si="6"/>
        <v>#N/A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29</v>
      </c>
      <c r="B1" s="25" t="s">
        <v>16</v>
      </c>
      <c r="C1" s="26">
        <v>2024.0</v>
      </c>
      <c r="D1" s="27" t="s">
        <v>30</v>
      </c>
      <c r="E1" s="27" t="s">
        <v>31</v>
      </c>
      <c r="F1" s="26" t="s">
        <v>32</v>
      </c>
      <c r="G1" s="26" t="s">
        <v>33</v>
      </c>
      <c r="H1" s="26">
        <v>2023.0</v>
      </c>
    </row>
    <row r="2">
      <c r="A2" s="28">
        <v>1.0</v>
      </c>
      <c r="B2" s="29" t="s">
        <v>194</v>
      </c>
      <c r="C2" s="30">
        <v>25.0</v>
      </c>
      <c r="D2" s="30">
        <v>26.7</v>
      </c>
      <c r="E2" s="30">
        <v>28.0</v>
      </c>
      <c r="F2" s="30">
        <v>23.7</v>
      </c>
      <c r="G2" s="30">
        <v>26.3</v>
      </c>
      <c r="H2" s="30">
        <v>20.9</v>
      </c>
    </row>
    <row r="3">
      <c r="A3" s="28">
        <v>2.0</v>
      </c>
      <c r="B3" s="29" t="s">
        <v>195</v>
      </c>
      <c r="C3" s="30">
        <v>23.6</v>
      </c>
      <c r="D3" s="30">
        <v>23.7</v>
      </c>
      <c r="E3" s="30">
        <v>27.0</v>
      </c>
      <c r="F3" s="30">
        <v>22.7</v>
      </c>
      <c r="G3" s="30">
        <v>25.0</v>
      </c>
      <c r="H3" s="30">
        <v>22.6</v>
      </c>
    </row>
    <row r="4">
      <c r="A4" s="28">
        <v>3.0</v>
      </c>
      <c r="B4" s="29" t="s">
        <v>196</v>
      </c>
      <c r="C4" s="30">
        <v>22.5</v>
      </c>
      <c r="D4" s="30">
        <v>20.7</v>
      </c>
      <c r="E4" s="30">
        <v>21.0</v>
      </c>
      <c r="F4" s="30">
        <v>21.7</v>
      </c>
      <c r="G4" s="30">
        <v>23.3</v>
      </c>
      <c r="H4" s="30">
        <v>22.4</v>
      </c>
    </row>
    <row r="5">
      <c r="A5" s="28">
        <v>3.0</v>
      </c>
      <c r="B5" s="29" t="s">
        <v>197</v>
      </c>
      <c r="C5" s="30">
        <v>22.5</v>
      </c>
      <c r="D5" s="30">
        <v>25.7</v>
      </c>
      <c r="E5" s="30">
        <v>22.0</v>
      </c>
      <c r="F5" s="30">
        <v>19.8</v>
      </c>
      <c r="G5" s="30">
        <v>28.0</v>
      </c>
      <c r="H5" s="30">
        <v>18.6</v>
      </c>
    </row>
    <row r="6">
      <c r="A6" s="28">
        <v>5.0</v>
      </c>
      <c r="B6" s="29" t="s">
        <v>198</v>
      </c>
      <c r="C6" s="30">
        <v>22.3</v>
      </c>
      <c r="D6" s="30">
        <v>27.0</v>
      </c>
      <c r="E6" s="30">
        <v>31.0</v>
      </c>
      <c r="F6" s="30">
        <v>22.7</v>
      </c>
      <c r="G6" s="30">
        <v>22.0</v>
      </c>
      <c r="H6" s="30">
        <v>18.2</v>
      </c>
    </row>
    <row r="7">
      <c r="A7" s="28">
        <v>6.0</v>
      </c>
      <c r="B7" s="29" t="s">
        <v>199</v>
      </c>
      <c r="C7" s="30">
        <v>22.0</v>
      </c>
      <c r="D7" s="30">
        <v>22.0</v>
      </c>
      <c r="E7" s="30">
        <v>18.0</v>
      </c>
      <c r="F7" s="30">
        <v>20.5</v>
      </c>
      <c r="G7" s="30">
        <v>22.8</v>
      </c>
      <c r="H7" s="30">
        <v>18.9</v>
      </c>
    </row>
    <row r="8">
      <c r="A8" s="28">
        <v>7.0</v>
      </c>
      <c r="B8" s="29" t="s">
        <v>200</v>
      </c>
      <c r="C8" s="30">
        <v>21.2</v>
      </c>
      <c r="D8" s="30">
        <v>22.0</v>
      </c>
      <c r="E8" s="30">
        <v>28.0</v>
      </c>
      <c r="F8" s="30">
        <v>22.7</v>
      </c>
      <c r="G8" s="30">
        <v>19.0</v>
      </c>
      <c r="H8" s="30">
        <v>21.0</v>
      </c>
    </row>
    <row r="9">
      <c r="A9" s="28">
        <v>8.0</v>
      </c>
      <c r="B9" s="29" t="s">
        <v>201</v>
      </c>
      <c r="C9" s="30">
        <v>20.8</v>
      </c>
      <c r="D9" s="30">
        <v>21.3</v>
      </c>
      <c r="E9" s="30">
        <v>24.0</v>
      </c>
      <c r="F9" s="30">
        <v>21.5</v>
      </c>
      <c r="G9" s="30">
        <v>20.3</v>
      </c>
      <c r="H9" s="30">
        <v>20.7</v>
      </c>
    </row>
    <row r="10">
      <c r="A10" s="28">
        <v>9.0</v>
      </c>
      <c r="B10" s="29" t="s">
        <v>202</v>
      </c>
      <c r="C10" s="30">
        <v>20.7</v>
      </c>
      <c r="D10" s="30">
        <v>23.3</v>
      </c>
      <c r="E10" s="30">
        <v>27.0</v>
      </c>
      <c r="F10" s="30">
        <v>23.3</v>
      </c>
      <c r="G10" s="30">
        <v>18.0</v>
      </c>
      <c r="H10" s="30">
        <v>20.0</v>
      </c>
    </row>
    <row r="11">
      <c r="A11" s="28">
        <v>10.0</v>
      </c>
      <c r="B11" s="29" t="s">
        <v>203</v>
      </c>
      <c r="C11" s="30">
        <v>20.5</v>
      </c>
      <c r="D11" s="30">
        <v>22.3</v>
      </c>
      <c r="E11" s="30">
        <v>25.0</v>
      </c>
      <c r="F11" s="30">
        <v>19.0</v>
      </c>
      <c r="G11" s="30">
        <v>23.5</v>
      </c>
      <c r="H11" s="30">
        <v>19.2</v>
      </c>
    </row>
    <row r="12">
      <c r="A12" s="28">
        <v>11.0</v>
      </c>
      <c r="B12" s="29" t="s">
        <v>204</v>
      </c>
      <c r="C12" s="30">
        <v>20.4</v>
      </c>
      <c r="D12" s="30">
        <v>18.3</v>
      </c>
      <c r="E12" s="30">
        <v>19.0</v>
      </c>
      <c r="F12" s="30">
        <v>20.5</v>
      </c>
      <c r="G12" s="30">
        <v>20.3</v>
      </c>
      <c r="H12" s="30">
        <v>21.7</v>
      </c>
    </row>
    <row r="13">
      <c r="A13" s="28">
        <v>12.0</v>
      </c>
      <c r="B13" s="29" t="s">
        <v>205</v>
      </c>
      <c r="C13" s="30">
        <v>20.3</v>
      </c>
      <c r="D13" s="30">
        <v>21.3</v>
      </c>
      <c r="E13" s="30">
        <v>20.0</v>
      </c>
      <c r="F13" s="30">
        <v>19.7</v>
      </c>
      <c r="G13" s="30">
        <v>21.0</v>
      </c>
      <c r="H13" s="30">
        <v>18.6</v>
      </c>
    </row>
    <row r="14">
      <c r="A14" s="28">
        <v>13.0</v>
      </c>
      <c r="B14" s="29" t="s">
        <v>206</v>
      </c>
      <c r="C14" s="30">
        <v>20.2</v>
      </c>
      <c r="D14" s="30">
        <v>20.0</v>
      </c>
      <c r="E14" s="30">
        <v>13.0</v>
      </c>
      <c r="F14" s="30">
        <v>22.0</v>
      </c>
      <c r="G14" s="30">
        <v>18.3</v>
      </c>
      <c r="H14" s="30">
        <v>19.4</v>
      </c>
    </row>
    <row r="15">
      <c r="A15" s="28">
        <v>14.0</v>
      </c>
      <c r="B15" s="29" t="s">
        <v>207</v>
      </c>
      <c r="C15" s="30">
        <v>19.7</v>
      </c>
      <c r="D15" s="30">
        <v>22.0</v>
      </c>
      <c r="E15" s="30">
        <v>25.0</v>
      </c>
      <c r="F15" s="30">
        <v>17.3</v>
      </c>
      <c r="G15" s="30">
        <v>22.0</v>
      </c>
      <c r="H15" s="30">
        <v>18.9</v>
      </c>
    </row>
    <row r="16">
      <c r="A16" s="28">
        <v>15.0</v>
      </c>
      <c r="B16" s="29" t="s">
        <v>208</v>
      </c>
      <c r="C16" s="30">
        <v>19.5</v>
      </c>
      <c r="D16" s="30">
        <v>21.3</v>
      </c>
      <c r="E16" s="30">
        <v>24.0</v>
      </c>
      <c r="F16" s="30">
        <v>18.0</v>
      </c>
      <c r="G16" s="30">
        <v>21.0</v>
      </c>
      <c r="H16" s="30">
        <v>15.7</v>
      </c>
    </row>
    <row r="17">
      <c r="A17" s="28">
        <v>16.0</v>
      </c>
      <c r="B17" s="29" t="s">
        <v>209</v>
      </c>
      <c r="C17" s="30">
        <v>19.3</v>
      </c>
      <c r="D17" s="30">
        <v>18.3</v>
      </c>
      <c r="E17" s="30">
        <v>16.0</v>
      </c>
      <c r="F17" s="30">
        <v>20.7</v>
      </c>
      <c r="G17" s="30">
        <v>18.0</v>
      </c>
      <c r="H17" s="30">
        <v>23.4</v>
      </c>
    </row>
    <row r="18">
      <c r="A18" s="28">
        <v>16.0</v>
      </c>
      <c r="B18" s="29" t="s">
        <v>210</v>
      </c>
      <c r="C18" s="30">
        <v>19.3</v>
      </c>
      <c r="D18" s="30">
        <v>19.3</v>
      </c>
      <c r="E18" s="30">
        <v>19.0</v>
      </c>
      <c r="F18" s="30">
        <v>17.7</v>
      </c>
      <c r="G18" s="30">
        <v>21.0</v>
      </c>
      <c r="H18" s="30">
        <v>19.8</v>
      </c>
    </row>
    <row r="19">
      <c r="A19" s="28">
        <v>18.0</v>
      </c>
      <c r="B19" s="29" t="s">
        <v>211</v>
      </c>
      <c r="C19" s="30">
        <v>19.2</v>
      </c>
      <c r="D19" s="30">
        <v>22.3</v>
      </c>
      <c r="E19" s="30">
        <v>20.0</v>
      </c>
      <c r="F19" s="30">
        <v>17.0</v>
      </c>
      <c r="G19" s="30">
        <v>21.3</v>
      </c>
      <c r="H19" s="30">
        <v>19.1</v>
      </c>
    </row>
    <row r="20">
      <c r="A20" s="28">
        <v>19.0</v>
      </c>
      <c r="B20" s="29" t="s">
        <v>212</v>
      </c>
      <c r="C20" s="30">
        <v>18.8</v>
      </c>
      <c r="D20" s="30">
        <v>17.3</v>
      </c>
      <c r="E20" s="30">
        <v>24.0</v>
      </c>
      <c r="F20" s="30">
        <v>24.0</v>
      </c>
      <c r="G20" s="30">
        <v>16.3</v>
      </c>
      <c r="H20" s="30">
        <v>22.7</v>
      </c>
    </row>
    <row r="21">
      <c r="A21" s="28">
        <v>20.0</v>
      </c>
      <c r="B21" s="29" t="s">
        <v>213</v>
      </c>
      <c r="C21" s="30">
        <v>18.5</v>
      </c>
      <c r="D21" s="30">
        <v>17.3</v>
      </c>
      <c r="E21" s="30">
        <v>16.0</v>
      </c>
      <c r="F21" s="30">
        <v>19.3</v>
      </c>
      <c r="G21" s="30">
        <v>17.7</v>
      </c>
      <c r="H21" s="30">
        <v>19.4</v>
      </c>
    </row>
    <row r="22">
      <c r="A22" s="28">
        <v>21.0</v>
      </c>
      <c r="B22" s="29" t="s">
        <v>214</v>
      </c>
      <c r="C22" s="30">
        <v>18.4</v>
      </c>
      <c r="D22" s="30">
        <v>19.3</v>
      </c>
      <c r="E22" s="30">
        <v>17.0</v>
      </c>
      <c r="F22" s="30">
        <v>18.0</v>
      </c>
      <c r="G22" s="30">
        <v>18.7</v>
      </c>
      <c r="H22" s="30">
        <v>20.0</v>
      </c>
    </row>
    <row r="23">
      <c r="A23" s="28">
        <v>22.0</v>
      </c>
      <c r="B23" s="29" t="s">
        <v>215</v>
      </c>
      <c r="C23" s="30">
        <v>18.3</v>
      </c>
      <c r="D23" s="30">
        <v>17.7</v>
      </c>
      <c r="E23" s="30">
        <v>20.0</v>
      </c>
      <c r="F23" s="30">
        <v>21.0</v>
      </c>
      <c r="G23" s="30">
        <v>15.7</v>
      </c>
      <c r="H23" s="30">
        <v>15.3</v>
      </c>
    </row>
    <row r="24">
      <c r="A24" s="28">
        <v>22.0</v>
      </c>
      <c r="B24" s="29" t="s">
        <v>216</v>
      </c>
      <c r="C24" s="30">
        <v>18.3</v>
      </c>
      <c r="D24" s="30">
        <v>19.3</v>
      </c>
      <c r="E24" s="30">
        <v>18.0</v>
      </c>
      <c r="F24" s="30">
        <v>18.5</v>
      </c>
      <c r="G24" s="30">
        <v>18.3</v>
      </c>
      <c r="H24" s="30">
        <v>17.2</v>
      </c>
    </row>
    <row r="25">
      <c r="A25" s="28">
        <v>24.0</v>
      </c>
      <c r="B25" s="29" t="s">
        <v>217</v>
      </c>
      <c r="C25" s="30">
        <v>18.0</v>
      </c>
      <c r="D25" s="30">
        <v>18.0</v>
      </c>
      <c r="E25" s="30">
        <v>17.0</v>
      </c>
      <c r="F25" s="30">
        <v>19.0</v>
      </c>
      <c r="G25" s="30">
        <v>17.5</v>
      </c>
      <c r="H25" s="30">
        <v>19.8</v>
      </c>
    </row>
    <row r="26">
      <c r="A26" s="28">
        <v>25.0</v>
      </c>
      <c r="B26" s="29" t="s">
        <v>218</v>
      </c>
      <c r="C26" s="30">
        <v>17.6</v>
      </c>
      <c r="D26" s="30">
        <v>16.7</v>
      </c>
      <c r="E26" s="30">
        <v>24.0</v>
      </c>
      <c r="F26" s="30">
        <v>17.0</v>
      </c>
      <c r="G26" s="30">
        <v>18.5</v>
      </c>
      <c r="H26" s="30">
        <v>20.7</v>
      </c>
    </row>
    <row r="27">
      <c r="A27" s="28">
        <v>26.0</v>
      </c>
      <c r="B27" s="29" t="s">
        <v>219</v>
      </c>
      <c r="C27" s="30">
        <v>17.5</v>
      </c>
      <c r="D27" s="30">
        <v>17.7</v>
      </c>
      <c r="E27" s="30">
        <v>16.0</v>
      </c>
      <c r="F27" s="30">
        <v>17.7</v>
      </c>
      <c r="G27" s="30">
        <v>17.3</v>
      </c>
      <c r="H27" s="30">
        <v>17.2</v>
      </c>
    </row>
    <row r="28">
      <c r="A28" s="28">
        <v>27.0</v>
      </c>
      <c r="B28" s="29" t="s">
        <v>220</v>
      </c>
      <c r="C28" s="30">
        <v>17.2</v>
      </c>
      <c r="D28" s="30">
        <v>16.7</v>
      </c>
      <c r="E28" s="30">
        <v>16.0</v>
      </c>
      <c r="F28" s="30">
        <v>18.0</v>
      </c>
      <c r="G28" s="30">
        <v>16.0</v>
      </c>
      <c r="H28" s="30">
        <v>17.5</v>
      </c>
    </row>
    <row r="29">
      <c r="A29" s="28">
        <v>28.0</v>
      </c>
      <c r="B29" s="29" t="s">
        <v>221</v>
      </c>
      <c r="C29" s="30">
        <v>16.8</v>
      </c>
      <c r="D29" s="30">
        <v>19.7</v>
      </c>
      <c r="E29" s="30">
        <v>21.0</v>
      </c>
      <c r="F29" s="30">
        <v>17.3</v>
      </c>
      <c r="G29" s="30">
        <v>16.3</v>
      </c>
      <c r="H29" s="30">
        <v>17.5</v>
      </c>
    </row>
    <row r="30">
      <c r="A30" s="28">
        <v>29.0</v>
      </c>
      <c r="B30" s="29" t="s">
        <v>222</v>
      </c>
      <c r="C30" s="30">
        <v>15.2</v>
      </c>
      <c r="D30" s="30">
        <v>14.7</v>
      </c>
      <c r="E30" s="30">
        <v>22.0</v>
      </c>
      <c r="F30" s="30">
        <v>11.5</v>
      </c>
      <c r="G30" s="30">
        <v>17.7</v>
      </c>
      <c r="H30" s="30">
        <v>18.8</v>
      </c>
    </row>
    <row r="31">
      <c r="A31" s="28">
        <v>30.0</v>
      </c>
      <c r="B31" s="29" t="s">
        <v>223</v>
      </c>
      <c r="C31" s="30">
        <v>15.2</v>
      </c>
      <c r="D31" s="30">
        <v>14.7</v>
      </c>
      <c r="E31" s="30">
        <v>17.0</v>
      </c>
      <c r="F31" s="30">
        <v>17.0</v>
      </c>
      <c r="G31" s="30">
        <v>13.3</v>
      </c>
      <c r="H31" s="30">
        <v>15.4</v>
      </c>
    </row>
    <row r="32">
      <c r="A32" s="28">
        <v>30.0</v>
      </c>
      <c r="B32" s="29" t="s">
        <v>224</v>
      </c>
      <c r="C32" s="30">
        <v>15.2</v>
      </c>
      <c r="D32" s="30">
        <v>15.7</v>
      </c>
      <c r="E32" s="30">
        <v>17.0</v>
      </c>
      <c r="F32" s="30">
        <v>16.0</v>
      </c>
      <c r="G32" s="30">
        <v>14.3</v>
      </c>
      <c r="H32" s="30">
        <v>17.7</v>
      </c>
    </row>
    <row r="33">
      <c r="A33" s="28">
        <v>32.0</v>
      </c>
      <c r="B33" s="29" t="s">
        <v>225</v>
      </c>
      <c r="C33" s="30">
        <v>15.0</v>
      </c>
      <c r="D33" s="30">
        <v>14.0</v>
      </c>
      <c r="E33" s="30">
        <v>14.0</v>
      </c>
      <c r="F33" s="30">
        <v>15.5</v>
      </c>
      <c r="G33" s="30">
        <v>14.8</v>
      </c>
      <c r="H33" s="30">
        <v>19.1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1">
        <v>1.0</v>
      </c>
      <c r="B1" s="32" t="s">
        <v>226</v>
      </c>
      <c r="C1" s="31">
        <v>1.0</v>
      </c>
      <c r="D1" s="32" t="s">
        <v>227</v>
      </c>
      <c r="E1" s="31">
        <v>1.0</v>
      </c>
    </row>
    <row r="2">
      <c r="A2" s="31">
        <v>2.0</v>
      </c>
      <c r="B2" s="32" t="s">
        <v>228</v>
      </c>
      <c r="C2" s="31">
        <v>2.0</v>
      </c>
      <c r="D2" s="32" t="s">
        <v>229</v>
      </c>
      <c r="E2" s="31">
        <v>2.0</v>
      </c>
    </row>
    <row r="3">
      <c r="A3" s="31">
        <v>3.0</v>
      </c>
      <c r="B3" s="32" t="s">
        <v>230</v>
      </c>
      <c r="C3" s="31">
        <v>3.0</v>
      </c>
      <c r="D3" s="32" t="s">
        <v>231</v>
      </c>
      <c r="E3" s="31">
        <v>3.0</v>
      </c>
    </row>
    <row r="4">
      <c r="A4" s="31">
        <v>4.0</v>
      </c>
      <c r="B4" s="32" t="s">
        <v>232</v>
      </c>
      <c r="C4" s="31">
        <v>4.0</v>
      </c>
      <c r="D4" s="32" t="s">
        <v>233</v>
      </c>
      <c r="E4" s="31">
        <v>4.0</v>
      </c>
    </row>
    <row r="5">
      <c r="A5" s="31">
        <v>5.0</v>
      </c>
      <c r="B5" s="32" t="s">
        <v>234</v>
      </c>
      <c r="C5" s="31">
        <v>5.0</v>
      </c>
      <c r="D5" s="32" t="s">
        <v>235</v>
      </c>
      <c r="E5" s="31">
        <v>5.0</v>
      </c>
    </row>
    <row r="6">
      <c r="A6" s="31">
        <v>6.0</v>
      </c>
      <c r="B6" s="32" t="s">
        <v>236</v>
      </c>
      <c r="C6" s="31">
        <v>6.0</v>
      </c>
      <c r="D6" s="32" t="s">
        <v>237</v>
      </c>
      <c r="E6" s="31">
        <v>6.0</v>
      </c>
    </row>
    <row r="7">
      <c r="A7" s="31">
        <v>7.0</v>
      </c>
      <c r="B7" s="32" t="s">
        <v>238</v>
      </c>
      <c r="C7" s="31">
        <v>7.0</v>
      </c>
      <c r="D7" s="32" t="s">
        <v>239</v>
      </c>
      <c r="E7" s="31">
        <v>7.0</v>
      </c>
    </row>
    <row r="8">
      <c r="A8" s="31">
        <v>8.0</v>
      </c>
      <c r="B8" s="32" t="s">
        <v>240</v>
      </c>
      <c r="C8" s="31">
        <v>8.0</v>
      </c>
      <c r="D8" s="32" t="s">
        <v>241</v>
      </c>
      <c r="E8" s="31">
        <v>8.0</v>
      </c>
    </row>
    <row r="9">
      <c r="A9" s="31">
        <v>9.0</v>
      </c>
      <c r="B9" s="32" t="s">
        <v>242</v>
      </c>
      <c r="C9" s="31">
        <v>9.0</v>
      </c>
      <c r="D9" s="32" t="s">
        <v>243</v>
      </c>
      <c r="E9" s="31">
        <v>9.0</v>
      </c>
    </row>
    <row r="10">
      <c r="A10" s="31">
        <v>10.0</v>
      </c>
      <c r="B10" s="32" t="s">
        <v>244</v>
      </c>
      <c r="C10" s="31">
        <v>10.0</v>
      </c>
      <c r="D10" s="32" t="s">
        <v>245</v>
      </c>
      <c r="E10" s="31">
        <v>10.0</v>
      </c>
    </row>
    <row r="11">
      <c r="A11" s="31">
        <v>11.0</v>
      </c>
      <c r="B11" s="32" t="s">
        <v>246</v>
      </c>
      <c r="C11" s="31">
        <v>11.0</v>
      </c>
      <c r="D11" s="32" t="s">
        <v>247</v>
      </c>
      <c r="E11" s="31">
        <v>11.0</v>
      </c>
    </row>
    <row r="12">
      <c r="A12" s="31">
        <v>12.0</v>
      </c>
      <c r="B12" s="32" t="s">
        <v>248</v>
      </c>
      <c r="C12" s="31">
        <v>12.0</v>
      </c>
      <c r="D12" s="32" t="s">
        <v>249</v>
      </c>
      <c r="E12" s="31">
        <v>12.0</v>
      </c>
    </row>
    <row r="13">
      <c r="A13" s="31">
        <v>13.0</v>
      </c>
      <c r="B13" s="32" t="s">
        <v>250</v>
      </c>
      <c r="C13" s="31">
        <v>13.0</v>
      </c>
      <c r="D13" s="32" t="s">
        <v>251</v>
      </c>
      <c r="E13" s="31">
        <v>13.0</v>
      </c>
    </row>
    <row r="14">
      <c r="A14" s="31">
        <v>14.0</v>
      </c>
      <c r="B14" s="32" t="s">
        <v>252</v>
      </c>
      <c r="C14" s="31">
        <v>14.0</v>
      </c>
      <c r="D14" s="32" t="s">
        <v>253</v>
      </c>
      <c r="E14" s="31">
        <v>14.0</v>
      </c>
    </row>
    <row r="15">
      <c r="A15" s="31">
        <v>15.0</v>
      </c>
      <c r="B15" s="32" t="s">
        <v>254</v>
      </c>
      <c r="C15" s="31">
        <v>15.0</v>
      </c>
      <c r="D15" s="32" t="s">
        <v>255</v>
      </c>
      <c r="E15" s="31">
        <v>15.0</v>
      </c>
    </row>
    <row r="16">
      <c r="A16" s="31">
        <v>16.0</v>
      </c>
      <c r="B16" s="32" t="s">
        <v>256</v>
      </c>
      <c r="C16" s="31">
        <v>16.0</v>
      </c>
      <c r="D16" s="32" t="s">
        <v>257</v>
      </c>
      <c r="E16" s="31">
        <v>16.0</v>
      </c>
    </row>
    <row r="17">
      <c r="A17" s="31">
        <v>17.0</v>
      </c>
      <c r="B17" s="32" t="s">
        <v>258</v>
      </c>
      <c r="C17" s="31">
        <v>17.0</v>
      </c>
      <c r="D17" s="32" t="s">
        <v>259</v>
      </c>
      <c r="E17" s="31">
        <v>17.0</v>
      </c>
    </row>
    <row r="18">
      <c r="A18" s="31">
        <v>18.0</v>
      </c>
      <c r="B18" s="32" t="s">
        <v>260</v>
      </c>
      <c r="C18" s="31">
        <v>18.0</v>
      </c>
      <c r="D18" s="32" t="s">
        <v>261</v>
      </c>
      <c r="E18" s="31">
        <v>18.0</v>
      </c>
    </row>
    <row r="19">
      <c r="A19" s="31">
        <v>19.0</v>
      </c>
      <c r="B19" s="32" t="s">
        <v>262</v>
      </c>
      <c r="C19" s="31">
        <v>19.0</v>
      </c>
      <c r="D19" s="32" t="s">
        <v>263</v>
      </c>
      <c r="E19" s="31">
        <v>19.0</v>
      </c>
    </row>
    <row r="20">
      <c r="A20" s="31">
        <v>20.0</v>
      </c>
      <c r="B20" s="32" t="s">
        <v>264</v>
      </c>
      <c r="C20" s="31">
        <v>20.0</v>
      </c>
      <c r="D20" s="32" t="s">
        <v>265</v>
      </c>
      <c r="E20" s="31">
        <v>20.0</v>
      </c>
    </row>
    <row r="21">
      <c r="A21" s="31">
        <v>21.0</v>
      </c>
      <c r="B21" s="32" t="s">
        <v>266</v>
      </c>
      <c r="C21" s="31">
        <v>21.0</v>
      </c>
      <c r="D21" s="32" t="s">
        <v>267</v>
      </c>
      <c r="E21" s="31">
        <v>21.0</v>
      </c>
    </row>
    <row r="22">
      <c r="A22" s="31">
        <v>22.0</v>
      </c>
      <c r="B22" s="32" t="s">
        <v>268</v>
      </c>
      <c r="C22" s="31">
        <v>22.0</v>
      </c>
      <c r="D22" s="32" t="s">
        <v>269</v>
      </c>
      <c r="E22" s="31">
        <v>22.0</v>
      </c>
    </row>
    <row r="23">
      <c r="A23" s="31">
        <v>23.0</v>
      </c>
      <c r="B23" s="32" t="s">
        <v>270</v>
      </c>
      <c r="C23" s="31">
        <v>23.0</v>
      </c>
      <c r="D23" s="32" t="s">
        <v>271</v>
      </c>
      <c r="E23" s="31">
        <v>23.0</v>
      </c>
    </row>
    <row r="24">
      <c r="A24" s="31">
        <v>24.0</v>
      </c>
      <c r="B24" s="32" t="s">
        <v>272</v>
      </c>
      <c r="C24" s="31">
        <v>24.0</v>
      </c>
      <c r="D24" s="32" t="s">
        <v>273</v>
      </c>
      <c r="E24" s="31">
        <v>24.0</v>
      </c>
    </row>
    <row r="25">
      <c r="A25" s="31">
        <v>25.0</v>
      </c>
      <c r="B25" s="32" t="s">
        <v>274</v>
      </c>
      <c r="C25" s="31">
        <v>25.0</v>
      </c>
      <c r="D25" s="32" t="s">
        <v>275</v>
      </c>
      <c r="E25" s="31">
        <v>25.0</v>
      </c>
    </row>
    <row r="26">
      <c r="A26" s="31">
        <v>26.0</v>
      </c>
      <c r="B26" s="32" t="s">
        <v>276</v>
      </c>
      <c r="C26" s="31">
        <v>26.0</v>
      </c>
      <c r="D26" s="32" t="s">
        <v>277</v>
      </c>
      <c r="E26" s="31">
        <v>26.0</v>
      </c>
    </row>
    <row r="27">
      <c r="A27" s="31">
        <v>27.0</v>
      </c>
      <c r="B27" s="32" t="s">
        <v>278</v>
      </c>
      <c r="C27" s="31">
        <v>27.0</v>
      </c>
      <c r="D27" s="32" t="s">
        <v>279</v>
      </c>
      <c r="E27" s="31">
        <v>27.0</v>
      </c>
    </row>
    <row r="28">
      <c r="A28" s="31">
        <v>28.0</v>
      </c>
      <c r="B28" s="32" t="s">
        <v>280</v>
      </c>
      <c r="C28" s="31">
        <v>28.0</v>
      </c>
      <c r="D28" s="32" t="s">
        <v>281</v>
      </c>
      <c r="E28" s="31">
        <v>28.0</v>
      </c>
    </row>
    <row r="29">
      <c r="A29" s="31">
        <v>29.0</v>
      </c>
      <c r="B29" s="32" t="s">
        <v>282</v>
      </c>
      <c r="C29" s="31">
        <v>29.0</v>
      </c>
      <c r="D29" s="32" t="s">
        <v>283</v>
      </c>
      <c r="E29" s="31">
        <v>29.0</v>
      </c>
    </row>
    <row r="30">
      <c r="A30" s="31">
        <v>30.0</v>
      </c>
      <c r="B30" s="32" t="s">
        <v>284</v>
      </c>
      <c r="C30" s="31">
        <v>30.0</v>
      </c>
      <c r="D30" s="32" t="s">
        <v>285</v>
      </c>
      <c r="E30" s="31">
        <v>30.0</v>
      </c>
    </row>
    <row r="31">
      <c r="A31" s="31">
        <v>31.0</v>
      </c>
      <c r="B31" s="32" t="s">
        <v>286</v>
      </c>
      <c r="C31" s="31">
        <v>31.0</v>
      </c>
      <c r="D31" s="32" t="s">
        <v>287</v>
      </c>
      <c r="E31" s="31">
        <v>31.0</v>
      </c>
    </row>
    <row r="32">
      <c r="A32" s="31">
        <v>32.0</v>
      </c>
      <c r="B32" s="32" t="s">
        <v>288</v>
      </c>
      <c r="C32" s="31">
        <v>32.0</v>
      </c>
      <c r="D32" s="32" t="s">
        <v>289</v>
      </c>
      <c r="E32" s="31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IFERROR(__xludf.DUMMYFUNCTION("IMPORTRANGE(""https://docs.google.com/spreadsheets/d/13MAhBT9K2M70JP2OISI4aettE0FK27CjAGHAew7TsAE/edit?gid=1671364351#gid=1671364351"",""odds!A1:L"")"),"game_id")</f>
        <v>game_id</v>
      </c>
      <c r="B1" s="7" t="str">
        <f>IFERROR(__xludf.DUMMYFUNCTION("""COMPUTED_VALUE"""),"commence_time")</f>
        <v>commence_time</v>
      </c>
      <c r="C1" s="7" t="str">
        <f>IFERROR(__xludf.DUMMYFUNCTION("""COMPUTED_VALUE"""),"in_play")</f>
        <v>in_play</v>
      </c>
      <c r="D1" s="7" t="str">
        <f>IFERROR(__xludf.DUMMYFUNCTION("""COMPUTED_VALUE"""),"bookmaker")</f>
        <v>bookmaker</v>
      </c>
      <c r="E1" s="7" t="str">
        <f>IFERROR(__xludf.DUMMYFUNCTION("""COMPUTED_VALUE"""),"last_update")</f>
        <v>last_update</v>
      </c>
      <c r="F1" s="7" t="str">
        <f>IFERROR(__xludf.DUMMYFUNCTION("""COMPUTED_VALUE"""),"home_team")</f>
        <v>home_team</v>
      </c>
      <c r="G1" s="7" t="str">
        <f>IFERROR(__xludf.DUMMYFUNCTION("""COMPUTED_VALUE"""),"away_team")</f>
        <v>away_team</v>
      </c>
      <c r="H1" s="7" t="str">
        <f>IFERROR(__xludf.DUMMYFUNCTION("""COMPUTED_VALUE"""),"market")</f>
        <v>market</v>
      </c>
      <c r="I1" s="7" t="str">
        <f>IFERROR(__xludf.DUMMYFUNCTION("""COMPUTED_VALUE"""),"label")</f>
        <v>label</v>
      </c>
      <c r="J1" s="7" t="str">
        <f>IFERROR(__xludf.DUMMYFUNCTION("""COMPUTED_VALUE"""),"description")</f>
        <v>description</v>
      </c>
      <c r="K1" s="7" t="str">
        <f>IFERROR(__xludf.DUMMYFUNCTION("""COMPUTED_VALUE"""),"price")</f>
        <v>price</v>
      </c>
      <c r="L1" s="7" t="str">
        <f>IFERROR(__xludf.DUMMYFUNCTION("""COMPUTED_VALUE"""),"point")</f>
        <v>point</v>
      </c>
    </row>
    <row r="2">
      <c r="A2" s="7" t="str">
        <f>IFERROR(__xludf.DUMMYFUNCTION("""COMPUTED_VALUE"""),"86278ec4bbdcadd945d79df6c695c2ec")</f>
        <v>86278ec4bbdcadd945d79df6c695c2ec</v>
      </c>
      <c r="B2" s="8">
        <f>IFERROR(__xludf.DUMMYFUNCTION("""COMPUTED_VALUE"""),45594.01041666667)</f>
        <v>45594.01042</v>
      </c>
      <c r="C2" s="9" t="b">
        <f>IFERROR(__xludf.DUMMYFUNCTION("""COMPUTED_VALUE"""),FALSE)</f>
        <v>0</v>
      </c>
      <c r="D2" s="7" t="str">
        <f>IFERROR(__xludf.DUMMYFUNCTION("""COMPUTED_VALUE"""),"DraftKings")</f>
        <v>DraftKings</v>
      </c>
      <c r="E2" s="8">
        <f>IFERROR(__xludf.DUMMYFUNCTION("""COMPUTED_VALUE"""),45593.91478009259)</f>
        <v>45593.91478</v>
      </c>
      <c r="F2" s="7" t="str">
        <f>IFERROR(__xludf.DUMMYFUNCTION("""COMPUTED_VALUE"""),"Pittsburgh Steelers")</f>
        <v>Pittsburgh Steelers</v>
      </c>
      <c r="G2" s="7" t="str">
        <f>IFERROR(__xludf.DUMMYFUNCTION("""COMPUTED_VALUE"""),"New York Giants")</f>
        <v>New York Giants</v>
      </c>
      <c r="H2" s="7" t="str">
        <f>IFERROR(__xludf.DUMMYFUNCTION("""COMPUTED_VALUE"""),"totals")</f>
        <v>totals</v>
      </c>
      <c r="I2" s="7" t="str">
        <f>IFERROR(__xludf.DUMMYFUNCTION("""COMPUTED_VALUE"""),"Over")</f>
        <v>Over</v>
      </c>
      <c r="J2" s="7"/>
      <c r="K2" s="10">
        <f>IFERROR(__xludf.DUMMYFUNCTION("""COMPUTED_VALUE"""),-108.0)</f>
        <v>-108</v>
      </c>
      <c r="L2" s="10">
        <f>IFERROR(__xludf.DUMMYFUNCTION("""COMPUTED_VALUE"""),37.5)</f>
        <v>37.5</v>
      </c>
    </row>
    <row r="3">
      <c r="A3" s="7" t="str">
        <f>IFERROR(__xludf.DUMMYFUNCTION("""COMPUTED_VALUE"""),"86278ec4bbdcadd945d79df6c695c2ec")</f>
        <v>86278ec4bbdcadd945d79df6c695c2ec</v>
      </c>
      <c r="B3" s="8">
        <f>IFERROR(__xludf.DUMMYFUNCTION("""COMPUTED_VALUE"""),45594.01041666667)</f>
        <v>45594.01042</v>
      </c>
      <c r="C3" s="9" t="b">
        <f>IFERROR(__xludf.DUMMYFUNCTION("""COMPUTED_VALUE"""),FALSE)</f>
        <v>0</v>
      </c>
      <c r="D3" s="7" t="str">
        <f>IFERROR(__xludf.DUMMYFUNCTION("""COMPUTED_VALUE"""),"DraftKings")</f>
        <v>DraftKings</v>
      </c>
      <c r="E3" s="8">
        <f>IFERROR(__xludf.DUMMYFUNCTION("""COMPUTED_VALUE"""),45593.91478009259)</f>
        <v>45593.91478</v>
      </c>
      <c r="F3" s="7" t="str">
        <f>IFERROR(__xludf.DUMMYFUNCTION("""COMPUTED_VALUE"""),"Pittsburgh Steelers")</f>
        <v>Pittsburgh Steelers</v>
      </c>
      <c r="G3" s="7" t="str">
        <f>IFERROR(__xludf.DUMMYFUNCTION("""COMPUTED_VALUE"""),"New York Giants")</f>
        <v>New York Giants</v>
      </c>
      <c r="H3" s="7" t="str">
        <f>IFERROR(__xludf.DUMMYFUNCTION("""COMPUTED_VALUE"""),"totals")</f>
        <v>totals</v>
      </c>
      <c r="I3" s="7" t="str">
        <f>IFERROR(__xludf.DUMMYFUNCTION("""COMPUTED_VALUE"""),"Under")</f>
        <v>Under</v>
      </c>
      <c r="J3" s="7"/>
      <c r="K3" s="10">
        <f>IFERROR(__xludf.DUMMYFUNCTION("""COMPUTED_VALUE"""),-112.0)</f>
        <v>-112</v>
      </c>
      <c r="L3" s="10">
        <f>IFERROR(__xludf.DUMMYFUNCTION("""COMPUTED_VALUE"""),37.5)</f>
        <v>37.5</v>
      </c>
    </row>
    <row r="4">
      <c r="A4" s="7" t="str">
        <f>IFERROR(__xludf.DUMMYFUNCTION("""COMPUTED_VALUE"""),"86278ec4bbdcadd945d79df6c695c2ec")</f>
        <v>86278ec4bbdcadd945d79df6c695c2ec</v>
      </c>
      <c r="B4" s="8">
        <f>IFERROR(__xludf.DUMMYFUNCTION("""COMPUTED_VALUE"""),45594.01041666667)</f>
        <v>45594.01042</v>
      </c>
      <c r="C4" s="9" t="b">
        <f>IFERROR(__xludf.DUMMYFUNCTION("""COMPUTED_VALUE"""),FALSE)</f>
        <v>0</v>
      </c>
      <c r="D4" s="7" t="str">
        <f>IFERROR(__xludf.DUMMYFUNCTION("""COMPUTED_VALUE"""),"BetUS")</f>
        <v>BetUS</v>
      </c>
      <c r="E4" s="8">
        <f>IFERROR(__xludf.DUMMYFUNCTION("""COMPUTED_VALUE"""),45593.91565972222)</f>
        <v>45593.91566</v>
      </c>
      <c r="F4" s="7" t="str">
        <f>IFERROR(__xludf.DUMMYFUNCTION("""COMPUTED_VALUE"""),"Pittsburgh Steelers")</f>
        <v>Pittsburgh Steelers</v>
      </c>
      <c r="G4" s="7" t="str">
        <f>IFERROR(__xludf.DUMMYFUNCTION("""COMPUTED_VALUE"""),"New York Giants")</f>
        <v>New York Giants</v>
      </c>
      <c r="H4" s="7" t="str">
        <f>IFERROR(__xludf.DUMMYFUNCTION("""COMPUTED_VALUE"""),"totals")</f>
        <v>totals</v>
      </c>
      <c r="I4" s="7" t="str">
        <f>IFERROR(__xludf.DUMMYFUNCTION("""COMPUTED_VALUE"""),"Over")</f>
        <v>Over</v>
      </c>
      <c r="J4" s="7"/>
      <c r="K4" s="10">
        <f>IFERROR(__xludf.DUMMYFUNCTION("""COMPUTED_VALUE"""),-115.0)</f>
        <v>-115</v>
      </c>
      <c r="L4" s="10">
        <f>IFERROR(__xludf.DUMMYFUNCTION("""COMPUTED_VALUE"""),37.0)</f>
        <v>37</v>
      </c>
    </row>
    <row r="5">
      <c r="A5" s="7" t="str">
        <f>IFERROR(__xludf.DUMMYFUNCTION("""COMPUTED_VALUE"""),"86278ec4bbdcadd945d79df6c695c2ec")</f>
        <v>86278ec4bbdcadd945d79df6c695c2ec</v>
      </c>
      <c r="B5" s="8">
        <f>IFERROR(__xludf.DUMMYFUNCTION("""COMPUTED_VALUE"""),45594.01041666667)</f>
        <v>45594.01042</v>
      </c>
      <c r="C5" s="9" t="b">
        <f>IFERROR(__xludf.DUMMYFUNCTION("""COMPUTED_VALUE"""),FALSE)</f>
        <v>0</v>
      </c>
      <c r="D5" s="7" t="str">
        <f>IFERROR(__xludf.DUMMYFUNCTION("""COMPUTED_VALUE"""),"BetUS")</f>
        <v>BetUS</v>
      </c>
      <c r="E5" s="8">
        <f>IFERROR(__xludf.DUMMYFUNCTION("""COMPUTED_VALUE"""),45593.91565972222)</f>
        <v>45593.91566</v>
      </c>
      <c r="F5" s="7" t="str">
        <f>IFERROR(__xludf.DUMMYFUNCTION("""COMPUTED_VALUE"""),"Pittsburgh Steelers")</f>
        <v>Pittsburgh Steelers</v>
      </c>
      <c r="G5" s="7" t="str">
        <f>IFERROR(__xludf.DUMMYFUNCTION("""COMPUTED_VALUE"""),"New York Giants")</f>
        <v>New York Giants</v>
      </c>
      <c r="H5" s="7" t="str">
        <f>IFERROR(__xludf.DUMMYFUNCTION("""COMPUTED_VALUE"""),"totals")</f>
        <v>totals</v>
      </c>
      <c r="I5" s="7" t="str">
        <f>IFERROR(__xludf.DUMMYFUNCTION("""COMPUTED_VALUE"""),"Under")</f>
        <v>Under</v>
      </c>
      <c r="J5" s="7"/>
      <c r="K5" s="10">
        <f>IFERROR(__xludf.DUMMYFUNCTION("""COMPUTED_VALUE"""),-105.0)</f>
        <v>-105</v>
      </c>
      <c r="L5" s="10">
        <f>IFERROR(__xludf.DUMMYFUNCTION("""COMPUTED_VALUE"""),37.0)</f>
        <v>37</v>
      </c>
    </row>
    <row r="6">
      <c r="A6" s="7" t="str">
        <f>IFERROR(__xludf.DUMMYFUNCTION("""COMPUTED_VALUE"""),"86278ec4bbdcadd945d79df6c695c2ec")</f>
        <v>86278ec4bbdcadd945d79df6c695c2ec</v>
      </c>
      <c r="B6" s="8">
        <f>IFERROR(__xludf.DUMMYFUNCTION("""COMPUTED_VALUE"""),45594.01041666667)</f>
        <v>45594.01042</v>
      </c>
      <c r="C6" s="9" t="b">
        <f>IFERROR(__xludf.DUMMYFUNCTION("""COMPUTED_VALUE"""),FALSE)</f>
        <v>0</v>
      </c>
      <c r="D6" s="7" t="str">
        <f>IFERROR(__xludf.DUMMYFUNCTION("""COMPUTED_VALUE"""),"FanDuel")</f>
        <v>FanDuel</v>
      </c>
      <c r="E6" s="8">
        <f>IFERROR(__xludf.DUMMYFUNCTION("""COMPUTED_VALUE"""),45593.91564814815)</f>
        <v>45593.91565</v>
      </c>
      <c r="F6" s="7" t="str">
        <f>IFERROR(__xludf.DUMMYFUNCTION("""COMPUTED_VALUE"""),"Pittsburgh Steelers")</f>
        <v>Pittsburgh Steelers</v>
      </c>
      <c r="G6" s="7" t="str">
        <f>IFERROR(__xludf.DUMMYFUNCTION("""COMPUTED_VALUE"""),"New York Giants")</f>
        <v>New York Giants</v>
      </c>
      <c r="H6" s="7" t="str">
        <f>IFERROR(__xludf.DUMMYFUNCTION("""COMPUTED_VALUE"""),"totals")</f>
        <v>totals</v>
      </c>
      <c r="I6" s="7" t="str">
        <f>IFERROR(__xludf.DUMMYFUNCTION("""COMPUTED_VALUE"""),"Over")</f>
        <v>Over</v>
      </c>
      <c r="J6" s="7"/>
      <c r="K6" s="10">
        <f>IFERROR(__xludf.DUMMYFUNCTION("""COMPUTED_VALUE"""),-112.0)</f>
        <v>-112</v>
      </c>
      <c r="L6" s="10">
        <f>IFERROR(__xludf.DUMMYFUNCTION("""COMPUTED_VALUE"""),36.5)</f>
        <v>36.5</v>
      </c>
    </row>
    <row r="7">
      <c r="A7" s="7" t="str">
        <f>IFERROR(__xludf.DUMMYFUNCTION("""COMPUTED_VALUE"""),"86278ec4bbdcadd945d79df6c695c2ec")</f>
        <v>86278ec4bbdcadd945d79df6c695c2ec</v>
      </c>
      <c r="B7" s="8">
        <f>IFERROR(__xludf.DUMMYFUNCTION("""COMPUTED_VALUE"""),45594.01041666667)</f>
        <v>45594.01042</v>
      </c>
      <c r="C7" s="9" t="b">
        <f>IFERROR(__xludf.DUMMYFUNCTION("""COMPUTED_VALUE"""),FALSE)</f>
        <v>0</v>
      </c>
      <c r="D7" s="7" t="str">
        <f>IFERROR(__xludf.DUMMYFUNCTION("""COMPUTED_VALUE"""),"FanDuel")</f>
        <v>FanDuel</v>
      </c>
      <c r="E7" s="8">
        <f>IFERROR(__xludf.DUMMYFUNCTION("""COMPUTED_VALUE"""),45593.91564814815)</f>
        <v>45593.91565</v>
      </c>
      <c r="F7" s="7" t="str">
        <f>IFERROR(__xludf.DUMMYFUNCTION("""COMPUTED_VALUE"""),"Pittsburgh Steelers")</f>
        <v>Pittsburgh Steelers</v>
      </c>
      <c r="G7" s="7" t="str">
        <f>IFERROR(__xludf.DUMMYFUNCTION("""COMPUTED_VALUE"""),"New York Giants")</f>
        <v>New York Giants</v>
      </c>
      <c r="H7" s="7" t="str">
        <f>IFERROR(__xludf.DUMMYFUNCTION("""COMPUTED_VALUE"""),"totals")</f>
        <v>totals</v>
      </c>
      <c r="I7" s="7" t="str">
        <f>IFERROR(__xludf.DUMMYFUNCTION("""COMPUTED_VALUE"""),"Under")</f>
        <v>Under</v>
      </c>
      <c r="J7" s="7"/>
      <c r="K7" s="10">
        <f>IFERROR(__xludf.DUMMYFUNCTION("""COMPUTED_VALUE"""),-108.0)</f>
        <v>-108</v>
      </c>
      <c r="L7" s="10">
        <f>IFERROR(__xludf.DUMMYFUNCTION("""COMPUTED_VALUE"""),36.5)</f>
        <v>36.5</v>
      </c>
    </row>
    <row r="8">
      <c r="A8" s="7" t="str">
        <f>IFERROR(__xludf.DUMMYFUNCTION("""COMPUTED_VALUE"""),"86278ec4bbdcadd945d79df6c695c2ec")</f>
        <v>86278ec4bbdcadd945d79df6c695c2ec</v>
      </c>
      <c r="B8" s="8">
        <f>IFERROR(__xludf.DUMMYFUNCTION("""COMPUTED_VALUE"""),45594.01041666667)</f>
        <v>45594.01042</v>
      </c>
      <c r="C8" s="9" t="b">
        <f>IFERROR(__xludf.DUMMYFUNCTION("""COMPUTED_VALUE"""),FALSE)</f>
        <v>0</v>
      </c>
      <c r="D8" s="11" t="str">
        <f>IFERROR(__xludf.DUMMYFUNCTION("""COMPUTED_VALUE"""),"MyBookie.ag")</f>
        <v>MyBookie.ag</v>
      </c>
      <c r="E8" s="8">
        <f>IFERROR(__xludf.DUMMYFUNCTION("""COMPUTED_VALUE"""),45593.91346064815)</f>
        <v>45593.91346</v>
      </c>
      <c r="F8" s="7" t="str">
        <f>IFERROR(__xludf.DUMMYFUNCTION("""COMPUTED_VALUE"""),"Pittsburgh Steelers")</f>
        <v>Pittsburgh Steelers</v>
      </c>
      <c r="G8" s="7" t="str">
        <f>IFERROR(__xludf.DUMMYFUNCTION("""COMPUTED_VALUE"""),"New York Giants")</f>
        <v>New York Giants</v>
      </c>
      <c r="H8" s="7" t="str">
        <f>IFERROR(__xludf.DUMMYFUNCTION("""COMPUTED_VALUE"""),"totals")</f>
        <v>totals</v>
      </c>
      <c r="I8" s="7" t="str">
        <f>IFERROR(__xludf.DUMMYFUNCTION("""COMPUTED_VALUE"""),"Over")</f>
        <v>Over</v>
      </c>
      <c r="J8" s="7"/>
      <c r="K8" s="10">
        <f>IFERROR(__xludf.DUMMYFUNCTION("""COMPUTED_VALUE"""),-110.0)</f>
        <v>-110</v>
      </c>
      <c r="L8" s="10">
        <f>IFERROR(__xludf.DUMMYFUNCTION("""COMPUTED_VALUE"""),37.0)</f>
        <v>37</v>
      </c>
    </row>
    <row r="9">
      <c r="A9" s="7" t="str">
        <f>IFERROR(__xludf.DUMMYFUNCTION("""COMPUTED_VALUE"""),"86278ec4bbdcadd945d79df6c695c2ec")</f>
        <v>86278ec4bbdcadd945d79df6c695c2ec</v>
      </c>
      <c r="B9" s="8">
        <f>IFERROR(__xludf.DUMMYFUNCTION("""COMPUTED_VALUE"""),45594.01041666667)</f>
        <v>45594.01042</v>
      </c>
      <c r="C9" s="9" t="b">
        <f>IFERROR(__xludf.DUMMYFUNCTION("""COMPUTED_VALUE"""),FALSE)</f>
        <v>0</v>
      </c>
      <c r="D9" s="11" t="str">
        <f>IFERROR(__xludf.DUMMYFUNCTION("""COMPUTED_VALUE"""),"MyBookie.ag")</f>
        <v>MyBookie.ag</v>
      </c>
      <c r="E9" s="8">
        <f>IFERROR(__xludf.DUMMYFUNCTION("""COMPUTED_VALUE"""),45593.91346064815)</f>
        <v>45593.91346</v>
      </c>
      <c r="F9" s="7" t="str">
        <f>IFERROR(__xludf.DUMMYFUNCTION("""COMPUTED_VALUE"""),"Pittsburgh Steelers")</f>
        <v>Pittsburgh Steelers</v>
      </c>
      <c r="G9" s="7" t="str">
        <f>IFERROR(__xludf.DUMMYFUNCTION("""COMPUTED_VALUE"""),"New York Giants")</f>
        <v>New York Giants</v>
      </c>
      <c r="H9" s="7" t="str">
        <f>IFERROR(__xludf.DUMMYFUNCTION("""COMPUTED_VALUE"""),"totals")</f>
        <v>totals</v>
      </c>
      <c r="I9" s="7" t="str">
        <f>IFERROR(__xludf.DUMMYFUNCTION("""COMPUTED_VALUE"""),"Under")</f>
        <v>Under</v>
      </c>
      <c r="J9" s="7"/>
      <c r="K9" s="10">
        <f>IFERROR(__xludf.DUMMYFUNCTION("""COMPUTED_VALUE"""),-110.0)</f>
        <v>-110</v>
      </c>
      <c r="L9" s="10">
        <f>IFERROR(__xludf.DUMMYFUNCTION("""COMPUTED_VALUE"""),37.0)</f>
        <v>37</v>
      </c>
    </row>
    <row r="10">
      <c r="A10" s="7" t="str">
        <f>IFERROR(__xludf.DUMMYFUNCTION("""COMPUTED_VALUE"""),"86278ec4bbdcadd945d79df6c695c2ec")</f>
        <v>86278ec4bbdcadd945d79df6c695c2ec</v>
      </c>
      <c r="B10" s="8">
        <f>IFERROR(__xludf.DUMMYFUNCTION("""COMPUTED_VALUE"""),45594.01041666667)</f>
        <v>45594.01042</v>
      </c>
      <c r="C10" s="9" t="b">
        <f>IFERROR(__xludf.DUMMYFUNCTION("""COMPUTED_VALUE"""),FALSE)</f>
        <v>0</v>
      </c>
      <c r="D10" s="11" t="str">
        <f>IFERROR(__xludf.DUMMYFUNCTION("""COMPUTED_VALUE"""),"BetOnline.ag")</f>
        <v>BetOnline.ag</v>
      </c>
      <c r="E10" s="8">
        <f>IFERROR(__xludf.DUMMYFUNCTION("""COMPUTED_VALUE"""),45593.91604166667)</f>
        <v>45593.91604</v>
      </c>
      <c r="F10" s="7" t="str">
        <f>IFERROR(__xludf.DUMMYFUNCTION("""COMPUTED_VALUE"""),"Pittsburgh Steelers")</f>
        <v>Pittsburgh Steelers</v>
      </c>
      <c r="G10" s="7" t="str">
        <f>IFERROR(__xludf.DUMMYFUNCTION("""COMPUTED_VALUE"""),"New York Giants")</f>
        <v>New York Giants</v>
      </c>
      <c r="H10" s="7" t="str">
        <f>IFERROR(__xludf.DUMMYFUNCTION("""COMPUTED_VALUE"""),"totals")</f>
        <v>totals</v>
      </c>
      <c r="I10" s="7" t="str">
        <f>IFERROR(__xludf.DUMMYFUNCTION("""COMPUTED_VALUE"""),"Over")</f>
        <v>Over</v>
      </c>
      <c r="J10" s="7"/>
      <c r="K10" s="10">
        <f>IFERROR(__xludf.DUMMYFUNCTION("""COMPUTED_VALUE"""),-110.0)</f>
        <v>-110</v>
      </c>
      <c r="L10" s="10">
        <f>IFERROR(__xludf.DUMMYFUNCTION("""COMPUTED_VALUE"""),37.0)</f>
        <v>37</v>
      </c>
    </row>
    <row r="11">
      <c r="A11" s="7" t="str">
        <f>IFERROR(__xludf.DUMMYFUNCTION("""COMPUTED_VALUE"""),"86278ec4bbdcadd945d79df6c695c2ec")</f>
        <v>86278ec4bbdcadd945d79df6c695c2ec</v>
      </c>
      <c r="B11" s="8">
        <f>IFERROR(__xludf.DUMMYFUNCTION("""COMPUTED_VALUE"""),45594.01041666667)</f>
        <v>45594.01042</v>
      </c>
      <c r="C11" s="9" t="b">
        <f>IFERROR(__xludf.DUMMYFUNCTION("""COMPUTED_VALUE"""),FALSE)</f>
        <v>0</v>
      </c>
      <c r="D11" s="11" t="str">
        <f>IFERROR(__xludf.DUMMYFUNCTION("""COMPUTED_VALUE"""),"BetOnline.ag")</f>
        <v>BetOnline.ag</v>
      </c>
      <c r="E11" s="8">
        <f>IFERROR(__xludf.DUMMYFUNCTION("""COMPUTED_VALUE"""),45593.91604166667)</f>
        <v>45593.91604</v>
      </c>
      <c r="F11" s="7" t="str">
        <f>IFERROR(__xludf.DUMMYFUNCTION("""COMPUTED_VALUE"""),"Pittsburgh Steelers")</f>
        <v>Pittsburgh Steelers</v>
      </c>
      <c r="G11" s="7" t="str">
        <f>IFERROR(__xludf.DUMMYFUNCTION("""COMPUTED_VALUE"""),"New York Giants")</f>
        <v>New York Giants</v>
      </c>
      <c r="H11" s="7" t="str">
        <f>IFERROR(__xludf.DUMMYFUNCTION("""COMPUTED_VALUE"""),"totals")</f>
        <v>totals</v>
      </c>
      <c r="I11" s="7" t="str">
        <f>IFERROR(__xludf.DUMMYFUNCTION("""COMPUTED_VALUE"""),"Under")</f>
        <v>Under</v>
      </c>
      <c r="J11" s="7"/>
      <c r="K11" s="10">
        <f>IFERROR(__xludf.DUMMYFUNCTION("""COMPUTED_VALUE"""),-110.0)</f>
        <v>-110</v>
      </c>
      <c r="L11" s="10">
        <f>IFERROR(__xludf.DUMMYFUNCTION("""COMPUTED_VALUE"""),37.0)</f>
        <v>37</v>
      </c>
    </row>
    <row r="12">
      <c r="A12" s="7" t="str">
        <f>IFERROR(__xludf.DUMMYFUNCTION("""COMPUTED_VALUE"""),"86278ec4bbdcadd945d79df6c695c2ec")</f>
        <v>86278ec4bbdcadd945d79df6c695c2ec</v>
      </c>
      <c r="B12" s="8">
        <f>IFERROR(__xludf.DUMMYFUNCTION("""COMPUTED_VALUE"""),45594.01041666667)</f>
        <v>45594.01042</v>
      </c>
      <c r="C12" s="9" t="b">
        <f>IFERROR(__xludf.DUMMYFUNCTION("""COMPUTED_VALUE"""),FALSE)</f>
        <v>0</v>
      </c>
      <c r="D12" s="11" t="str">
        <f>IFERROR(__xludf.DUMMYFUNCTION("""COMPUTED_VALUE"""),"LowVig.ag")</f>
        <v>LowVig.ag</v>
      </c>
      <c r="E12" s="8">
        <f>IFERROR(__xludf.DUMMYFUNCTION("""COMPUTED_VALUE"""),45593.91604166667)</f>
        <v>45593.91604</v>
      </c>
      <c r="F12" s="7" t="str">
        <f>IFERROR(__xludf.DUMMYFUNCTION("""COMPUTED_VALUE"""),"Pittsburgh Steelers")</f>
        <v>Pittsburgh Steelers</v>
      </c>
      <c r="G12" s="7" t="str">
        <f>IFERROR(__xludf.DUMMYFUNCTION("""COMPUTED_VALUE"""),"New York Giants")</f>
        <v>New York Giants</v>
      </c>
      <c r="H12" s="7" t="str">
        <f>IFERROR(__xludf.DUMMYFUNCTION("""COMPUTED_VALUE"""),"totals")</f>
        <v>totals</v>
      </c>
      <c r="I12" s="7" t="str">
        <f>IFERROR(__xludf.DUMMYFUNCTION("""COMPUTED_VALUE"""),"Over")</f>
        <v>Over</v>
      </c>
      <c r="J12" s="7"/>
      <c r="K12" s="10">
        <f>IFERROR(__xludf.DUMMYFUNCTION("""COMPUTED_VALUE"""),-110.0)</f>
        <v>-110</v>
      </c>
      <c r="L12" s="10">
        <f>IFERROR(__xludf.DUMMYFUNCTION("""COMPUTED_VALUE"""),37.0)</f>
        <v>37</v>
      </c>
    </row>
    <row r="13">
      <c r="A13" s="7" t="str">
        <f>IFERROR(__xludf.DUMMYFUNCTION("""COMPUTED_VALUE"""),"86278ec4bbdcadd945d79df6c695c2ec")</f>
        <v>86278ec4bbdcadd945d79df6c695c2ec</v>
      </c>
      <c r="B13" s="8">
        <f>IFERROR(__xludf.DUMMYFUNCTION("""COMPUTED_VALUE"""),45594.01041666667)</f>
        <v>45594.01042</v>
      </c>
      <c r="C13" s="9" t="b">
        <f>IFERROR(__xludf.DUMMYFUNCTION("""COMPUTED_VALUE"""),FALSE)</f>
        <v>0</v>
      </c>
      <c r="D13" s="11" t="str">
        <f>IFERROR(__xludf.DUMMYFUNCTION("""COMPUTED_VALUE"""),"LowVig.ag")</f>
        <v>LowVig.ag</v>
      </c>
      <c r="E13" s="8">
        <f>IFERROR(__xludf.DUMMYFUNCTION("""COMPUTED_VALUE"""),45593.91604166667)</f>
        <v>45593.91604</v>
      </c>
      <c r="F13" s="7" t="str">
        <f>IFERROR(__xludf.DUMMYFUNCTION("""COMPUTED_VALUE"""),"Pittsburgh Steelers")</f>
        <v>Pittsburgh Steelers</v>
      </c>
      <c r="G13" s="7" t="str">
        <f>IFERROR(__xludf.DUMMYFUNCTION("""COMPUTED_VALUE"""),"New York Giants")</f>
        <v>New York Giants</v>
      </c>
      <c r="H13" s="7" t="str">
        <f>IFERROR(__xludf.DUMMYFUNCTION("""COMPUTED_VALUE"""),"totals")</f>
        <v>totals</v>
      </c>
      <c r="I13" s="7" t="str">
        <f>IFERROR(__xludf.DUMMYFUNCTION("""COMPUTED_VALUE"""),"Under")</f>
        <v>Under</v>
      </c>
      <c r="J13" s="7"/>
      <c r="K13" s="10">
        <f>IFERROR(__xludf.DUMMYFUNCTION("""COMPUTED_VALUE"""),-104.0)</f>
        <v>-104</v>
      </c>
      <c r="L13" s="10">
        <f>IFERROR(__xludf.DUMMYFUNCTION("""COMPUTED_VALUE"""),37.0)</f>
        <v>37</v>
      </c>
    </row>
    <row r="14">
      <c r="A14" s="7" t="str">
        <f>IFERROR(__xludf.DUMMYFUNCTION("""COMPUTED_VALUE"""),"86278ec4bbdcadd945d79df6c695c2ec")</f>
        <v>86278ec4bbdcadd945d79df6c695c2ec</v>
      </c>
      <c r="B14" s="8">
        <f>IFERROR(__xludf.DUMMYFUNCTION("""COMPUTED_VALUE"""),45594.01041666667)</f>
        <v>45594.01042</v>
      </c>
      <c r="C14" s="9" t="b">
        <f>IFERROR(__xludf.DUMMYFUNCTION("""COMPUTED_VALUE"""),FALSE)</f>
        <v>0</v>
      </c>
      <c r="D14" s="7" t="str">
        <f>IFERROR(__xludf.DUMMYFUNCTION("""COMPUTED_VALUE"""),"BetRivers")</f>
        <v>BetRivers</v>
      </c>
      <c r="E14" s="8">
        <f>IFERROR(__xludf.DUMMYFUNCTION("""COMPUTED_VALUE"""),45593.91564814815)</f>
        <v>45593.91565</v>
      </c>
      <c r="F14" s="7" t="str">
        <f>IFERROR(__xludf.DUMMYFUNCTION("""COMPUTED_VALUE"""),"Pittsburgh Steelers")</f>
        <v>Pittsburgh Steelers</v>
      </c>
      <c r="G14" s="7" t="str">
        <f>IFERROR(__xludf.DUMMYFUNCTION("""COMPUTED_VALUE"""),"New York Giants")</f>
        <v>New York Giants</v>
      </c>
      <c r="H14" s="7" t="str">
        <f>IFERROR(__xludf.DUMMYFUNCTION("""COMPUTED_VALUE"""),"totals")</f>
        <v>totals</v>
      </c>
      <c r="I14" s="7" t="str">
        <f>IFERROR(__xludf.DUMMYFUNCTION("""COMPUTED_VALUE"""),"Over")</f>
        <v>Over</v>
      </c>
      <c r="J14" s="7"/>
      <c r="K14" s="10">
        <f>IFERROR(__xludf.DUMMYFUNCTION("""COMPUTED_VALUE"""),-108.0)</f>
        <v>-108</v>
      </c>
      <c r="L14" s="10">
        <f>IFERROR(__xludf.DUMMYFUNCTION("""COMPUTED_VALUE"""),37.0)</f>
        <v>37</v>
      </c>
    </row>
    <row r="15">
      <c r="A15" s="7" t="str">
        <f>IFERROR(__xludf.DUMMYFUNCTION("""COMPUTED_VALUE"""),"86278ec4bbdcadd945d79df6c695c2ec")</f>
        <v>86278ec4bbdcadd945d79df6c695c2ec</v>
      </c>
      <c r="B15" s="8">
        <f>IFERROR(__xludf.DUMMYFUNCTION("""COMPUTED_VALUE"""),45594.01041666667)</f>
        <v>45594.01042</v>
      </c>
      <c r="C15" s="9" t="b">
        <f>IFERROR(__xludf.DUMMYFUNCTION("""COMPUTED_VALUE"""),FALSE)</f>
        <v>0</v>
      </c>
      <c r="D15" s="7" t="str">
        <f>IFERROR(__xludf.DUMMYFUNCTION("""COMPUTED_VALUE"""),"BetRivers")</f>
        <v>BetRivers</v>
      </c>
      <c r="E15" s="8">
        <f>IFERROR(__xludf.DUMMYFUNCTION("""COMPUTED_VALUE"""),45593.91564814815)</f>
        <v>45593.91565</v>
      </c>
      <c r="F15" s="7" t="str">
        <f>IFERROR(__xludf.DUMMYFUNCTION("""COMPUTED_VALUE"""),"Pittsburgh Steelers")</f>
        <v>Pittsburgh Steelers</v>
      </c>
      <c r="G15" s="7" t="str">
        <f>IFERROR(__xludf.DUMMYFUNCTION("""COMPUTED_VALUE"""),"New York Giants")</f>
        <v>New York Giants</v>
      </c>
      <c r="H15" s="7" t="str">
        <f>IFERROR(__xludf.DUMMYFUNCTION("""COMPUTED_VALUE"""),"totals")</f>
        <v>totals</v>
      </c>
      <c r="I15" s="7" t="str">
        <f>IFERROR(__xludf.DUMMYFUNCTION("""COMPUTED_VALUE"""),"Under")</f>
        <v>Under</v>
      </c>
      <c r="J15" s="7"/>
      <c r="K15" s="10">
        <f>IFERROR(__xludf.DUMMYFUNCTION("""COMPUTED_VALUE"""),-113.0)</f>
        <v>-113</v>
      </c>
      <c r="L15" s="10">
        <f>IFERROR(__xludf.DUMMYFUNCTION("""COMPUTED_VALUE"""),37.0)</f>
        <v>37</v>
      </c>
    </row>
    <row r="16">
      <c r="A16" s="7" t="str">
        <f>IFERROR(__xludf.DUMMYFUNCTION("""COMPUTED_VALUE"""),"86278ec4bbdcadd945d79df6c695c2ec")</f>
        <v>86278ec4bbdcadd945d79df6c695c2ec</v>
      </c>
      <c r="B16" s="8">
        <f>IFERROR(__xludf.DUMMYFUNCTION("""COMPUTED_VALUE"""),45594.01041666667)</f>
        <v>45594.01042</v>
      </c>
      <c r="C16" s="9" t="b">
        <f>IFERROR(__xludf.DUMMYFUNCTION("""COMPUTED_VALUE"""),FALSE)</f>
        <v>0</v>
      </c>
      <c r="D16" s="7" t="str">
        <f>IFERROR(__xludf.DUMMYFUNCTION("""COMPUTED_VALUE"""),"BetMGM")</f>
        <v>BetMGM</v>
      </c>
      <c r="E16" s="8">
        <f>IFERROR(__xludf.DUMMYFUNCTION("""COMPUTED_VALUE"""),45593.91604166667)</f>
        <v>45593.91604</v>
      </c>
      <c r="F16" s="7" t="str">
        <f>IFERROR(__xludf.DUMMYFUNCTION("""COMPUTED_VALUE"""),"Pittsburgh Steelers")</f>
        <v>Pittsburgh Steelers</v>
      </c>
      <c r="G16" s="7" t="str">
        <f>IFERROR(__xludf.DUMMYFUNCTION("""COMPUTED_VALUE"""),"New York Giants")</f>
        <v>New York Giants</v>
      </c>
      <c r="H16" s="7" t="str">
        <f>IFERROR(__xludf.DUMMYFUNCTION("""COMPUTED_VALUE"""),"totals")</f>
        <v>totals</v>
      </c>
      <c r="I16" s="7" t="str">
        <f>IFERROR(__xludf.DUMMYFUNCTION("""COMPUTED_VALUE"""),"Over")</f>
        <v>Over</v>
      </c>
      <c r="J16" s="7"/>
      <c r="K16" s="10">
        <f>IFERROR(__xludf.DUMMYFUNCTION("""COMPUTED_VALUE"""),-115.0)</f>
        <v>-115</v>
      </c>
      <c r="L16" s="10">
        <f>IFERROR(__xludf.DUMMYFUNCTION("""COMPUTED_VALUE"""),36.5)</f>
        <v>36.5</v>
      </c>
    </row>
    <row r="17">
      <c r="A17" s="7" t="str">
        <f>IFERROR(__xludf.DUMMYFUNCTION("""COMPUTED_VALUE"""),"86278ec4bbdcadd945d79df6c695c2ec")</f>
        <v>86278ec4bbdcadd945d79df6c695c2ec</v>
      </c>
      <c r="B17" s="8">
        <f>IFERROR(__xludf.DUMMYFUNCTION("""COMPUTED_VALUE"""),45594.01041666667)</f>
        <v>45594.01042</v>
      </c>
      <c r="C17" s="9" t="b">
        <f>IFERROR(__xludf.DUMMYFUNCTION("""COMPUTED_VALUE"""),FALSE)</f>
        <v>0</v>
      </c>
      <c r="D17" s="7" t="str">
        <f>IFERROR(__xludf.DUMMYFUNCTION("""COMPUTED_VALUE"""),"BetMGM")</f>
        <v>BetMGM</v>
      </c>
      <c r="E17" s="8">
        <f>IFERROR(__xludf.DUMMYFUNCTION("""COMPUTED_VALUE"""),45593.91604166667)</f>
        <v>45593.91604</v>
      </c>
      <c r="F17" s="7" t="str">
        <f>IFERROR(__xludf.DUMMYFUNCTION("""COMPUTED_VALUE"""),"Pittsburgh Steelers")</f>
        <v>Pittsburgh Steelers</v>
      </c>
      <c r="G17" s="7" t="str">
        <f>IFERROR(__xludf.DUMMYFUNCTION("""COMPUTED_VALUE"""),"New York Giants")</f>
        <v>New York Giants</v>
      </c>
      <c r="H17" s="7" t="str">
        <f>IFERROR(__xludf.DUMMYFUNCTION("""COMPUTED_VALUE"""),"totals")</f>
        <v>totals</v>
      </c>
      <c r="I17" s="7" t="str">
        <f>IFERROR(__xludf.DUMMYFUNCTION("""COMPUTED_VALUE"""),"Under")</f>
        <v>Under</v>
      </c>
      <c r="J17" s="7"/>
      <c r="K17" s="10">
        <f>IFERROR(__xludf.DUMMYFUNCTION("""COMPUTED_VALUE"""),-105.0)</f>
        <v>-105</v>
      </c>
      <c r="L17" s="10">
        <f>IFERROR(__xludf.DUMMYFUNCTION("""COMPUTED_VALUE"""),36.5)</f>
        <v>36.5</v>
      </c>
    </row>
    <row r="18">
      <c r="A18" s="7" t="str">
        <f>IFERROR(__xludf.DUMMYFUNCTION("""COMPUTED_VALUE"""),"86278ec4bbdcadd945d79df6c695c2ec")</f>
        <v>86278ec4bbdcadd945d79df6c695c2ec</v>
      </c>
      <c r="B18" s="8">
        <f>IFERROR(__xludf.DUMMYFUNCTION("""COMPUTED_VALUE"""),45594.01041666667)</f>
        <v>45594.01042</v>
      </c>
      <c r="C18" s="9" t="b">
        <f>IFERROR(__xludf.DUMMYFUNCTION("""COMPUTED_VALUE"""),FALSE)</f>
        <v>0</v>
      </c>
      <c r="D18" s="7" t="str">
        <f>IFERROR(__xludf.DUMMYFUNCTION("""COMPUTED_VALUE"""),"Bovada")</f>
        <v>Bovada</v>
      </c>
      <c r="E18" s="8">
        <f>IFERROR(__xludf.DUMMYFUNCTION("""COMPUTED_VALUE"""),45593.91564814815)</f>
        <v>45593.91565</v>
      </c>
      <c r="F18" s="7" t="str">
        <f>IFERROR(__xludf.DUMMYFUNCTION("""COMPUTED_VALUE"""),"Pittsburgh Steelers")</f>
        <v>Pittsburgh Steelers</v>
      </c>
      <c r="G18" s="7" t="str">
        <f>IFERROR(__xludf.DUMMYFUNCTION("""COMPUTED_VALUE"""),"New York Giants")</f>
        <v>New York Giants</v>
      </c>
      <c r="H18" s="7" t="str">
        <f>IFERROR(__xludf.DUMMYFUNCTION("""COMPUTED_VALUE"""),"totals")</f>
        <v>totals</v>
      </c>
      <c r="I18" s="7" t="str">
        <f>IFERROR(__xludf.DUMMYFUNCTION("""COMPUTED_VALUE"""),"Over")</f>
        <v>Over</v>
      </c>
      <c r="J18" s="7"/>
      <c r="K18" s="10">
        <f>IFERROR(__xludf.DUMMYFUNCTION("""COMPUTED_VALUE"""),-110.0)</f>
        <v>-110</v>
      </c>
      <c r="L18" s="10">
        <f>IFERROR(__xludf.DUMMYFUNCTION("""COMPUTED_VALUE"""),37.5)</f>
        <v>37.5</v>
      </c>
    </row>
    <row r="19">
      <c r="A19" s="7" t="str">
        <f>IFERROR(__xludf.DUMMYFUNCTION("""COMPUTED_VALUE"""),"86278ec4bbdcadd945d79df6c695c2ec")</f>
        <v>86278ec4bbdcadd945d79df6c695c2ec</v>
      </c>
      <c r="B19" s="8">
        <f>IFERROR(__xludf.DUMMYFUNCTION("""COMPUTED_VALUE"""),45594.01041666667)</f>
        <v>45594.01042</v>
      </c>
      <c r="C19" s="9" t="b">
        <f>IFERROR(__xludf.DUMMYFUNCTION("""COMPUTED_VALUE"""),FALSE)</f>
        <v>0</v>
      </c>
      <c r="D19" s="7" t="str">
        <f>IFERROR(__xludf.DUMMYFUNCTION("""COMPUTED_VALUE"""),"Bovada")</f>
        <v>Bovada</v>
      </c>
      <c r="E19" s="8">
        <f>IFERROR(__xludf.DUMMYFUNCTION("""COMPUTED_VALUE"""),45593.91564814815)</f>
        <v>45593.91565</v>
      </c>
      <c r="F19" s="7" t="str">
        <f>IFERROR(__xludf.DUMMYFUNCTION("""COMPUTED_VALUE"""),"Pittsburgh Steelers")</f>
        <v>Pittsburgh Steelers</v>
      </c>
      <c r="G19" s="7" t="str">
        <f>IFERROR(__xludf.DUMMYFUNCTION("""COMPUTED_VALUE"""),"New York Giants")</f>
        <v>New York Giants</v>
      </c>
      <c r="H19" s="7" t="str">
        <f>IFERROR(__xludf.DUMMYFUNCTION("""COMPUTED_VALUE"""),"totals")</f>
        <v>totals</v>
      </c>
      <c r="I19" s="7" t="str">
        <f>IFERROR(__xludf.DUMMYFUNCTION("""COMPUTED_VALUE"""),"Under")</f>
        <v>Under</v>
      </c>
      <c r="J19" s="7"/>
      <c r="K19" s="10">
        <f>IFERROR(__xludf.DUMMYFUNCTION("""COMPUTED_VALUE"""),-110.0)</f>
        <v>-110</v>
      </c>
      <c r="L19" s="10">
        <f>IFERROR(__xludf.DUMMYFUNCTION("""COMPUTED_VALUE"""),37.5)</f>
        <v>37.5</v>
      </c>
    </row>
    <row r="20">
      <c r="A20" s="7"/>
      <c r="B20" s="8"/>
      <c r="C20" s="9"/>
      <c r="D20" s="7"/>
      <c r="E20" s="8"/>
      <c r="F20" s="7"/>
      <c r="G20" s="7"/>
      <c r="H20" s="7"/>
      <c r="I20" s="7"/>
      <c r="J20" s="7"/>
      <c r="K20" s="10"/>
      <c r="L20" s="10"/>
    </row>
    <row r="21">
      <c r="A21" s="7"/>
      <c r="B21" s="8"/>
      <c r="C21" s="9"/>
      <c r="D21" s="7"/>
      <c r="E21" s="8"/>
      <c r="F21" s="7"/>
      <c r="G21" s="7"/>
      <c r="H21" s="7"/>
      <c r="I21" s="7"/>
      <c r="J21" s="7"/>
      <c r="K21" s="10"/>
      <c r="L21" s="10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tr">
        <f>IFERROR(__xludf.DUMMYFUNCTION("IMPORTRANGE(""https://docs.google.com/spreadsheets/d/13MAhBT9K2M70JP2OISI4aettE0FK27CjAGHAew7TsAE/edit?gid=917497601#gid=917497601"",""Sheet9!A1:L"")"),"game_id")</f>
        <v>game_id</v>
      </c>
      <c r="B1" s="7" t="str">
        <f>IFERROR(__xludf.DUMMYFUNCTION("""COMPUTED_VALUE"""),"commence_time")</f>
        <v>commence_time</v>
      </c>
      <c r="C1" s="7" t="str">
        <f>IFERROR(__xludf.DUMMYFUNCTION("""COMPUTED_VALUE"""),"in_play")</f>
        <v>in_play</v>
      </c>
      <c r="D1" s="7" t="str">
        <f>IFERROR(__xludf.DUMMYFUNCTION("""COMPUTED_VALUE"""),"bookmaker")</f>
        <v>bookmaker</v>
      </c>
      <c r="E1" s="7" t="str">
        <f>IFERROR(__xludf.DUMMYFUNCTION("""COMPUTED_VALUE"""),"last_update")</f>
        <v>last_update</v>
      </c>
      <c r="F1" s="7" t="str">
        <f>IFERROR(__xludf.DUMMYFUNCTION("""COMPUTED_VALUE"""),"home_team")</f>
        <v>home_team</v>
      </c>
      <c r="G1" s="7" t="str">
        <f>IFERROR(__xludf.DUMMYFUNCTION("""COMPUTED_VALUE"""),"away_team")</f>
        <v>away_team</v>
      </c>
      <c r="H1" s="7" t="str">
        <f>IFERROR(__xludf.DUMMYFUNCTION("""COMPUTED_VALUE"""),"market")</f>
        <v>market</v>
      </c>
      <c r="I1" s="7" t="str">
        <f>IFERROR(__xludf.DUMMYFUNCTION("""COMPUTED_VALUE"""),"label")</f>
        <v>label</v>
      </c>
      <c r="J1" s="7" t="str">
        <f>IFERROR(__xludf.DUMMYFUNCTION("""COMPUTED_VALUE"""),"description")</f>
        <v>description</v>
      </c>
      <c r="K1" s="7" t="str">
        <f>IFERROR(__xludf.DUMMYFUNCTION("""COMPUTED_VALUE"""),"price")</f>
        <v>price</v>
      </c>
      <c r="L1" s="7" t="str">
        <f>IFERROR(__xludf.DUMMYFUNCTION("""COMPUTED_VALUE"""),"point")</f>
        <v>point</v>
      </c>
    </row>
    <row r="2">
      <c r="A2" s="7" t="str">
        <f>IFERROR(__xludf.DUMMYFUNCTION("""COMPUTED_VALUE"""),"86278ec4bbdcadd945d79df6c695c2ec")</f>
        <v>86278ec4bbdcadd945d79df6c695c2ec</v>
      </c>
      <c r="B2" s="8">
        <f>IFERROR(__xludf.DUMMYFUNCTION("""COMPUTED_VALUE"""),45594.01041666667)</f>
        <v>45594.01042</v>
      </c>
      <c r="C2" s="9" t="b">
        <f>IFERROR(__xludf.DUMMYFUNCTION("""COMPUTED_VALUE"""),FALSE)</f>
        <v>0</v>
      </c>
      <c r="D2" s="7" t="str">
        <f>IFERROR(__xludf.DUMMYFUNCTION("""COMPUTED_VALUE"""),"DraftKings")</f>
        <v>DraftKings</v>
      </c>
      <c r="E2" s="8">
        <f>IFERROR(__xludf.DUMMYFUNCTION("""COMPUTED_VALUE"""),45593.91478009259)</f>
        <v>45593.91478</v>
      </c>
      <c r="F2" s="7" t="str">
        <f>IFERROR(__xludf.DUMMYFUNCTION("""COMPUTED_VALUE"""),"Pittsburgh Steelers")</f>
        <v>Pittsburgh Steelers</v>
      </c>
      <c r="G2" s="7" t="str">
        <f>IFERROR(__xludf.DUMMYFUNCTION("""COMPUTED_VALUE"""),"New York Giants")</f>
        <v>New York Giants</v>
      </c>
      <c r="H2" s="7" t="str">
        <f>IFERROR(__xludf.DUMMYFUNCTION("""COMPUTED_VALUE"""),"spreads")</f>
        <v>spreads</v>
      </c>
      <c r="I2" s="7" t="str">
        <f>IFERROR(__xludf.DUMMYFUNCTION("""COMPUTED_VALUE"""),"New York Giants")</f>
        <v>New York Giants</v>
      </c>
      <c r="J2" s="7"/>
      <c r="K2" s="10">
        <f>IFERROR(__xludf.DUMMYFUNCTION("""COMPUTED_VALUE"""),-105.0)</f>
        <v>-105</v>
      </c>
      <c r="L2" s="10">
        <f>IFERROR(__xludf.DUMMYFUNCTION("""COMPUTED_VALUE"""),6.0)</f>
        <v>6</v>
      </c>
    </row>
    <row r="3">
      <c r="A3" s="7" t="str">
        <f>IFERROR(__xludf.DUMMYFUNCTION("""COMPUTED_VALUE"""),"86278ec4bbdcadd945d79df6c695c2ec")</f>
        <v>86278ec4bbdcadd945d79df6c695c2ec</v>
      </c>
      <c r="B3" s="8">
        <f>IFERROR(__xludf.DUMMYFUNCTION("""COMPUTED_VALUE"""),45594.01041666667)</f>
        <v>45594.01042</v>
      </c>
      <c r="C3" s="9" t="b">
        <f>IFERROR(__xludf.DUMMYFUNCTION("""COMPUTED_VALUE"""),FALSE)</f>
        <v>0</v>
      </c>
      <c r="D3" s="7" t="str">
        <f>IFERROR(__xludf.DUMMYFUNCTION("""COMPUTED_VALUE"""),"DraftKings")</f>
        <v>DraftKings</v>
      </c>
      <c r="E3" s="8">
        <f>IFERROR(__xludf.DUMMYFUNCTION("""COMPUTED_VALUE"""),45593.91478009259)</f>
        <v>45593.91478</v>
      </c>
      <c r="F3" s="7" t="str">
        <f>IFERROR(__xludf.DUMMYFUNCTION("""COMPUTED_VALUE"""),"Pittsburgh Steelers")</f>
        <v>Pittsburgh Steelers</v>
      </c>
      <c r="G3" s="7" t="str">
        <f>IFERROR(__xludf.DUMMYFUNCTION("""COMPUTED_VALUE"""),"New York Giants")</f>
        <v>New York Giants</v>
      </c>
      <c r="H3" s="7" t="str">
        <f>IFERROR(__xludf.DUMMYFUNCTION("""COMPUTED_VALUE"""),"spreads")</f>
        <v>spreads</v>
      </c>
      <c r="I3" s="7" t="str">
        <f>IFERROR(__xludf.DUMMYFUNCTION("""COMPUTED_VALUE"""),"Pittsburgh Steelers")</f>
        <v>Pittsburgh Steelers</v>
      </c>
      <c r="J3" s="7"/>
      <c r="K3" s="10">
        <f>IFERROR(__xludf.DUMMYFUNCTION("""COMPUTED_VALUE"""),-115.0)</f>
        <v>-115</v>
      </c>
      <c r="L3" s="10">
        <f>IFERROR(__xludf.DUMMYFUNCTION("""COMPUTED_VALUE"""),-6.0)</f>
        <v>-6</v>
      </c>
    </row>
    <row r="4">
      <c r="A4" s="7" t="str">
        <f>IFERROR(__xludf.DUMMYFUNCTION("""COMPUTED_VALUE"""),"86278ec4bbdcadd945d79df6c695c2ec")</f>
        <v>86278ec4bbdcadd945d79df6c695c2ec</v>
      </c>
      <c r="B4" s="8">
        <f>IFERROR(__xludf.DUMMYFUNCTION("""COMPUTED_VALUE"""),45594.01041666667)</f>
        <v>45594.01042</v>
      </c>
      <c r="C4" s="9" t="b">
        <f>IFERROR(__xludf.DUMMYFUNCTION("""COMPUTED_VALUE"""),FALSE)</f>
        <v>0</v>
      </c>
      <c r="D4" s="7" t="str">
        <f>IFERROR(__xludf.DUMMYFUNCTION("""COMPUTED_VALUE"""),"BetUS")</f>
        <v>BetUS</v>
      </c>
      <c r="E4" s="8">
        <f>IFERROR(__xludf.DUMMYFUNCTION("""COMPUTED_VALUE"""),45593.91565972222)</f>
        <v>45593.91566</v>
      </c>
      <c r="F4" s="7" t="str">
        <f>IFERROR(__xludf.DUMMYFUNCTION("""COMPUTED_VALUE"""),"Pittsburgh Steelers")</f>
        <v>Pittsburgh Steelers</v>
      </c>
      <c r="G4" s="7" t="str">
        <f>IFERROR(__xludf.DUMMYFUNCTION("""COMPUTED_VALUE"""),"New York Giants")</f>
        <v>New York Giants</v>
      </c>
      <c r="H4" s="7" t="str">
        <f>IFERROR(__xludf.DUMMYFUNCTION("""COMPUTED_VALUE"""),"spreads")</f>
        <v>spreads</v>
      </c>
      <c r="I4" s="7" t="str">
        <f>IFERROR(__xludf.DUMMYFUNCTION("""COMPUTED_VALUE"""),"New York Giants")</f>
        <v>New York Giants</v>
      </c>
      <c r="J4" s="7"/>
      <c r="K4" s="10">
        <f>IFERROR(__xludf.DUMMYFUNCTION("""COMPUTED_VALUE"""),-110.0)</f>
        <v>-110</v>
      </c>
      <c r="L4" s="10">
        <f>IFERROR(__xludf.DUMMYFUNCTION("""COMPUTED_VALUE"""),6.0)</f>
        <v>6</v>
      </c>
    </row>
    <row r="5">
      <c r="A5" s="7" t="str">
        <f>IFERROR(__xludf.DUMMYFUNCTION("""COMPUTED_VALUE"""),"86278ec4bbdcadd945d79df6c695c2ec")</f>
        <v>86278ec4bbdcadd945d79df6c695c2ec</v>
      </c>
      <c r="B5" s="8">
        <f>IFERROR(__xludf.DUMMYFUNCTION("""COMPUTED_VALUE"""),45594.01041666667)</f>
        <v>45594.01042</v>
      </c>
      <c r="C5" s="9" t="b">
        <f>IFERROR(__xludf.DUMMYFUNCTION("""COMPUTED_VALUE"""),FALSE)</f>
        <v>0</v>
      </c>
      <c r="D5" s="7" t="str">
        <f>IFERROR(__xludf.DUMMYFUNCTION("""COMPUTED_VALUE"""),"BetUS")</f>
        <v>BetUS</v>
      </c>
      <c r="E5" s="8">
        <f>IFERROR(__xludf.DUMMYFUNCTION("""COMPUTED_VALUE"""),45593.91565972222)</f>
        <v>45593.91566</v>
      </c>
      <c r="F5" s="7" t="str">
        <f>IFERROR(__xludf.DUMMYFUNCTION("""COMPUTED_VALUE"""),"Pittsburgh Steelers")</f>
        <v>Pittsburgh Steelers</v>
      </c>
      <c r="G5" s="7" t="str">
        <f>IFERROR(__xludf.DUMMYFUNCTION("""COMPUTED_VALUE"""),"New York Giants")</f>
        <v>New York Giants</v>
      </c>
      <c r="H5" s="7" t="str">
        <f>IFERROR(__xludf.DUMMYFUNCTION("""COMPUTED_VALUE"""),"spreads")</f>
        <v>spreads</v>
      </c>
      <c r="I5" s="7" t="str">
        <f>IFERROR(__xludf.DUMMYFUNCTION("""COMPUTED_VALUE"""),"Pittsburgh Steelers")</f>
        <v>Pittsburgh Steelers</v>
      </c>
      <c r="J5" s="7"/>
      <c r="K5" s="10">
        <f>IFERROR(__xludf.DUMMYFUNCTION("""COMPUTED_VALUE"""),-110.0)</f>
        <v>-110</v>
      </c>
      <c r="L5" s="10">
        <f>IFERROR(__xludf.DUMMYFUNCTION("""COMPUTED_VALUE"""),-6.0)</f>
        <v>-6</v>
      </c>
    </row>
    <row r="6">
      <c r="A6" s="7" t="str">
        <f>IFERROR(__xludf.DUMMYFUNCTION("""COMPUTED_VALUE"""),"86278ec4bbdcadd945d79df6c695c2ec")</f>
        <v>86278ec4bbdcadd945d79df6c695c2ec</v>
      </c>
      <c r="B6" s="8">
        <f>IFERROR(__xludf.DUMMYFUNCTION("""COMPUTED_VALUE"""),45594.01041666667)</f>
        <v>45594.01042</v>
      </c>
      <c r="C6" s="9" t="b">
        <f>IFERROR(__xludf.DUMMYFUNCTION("""COMPUTED_VALUE"""),FALSE)</f>
        <v>0</v>
      </c>
      <c r="D6" s="7" t="str">
        <f>IFERROR(__xludf.DUMMYFUNCTION("""COMPUTED_VALUE"""),"FanDuel")</f>
        <v>FanDuel</v>
      </c>
      <c r="E6" s="8">
        <f>IFERROR(__xludf.DUMMYFUNCTION("""COMPUTED_VALUE"""),45593.91564814815)</f>
        <v>45593.91565</v>
      </c>
      <c r="F6" s="7" t="str">
        <f>IFERROR(__xludf.DUMMYFUNCTION("""COMPUTED_VALUE"""),"Pittsburgh Steelers")</f>
        <v>Pittsburgh Steelers</v>
      </c>
      <c r="G6" s="7" t="str">
        <f>IFERROR(__xludf.DUMMYFUNCTION("""COMPUTED_VALUE"""),"New York Giants")</f>
        <v>New York Giants</v>
      </c>
      <c r="H6" s="7" t="str">
        <f>IFERROR(__xludf.DUMMYFUNCTION("""COMPUTED_VALUE"""),"spreads")</f>
        <v>spreads</v>
      </c>
      <c r="I6" s="7" t="str">
        <f>IFERROR(__xludf.DUMMYFUNCTION("""COMPUTED_VALUE"""),"New York Giants")</f>
        <v>New York Giants</v>
      </c>
      <c r="J6" s="7"/>
      <c r="K6" s="10">
        <f>IFERROR(__xludf.DUMMYFUNCTION("""COMPUTED_VALUE"""),-110.0)</f>
        <v>-110</v>
      </c>
      <c r="L6" s="10">
        <f>IFERROR(__xludf.DUMMYFUNCTION("""COMPUTED_VALUE"""),6.0)</f>
        <v>6</v>
      </c>
    </row>
    <row r="7">
      <c r="A7" s="7" t="str">
        <f>IFERROR(__xludf.DUMMYFUNCTION("""COMPUTED_VALUE"""),"86278ec4bbdcadd945d79df6c695c2ec")</f>
        <v>86278ec4bbdcadd945d79df6c695c2ec</v>
      </c>
      <c r="B7" s="8">
        <f>IFERROR(__xludf.DUMMYFUNCTION("""COMPUTED_VALUE"""),45594.01041666667)</f>
        <v>45594.01042</v>
      </c>
      <c r="C7" s="9" t="b">
        <f>IFERROR(__xludf.DUMMYFUNCTION("""COMPUTED_VALUE"""),FALSE)</f>
        <v>0</v>
      </c>
      <c r="D7" s="7" t="str">
        <f>IFERROR(__xludf.DUMMYFUNCTION("""COMPUTED_VALUE"""),"FanDuel")</f>
        <v>FanDuel</v>
      </c>
      <c r="E7" s="8">
        <f>IFERROR(__xludf.DUMMYFUNCTION("""COMPUTED_VALUE"""),45593.91564814815)</f>
        <v>45593.91565</v>
      </c>
      <c r="F7" s="7" t="str">
        <f>IFERROR(__xludf.DUMMYFUNCTION("""COMPUTED_VALUE"""),"Pittsburgh Steelers")</f>
        <v>Pittsburgh Steelers</v>
      </c>
      <c r="G7" s="7" t="str">
        <f>IFERROR(__xludf.DUMMYFUNCTION("""COMPUTED_VALUE"""),"New York Giants")</f>
        <v>New York Giants</v>
      </c>
      <c r="H7" s="7" t="str">
        <f>IFERROR(__xludf.DUMMYFUNCTION("""COMPUTED_VALUE"""),"spreads")</f>
        <v>spreads</v>
      </c>
      <c r="I7" s="7" t="str">
        <f>IFERROR(__xludf.DUMMYFUNCTION("""COMPUTED_VALUE"""),"Pittsburgh Steelers")</f>
        <v>Pittsburgh Steelers</v>
      </c>
      <c r="J7" s="7"/>
      <c r="K7" s="10">
        <f>IFERROR(__xludf.DUMMYFUNCTION("""COMPUTED_VALUE"""),-110.0)</f>
        <v>-110</v>
      </c>
      <c r="L7" s="10">
        <f>IFERROR(__xludf.DUMMYFUNCTION("""COMPUTED_VALUE"""),-6.0)</f>
        <v>-6</v>
      </c>
    </row>
    <row r="8">
      <c r="A8" s="7" t="str">
        <f>IFERROR(__xludf.DUMMYFUNCTION("""COMPUTED_VALUE"""),"86278ec4bbdcadd945d79df6c695c2ec")</f>
        <v>86278ec4bbdcadd945d79df6c695c2ec</v>
      </c>
      <c r="B8" s="8">
        <f>IFERROR(__xludf.DUMMYFUNCTION("""COMPUTED_VALUE"""),45594.01041666667)</f>
        <v>45594.01042</v>
      </c>
      <c r="C8" s="9" t="b">
        <f>IFERROR(__xludf.DUMMYFUNCTION("""COMPUTED_VALUE"""),FALSE)</f>
        <v>0</v>
      </c>
      <c r="D8" s="11" t="str">
        <f>IFERROR(__xludf.DUMMYFUNCTION("""COMPUTED_VALUE"""),"MyBookie.ag")</f>
        <v>MyBookie.ag</v>
      </c>
      <c r="E8" s="8">
        <f>IFERROR(__xludf.DUMMYFUNCTION("""COMPUTED_VALUE"""),45593.91346064815)</f>
        <v>45593.91346</v>
      </c>
      <c r="F8" s="7" t="str">
        <f>IFERROR(__xludf.DUMMYFUNCTION("""COMPUTED_VALUE"""),"Pittsburgh Steelers")</f>
        <v>Pittsburgh Steelers</v>
      </c>
      <c r="G8" s="7" t="str">
        <f>IFERROR(__xludf.DUMMYFUNCTION("""COMPUTED_VALUE"""),"New York Giants")</f>
        <v>New York Giants</v>
      </c>
      <c r="H8" s="7" t="str">
        <f>IFERROR(__xludf.DUMMYFUNCTION("""COMPUTED_VALUE"""),"spreads")</f>
        <v>spreads</v>
      </c>
      <c r="I8" s="7" t="str">
        <f>IFERROR(__xludf.DUMMYFUNCTION("""COMPUTED_VALUE"""),"New York Giants")</f>
        <v>New York Giants</v>
      </c>
      <c r="J8" s="7"/>
      <c r="K8" s="10">
        <f>IFERROR(__xludf.DUMMYFUNCTION("""COMPUTED_VALUE"""),-110.0)</f>
        <v>-110</v>
      </c>
      <c r="L8" s="10">
        <f>IFERROR(__xludf.DUMMYFUNCTION("""COMPUTED_VALUE"""),6.0)</f>
        <v>6</v>
      </c>
    </row>
    <row r="9">
      <c r="A9" s="7" t="str">
        <f>IFERROR(__xludf.DUMMYFUNCTION("""COMPUTED_VALUE"""),"86278ec4bbdcadd945d79df6c695c2ec")</f>
        <v>86278ec4bbdcadd945d79df6c695c2ec</v>
      </c>
      <c r="B9" s="8">
        <f>IFERROR(__xludf.DUMMYFUNCTION("""COMPUTED_VALUE"""),45594.01041666667)</f>
        <v>45594.01042</v>
      </c>
      <c r="C9" s="9" t="b">
        <f>IFERROR(__xludf.DUMMYFUNCTION("""COMPUTED_VALUE"""),FALSE)</f>
        <v>0</v>
      </c>
      <c r="D9" s="11" t="str">
        <f>IFERROR(__xludf.DUMMYFUNCTION("""COMPUTED_VALUE"""),"MyBookie.ag")</f>
        <v>MyBookie.ag</v>
      </c>
      <c r="E9" s="8">
        <f>IFERROR(__xludf.DUMMYFUNCTION("""COMPUTED_VALUE"""),45593.91346064815)</f>
        <v>45593.91346</v>
      </c>
      <c r="F9" s="7" t="str">
        <f>IFERROR(__xludf.DUMMYFUNCTION("""COMPUTED_VALUE"""),"Pittsburgh Steelers")</f>
        <v>Pittsburgh Steelers</v>
      </c>
      <c r="G9" s="7" t="str">
        <f>IFERROR(__xludf.DUMMYFUNCTION("""COMPUTED_VALUE"""),"New York Giants")</f>
        <v>New York Giants</v>
      </c>
      <c r="H9" s="7" t="str">
        <f>IFERROR(__xludf.DUMMYFUNCTION("""COMPUTED_VALUE"""),"spreads")</f>
        <v>spreads</v>
      </c>
      <c r="I9" s="7" t="str">
        <f>IFERROR(__xludf.DUMMYFUNCTION("""COMPUTED_VALUE"""),"Pittsburgh Steelers")</f>
        <v>Pittsburgh Steelers</v>
      </c>
      <c r="J9" s="7"/>
      <c r="K9" s="10">
        <f>IFERROR(__xludf.DUMMYFUNCTION("""COMPUTED_VALUE"""),-110.0)</f>
        <v>-110</v>
      </c>
      <c r="L9" s="10">
        <f>IFERROR(__xludf.DUMMYFUNCTION("""COMPUTED_VALUE"""),-6.0)</f>
        <v>-6</v>
      </c>
    </row>
    <row r="10">
      <c r="A10" s="7" t="str">
        <f>IFERROR(__xludf.DUMMYFUNCTION("""COMPUTED_VALUE"""),"86278ec4bbdcadd945d79df6c695c2ec")</f>
        <v>86278ec4bbdcadd945d79df6c695c2ec</v>
      </c>
      <c r="B10" s="8">
        <f>IFERROR(__xludf.DUMMYFUNCTION("""COMPUTED_VALUE"""),45594.01041666667)</f>
        <v>45594.01042</v>
      </c>
      <c r="C10" s="9" t="b">
        <f>IFERROR(__xludf.DUMMYFUNCTION("""COMPUTED_VALUE"""),FALSE)</f>
        <v>0</v>
      </c>
      <c r="D10" s="11" t="str">
        <f>IFERROR(__xludf.DUMMYFUNCTION("""COMPUTED_VALUE"""),"BetOnline.ag")</f>
        <v>BetOnline.ag</v>
      </c>
      <c r="E10" s="8">
        <f>IFERROR(__xludf.DUMMYFUNCTION("""COMPUTED_VALUE"""),45593.91604166667)</f>
        <v>45593.91604</v>
      </c>
      <c r="F10" s="7" t="str">
        <f>IFERROR(__xludf.DUMMYFUNCTION("""COMPUTED_VALUE"""),"Pittsburgh Steelers")</f>
        <v>Pittsburgh Steelers</v>
      </c>
      <c r="G10" s="7" t="str">
        <f>IFERROR(__xludf.DUMMYFUNCTION("""COMPUTED_VALUE"""),"New York Giants")</f>
        <v>New York Giants</v>
      </c>
      <c r="H10" s="7" t="str">
        <f>IFERROR(__xludf.DUMMYFUNCTION("""COMPUTED_VALUE"""),"spreads")</f>
        <v>spreads</v>
      </c>
      <c r="I10" s="7" t="str">
        <f>IFERROR(__xludf.DUMMYFUNCTION("""COMPUTED_VALUE"""),"New York Giants")</f>
        <v>New York Giants</v>
      </c>
      <c r="J10" s="7"/>
      <c r="K10" s="10">
        <f>IFERROR(__xludf.DUMMYFUNCTION("""COMPUTED_VALUE"""),-110.0)</f>
        <v>-110</v>
      </c>
      <c r="L10" s="10">
        <f>IFERROR(__xludf.DUMMYFUNCTION("""COMPUTED_VALUE"""),6.0)</f>
        <v>6</v>
      </c>
    </row>
    <row r="11">
      <c r="A11" s="7" t="str">
        <f>IFERROR(__xludf.DUMMYFUNCTION("""COMPUTED_VALUE"""),"86278ec4bbdcadd945d79df6c695c2ec")</f>
        <v>86278ec4bbdcadd945d79df6c695c2ec</v>
      </c>
      <c r="B11" s="8">
        <f>IFERROR(__xludf.DUMMYFUNCTION("""COMPUTED_VALUE"""),45594.01041666667)</f>
        <v>45594.01042</v>
      </c>
      <c r="C11" s="9" t="b">
        <f>IFERROR(__xludf.DUMMYFUNCTION("""COMPUTED_VALUE"""),FALSE)</f>
        <v>0</v>
      </c>
      <c r="D11" s="11" t="str">
        <f>IFERROR(__xludf.DUMMYFUNCTION("""COMPUTED_VALUE"""),"BetOnline.ag")</f>
        <v>BetOnline.ag</v>
      </c>
      <c r="E11" s="8">
        <f>IFERROR(__xludf.DUMMYFUNCTION("""COMPUTED_VALUE"""),45593.91604166667)</f>
        <v>45593.91604</v>
      </c>
      <c r="F11" s="7" t="str">
        <f>IFERROR(__xludf.DUMMYFUNCTION("""COMPUTED_VALUE"""),"Pittsburgh Steelers")</f>
        <v>Pittsburgh Steelers</v>
      </c>
      <c r="G11" s="7" t="str">
        <f>IFERROR(__xludf.DUMMYFUNCTION("""COMPUTED_VALUE"""),"New York Giants")</f>
        <v>New York Giants</v>
      </c>
      <c r="H11" s="7" t="str">
        <f>IFERROR(__xludf.DUMMYFUNCTION("""COMPUTED_VALUE"""),"spreads")</f>
        <v>spreads</v>
      </c>
      <c r="I11" s="7" t="str">
        <f>IFERROR(__xludf.DUMMYFUNCTION("""COMPUTED_VALUE"""),"Pittsburgh Steelers")</f>
        <v>Pittsburgh Steelers</v>
      </c>
      <c r="J11" s="7"/>
      <c r="K11" s="10">
        <f>IFERROR(__xludf.DUMMYFUNCTION("""COMPUTED_VALUE"""),-110.0)</f>
        <v>-110</v>
      </c>
      <c r="L11" s="10">
        <f>IFERROR(__xludf.DUMMYFUNCTION("""COMPUTED_VALUE"""),-6.0)</f>
        <v>-6</v>
      </c>
    </row>
    <row r="12">
      <c r="A12" s="7" t="str">
        <f>IFERROR(__xludf.DUMMYFUNCTION("""COMPUTED_VALUE"""),"86278ec4bbdcadd945d79df6c695c2ec")</f>
        <v>86278ec4bbdcadd945d79df6c695c2ec</v>
      </c>
      <c r="B12" s="8">
        <f>IFERROR(__xludf.DUMMYFUNCTION("""COMPUTED_VALUE"""),45594.01041666667)</f>
        <v>45594.01042</v>
      </c>
      <c r="C12" s="9" t="b">
        <f>IFERROR(__xludf.DUMMYFUNCTION("""COMPUTED_VALUE"""),FALSE)</f>
        <v>0</v>
      </c>
      <c r="D12" s="11" t="str">
        <f>IFERROR(__xludf.DUMMYFUNCTION("""COMPUTED_VALUE"""),"LowVig.ag")</f>
        <v>LowVig.ag</v>
      </c>
      <c r="E12" s="8">
        <f>IFERROR(__xludf.DUMMYFUNCTION("""COMPUTED_VALUE"""),45593.91604166667)</f>
        <v>45593.91604</v>
      </c>
      <c r="F12" s="7" t="str">
        <f>IFERROR(__xludf.DUMMYFUNCTION("""COMPUTED_VALUE"""),"Pittsburgh Steelers")</f>
        <v>Pittsburgh Steelers</v>
      </c>
      <c r="G12" s="7" t="str">
        <f>IFERROR(__xludf.DUMMYFUNCTION("""COMPUTED_VALUE"""),"New York Giants")</f>
        <v>New York Giants</v>
      </c>
      <c r="H12" s="7" t="str">
        <f>IFERROR(__xludf.DUMMYFUNCTION("""COMPUTED_VALUE"""),"spreads")</f>
        <v>spreads</v>
      </c>
      <c r="I12" s="7" t="str">
        <f>IFERROR(__xludf.DUMMYFUNCTION("""COMPUTED_VALUE"""),"New York Giants")</f>
        <v>New York Giants</v>
      </c>
      <c r="J12" s="7"/>
      <c r="K12" s="10">
        <f>IFERROR(__xludf.DUMMYFUNCTION("""COMPUTED_VALUE"""),-103.0)</f>
        <v>-103</v>
      </c>
      <c r="L12" s="10">
        <f>IFERROR(__xludf.DUMMYFUNCTION("""COMPUTED_VALUE"""),6.0)</f>
        <v>6</v>
      </c>
    </row>
    <row r="13">
      <c r="A13" s="7" t="str">
        <f>IFERROR(__xludf.DUMMYFUNCTION("""COMPUTED_VALUE"""),"86278ec4bbdcadd945d79df6c695c2ec")</f>
        <v>86278ec4bbdcadd945d79df6c695c2ec</v>
      </c>
      <c r="B13" s="8">
        <f>IFERROR(__xludf.DUMMYFUNCTION("""COMPUTED_VALUE"""),45594.01041666667)</f>
        <v>45594.01042</v>
      </c>
      <c r="C13" s="9" t="b">
        <f>IFERROR(__xludf.DUMMYFUNCTION("""COMPUTED_VALUE"""),FALSE)</f>
        <v>0</v>
      </c>
      <c r="D13" s="11" t="str">
        <f>IFERROR(__xludf.DUMMYFUNCTION("""COMPUTED_VALUE"""),"LowVig.ag")</f>
        <v>LowVig.ag</v>
      </c>
      <c r="E13" s="8">
        <f>IFERROR(__xludf.DUMMYFUNCTION("""COMPUTED_VALUE"""),45593.91604166667)</f>
        <v>45593.91604</v>
      </c>
      <c r="F13" s="7" t="str">
        <f>IFERROR(__xludf.DUMMYFUNCTION("""COMPUTED_VALUE"""),"Pittsburgh Steelers")</f>
        <v>Pittsburgh Steelers</v>
      </c>
      <c r="G13" s="7" t="str">
        <f>IFERROR(__xludf.DUMMYFUNCTION("""COMPUTED_VALUE"""),"New York Giants")</f>
        <v>New York Giants</v>
      </c>
      <c r="H13" s="7" t="str">
        <f>IFERROR(__xludf.DUMMYFUNCTION("""COMPUTED_VALUE"""),"spreads")</f>
        <v>spreads</v>
      </c>
      <c r="I13" s="7" t="str">
        <f>IFERROR(__xludf.DUMMYFUNCTION("""COMPUTED_VALUE"""),"Pittsburgh Steelers")</f>
        <v>Pittsburgh Steelers</v>
      </c>
      <c r="J13" s="7"/>
      <c r="K13" s="10">
        <f>IFERROR(__xludf.DUMMYFUNCTION("""COMPUTED_VALUE"""),-107.0)</f>
        <v>-107</v>
      </c>
      <c r="L13" s="10">
        <f>IFERROR(__xludf.DUMMYFUNCTION("""COMPUTED_VALUE"""),-6.0)</f>
        <v>-6</v>
      </c>
    </row>
    <row r="14">
      <c r="A14" s="7" t="str">
        <f>IFERROR(__xludf.DUMMYFUNCTION("""COMPUTED_VALUE"""),"86278ec4bbdcadd945d79df6c695c2ec")</f>
        <v>86278ec4bbdcadd945d79df6c695c2ec</v>
      </c>
      <c r="B14" s="8">
        <f>IFERROR(__xludf.DUMMYFUNCTION("""COMPUTED_VALUE"""),45594.01041666667)</f>
        <v>45594.01042</v>
      </c>
      <c r="C14" s="9" t="b">
        <f>IFERROR(__xludf.DUMMYFUNCTION("""COMPUTED_VALUE"""),FALSE)</f>
        <v>0</v>
      </c>
      <c r="D14" s="7" t="str">
        <f>IFERROR(__xludf.DUMMYFUNCTION("""COMPUTED_VALUE"""),"BetRivers")</f>
        <v>BetRivers</v>
      </c>
      <c r="E14" s="8">
        <f>IFERROR(__xludf.DUMMYFUNCTION("""COMPUTED_VALUE"""),45593.91564814815)</f>
        <v>45593.91565</v>
      </c>
      <c r="F14" s="7" t="str">
        <f>IFERROR(__xludf.DUMMYFUNCTION("""COMPUTED_VALUE"""),"Pittsburgh Steelers")</f>
        <v>Pittsburgh Steelers</v>
      </c>
      <c r="G14" s="7" t="str">
        <f>IFERROR(__xludf.DUMMYFUNCTION("""COMPUTED_VALUE"""),"New York Giants")</f>
        <v>New York Giants</v>
      </c>
      <c r="H14" s="7" t="str">
        <f>IFERROR(__xludf.DUMMYFUNCTION("""COMPUTED_VALUE"""),"spreads")</f>
        <v>spreads</v>
      </c>
      <c r="I14" s="7" t="str">
        <f>IFERROR(__xludf.DUMMYFUNCTION("""COMPUTED_VALUE"""),"New York Giants")</f>
        <v>New York Giants</v>
      </c>
      <c r="J14" s="7"/>
      <c r="K14" s="10">
        <f>IFERROR(__xludf.DUMMYFUNCTION("""COMPUTED_VALUE"""),-112.0)</f>
        <v>-112</v>
      </c>
      <c r="L14" s="10">
        <f>IFERROR(__xludf.DUMMYFUNCTION("""COMPUTED_VALUE"""),6.0)</f>
        <v>6</v>
      </c>
    </row>
    <row r="15">
      <c r="A15" s="7" t="str">
        <f>IFERROR(__xludf.DUMMYFUNCTION("""COMPUTED_VALUE"""),"86278ec4bbdcadd945d79df6c695c2ec")</f>
        <v>86278ec4bbdcadd945d79df6c695c2ec</v>
      </c>
      <c r="B15" s="8">
        <f>IFERROR(__xludf.DUMMYFUNCTION("""COMPUTED_VALUE"""),45594.01041666667)</f>
        <v>45594.01042</v>
      </c>
      <c r="C15" s="9" t="b">
        <f>IFERROR(__xludf.DUMMYFUNCTION("""COMPUTED_VALUE"""),FALSE)</f>
        <v>0</v>
      </c>
      <c r="D15" s="7" t="str">
        <f>IFERROR(__xludf.DUMMYFUNCTION("""COMPUTED_VALUE"""),"BetRivers")</f>
        <v>BetRivers</v>
      </c>
      <c r="E15" s="8">
        <f>IFERROR(__xludf.DUMMYFUNCTION("""COMPUTED_VALUE"""),45593.91564814815)</f>
        <v>45593.91565</v>
      </c>
      <c r="F15" s="7" t="str">
        <f>IFERROR(__xludf.DUMMYFUNCTION("""COMPUTED_VALUE"""),"Pittsburgh Steelers")</f>
        <v>Pittsburgh Steelers</v>
      </c>
      <c r="G15" s="7" t="str">
        <f>IFERROR(__xludf.DUMMYFUNCTION("""COMPUTED_VALUE"""),"New York Giants")</f>
        <v>New York Giants</v>
      </c>
      <c r="H15" s="7" t="str">
        <f>IFERROR(__xludf.DUMMYFUNCTION("""COMPUTED_VALUE"""),"spreads")</f>
        <v>spreads</v>
      </c>
      <c r="I15" s="7" t="str">
        <f>IFERROR(__xludf.DUMMYFUNCTION("""COMPUTED_VALUE"""),"Pittsburgh Steelers")</f>
        <v>Pittsburgh Steelers</v>
      </c>
      <c r="J15" s="7"/>
      <c r="K15" s="10">
        <f>IFERROR(__xludf.DUMMYFUNCTION("""COMPUTED_VALUE"""),-109.0)</f>
        <v>-109</v>
      </c>
      <c r="L15" s="10">
        <f>IFERROR(__xludf.DUMMYFUNCTION("""COMPUTED_VALUE"""),-6.0)</f>
        <v>-6</v>
      </c>
    </row>
    <row r="16">
      <c r="A16" s="7" t="str">
        <f>IFERROR(__xludf.DUMMYFUNCTION("""COMPUTED_VALUE"""),"86278ec4bbdcadd945d79df6c695c2ec")</f>
        <v>86278ec4bbdcadd945d79df6c695c2ec</v>
      </c>
      <c r="B16" s="8">
        <f>IFERROR(__xludf.DUMMYFUNCTION("""COMPUTED_VALUE"""),45594.01041666667)</f>
        <v>45594.01042</v>
      </c>
      <c r="C16" s="9" t="b">
        <f>IFERROR(__xludf.DUMMYFUNCTION("""COMPUTED_VALUE"""),FALSE)</f>
        <v>0</v>
      </c>
      <c r="D16" s="7" t="str">
        <f>IFERROR(__xludf.DUMMYFUNCTION("""COMPUTED_VALUE"""),"BetMGM")</f>
        <v>BetMGM</v>
      </c>
      <c r="E16" s="8">
        <f>IFERROR(__xludf.DUMMYFUNCTION("""COMPUTED_VALUE"""),45593.91604166667)</f>
        <v>45593.91604</v>
      </c>
      <c r="F16" s="7" t="str">
        <f>IFERROR(__xludf.DUMMYFUNCTION("""COMPUTED_VALUE"""),"Pittsburgh Steelers")</f>
        <v>Pittsburgh Steelers</v>
      </c>
      <c r="G16" s="7" t="str">
        <f>IFERROR(__xludf.DUMMYFUNCTION("""COMPUTED_VALUE"""),"New York Giants")</f>
        <v>New York Giants</v>
      </c>
      <c r="H16" s="7" t="str">
        <f>IFERROR(__xludf.DUMMYFUNCTION("""COMPUTED_VALUE"""),"spreads")</f>
        <v>spreads</v>
      </c>
      <c r="I16" s="7" t="str">
        <f>IFERROR(__xludf.DUMMYFUNCTION("""COMPUTED_VALUE"""),"New York Giants")</f>
        <v>New York Giants</v>
      </c>
      <c r="J16" s="7"/>
      <c r="K16" s="10">
        <f>IFERROR(__xludf.DUMMYFUNCTION("""COMPUTED_VALUE"""),-110.0)</f>
        <v>-110</v>
      </c>
      <c r="L16" s="10">
        <f>IFERROR(__xludf.DUMMYFUNCTION("""COMPUTED_VALUE"""),6.0)</f>
        <v>6</v>
      </c>
    </row>
    <row r="17">
      <c r="A17" s="7" t="str">
        <f>IFERROR(__xludf.DUMMYFUNCTION("""COMPUTED_VALUE"""),"86278ec4bbdcadd945d79df6c695c2ec")</f>
        <v>86278ec4bbdcadd945d79df6c695c2ec</v>
      </c>
      <c r="B17" s="8">
        <f>IFERROR(__xludf.DUMMYFUNCTION("""COMPUTED_VALUE"""),45594.01041666667)</f>
        <v>45594.01042</v>
      </c>
      <c r="C17" s="9" t="b">
        <f>IFERROR(__xludf.DUMMYFUNCTION("""COMPUTED_VALUE"""),FALSE)</f>
        <v>0</v>
      </c>
      <c r="D17" s="7" t="str">
        <f>IFERROR(__xludf.DUMMYFUNCTION("""COMPUTED_VALUE"""),"BetMGM")</f>
        <v>BetMGM</v>
      </c>
      <c r="E17" s="8">
        <f>IFERROR(__xludf.DUMMYFUNCTION("""COMPUTED_VALUE"""),45593.91604166667)</f>
        <v>45593.91604</v>
      </c>
      <c r="F17" s="7" t="str">
        <f>IFERROR(__xludf.DUMMYFUNCTION("""COMPUTED_VALUE"""),"Pittsburgh Steelers")</f>
        <v>Pittsburgh Steelers</v>
      </c>
      <c r="G17" s="7" t="str">
        <f>IFERROR(__xludf.DUMMYFUNCTION("""COMPUTED_VALUE"""),"New York Giants")</f>
        <v>New York Giants</v>
      </c>
      <c r="H17" s="7" t="str">
        <f>IFERROR(__xludf.DUMMYFUNCTION("""COMPUTED_VALUE"""),"spreads")</f>
        <v>spreads</v>
      </c>
      <c r="I17" s="7" t="str">
        <f>IFERROR(__xludf.DUMMYFUNCTION("""COMPUTED_VALUE"""),"Pittsburgh Steelers")</f>
        <v>Pittsburgh Steelers</v>
      </c>
      <c r="J17" s="7"/>
      <c r="K17" s="10">
        <f>IFERROR(__xludf.DUMMYFUNCTION("""COMPUTED_VALUE"""),-110.0)</f>
        <v>-110</v>
      </c>
      <c r="L17" s="10">
        <f>IFERROR(__xludf.DUMMYFUNCTION("""COMPUTED_VALUE"""),-6.0)</f>
        <v>-6</v>
      </c>
    </row>
    <row r="18">
      <c r="A18" s="7" t="str">
        <f>IFERROR(__xludf.DUMMYFUNCTION("""COMPUTED_VALUE"""),"86278ec4bbdcadd945d79df6c695c2ec")</f>
        <v>86278ec4bbdcadd945d79df6c695c2ec</v>
      </c>
      <c r="B18" s="8">
        <f>IFERROR(__xludf.DUMMYFUNCTION("""COMPUTED_VALUE"""),45594.01041666667)</f>
        <v>45594.01042</v>
      </c>
      <c r="C18" s="9" t="b">
        <f>IFERROR(__xludf.DUMMYFUNCTION("""COMPUTED_VALUE"""),FALSE)</f>
        <v>0</v>
      </c>
      <c r="D18" s="7" t="str">
        <f>IFERROR(__xludf.DUMMYFUNCTION("""COMPUTED_VALUE"""),"Bovada")</f>
        <v>Bovada</v>
      </c>
      <c r="E18" s="8">
        <f>IFERROR(__xludf.DUMMYFUNCTION("""COMPUTED_VALUE"""),45593.91564814815)</f>
        <v>45593.91565</v>
      </c>
      <c r="F18" s="7" t="str">
        <f>IFERROR(__xludf.DUMMYFUNCTION("""COMPUTED_VALUE"""),"Pittsburgh Steelers")</f>
        <v>Pittsburgh Steelers</v>
      </c>
      <c r="G18" s="7" t="str">
        <f>IFERROR(__xludf.DUMMYFUNCTION("""COMPUTED_VALUE"""),"New York Giants")</f>
        <v>New York Giants</v>
      </c>
      <c r="H18" s="7" t="str">
        <f>IFERROR(__xludf.DUMMYFUNCTION("""COMPUTED_VALUE"""),"spreads")</f>
        <v>spreads</v>
      </c>
      <c r="I18" s="7" t="str">
        <f>IFERROR(__xludf.DUMMYFUNCTION("""COMPUTED_VALUE"""),"New York Giants")</f>
        <v>New York Giants</v>
      </c>
      <c r="J18" s="7"/>
      <c r="K18" s="10">
        <f>IFERROR(__xludf.DUMMYFUNCTION("""COMPUTED_VALUE"""),-110.0)</f>
        <v>-110</v>
      </c>
      <c r="L18" s="10">
        <f>IFERROR(__xludf.DUMMYFUNCTION("""COMPUTED_VALUE"""),6.0)</f>
        <v>6</v>
      </c>
    </row>
    <row r="19">
      <c r="A19" s="7" t="str">
        <f>IFERROR(__xludf.DUMMYFUNCTION("""COMPUTED_VALUE"""),"86278ec4bbdcadd945d79df6c695c2ec")</f>
        <v>86278ec4bbdcadd945d79df6c695c2ec</v>
      </c>
      <c r="B19" s="8">
        <f>IFERROR(__xludf.DUMMYFUNCTION("""COMPUTED_VALUE"""),45594.01041666667)</f>
        <v>45594.01042</v>
      </c>
      <c r="C19" s="9" t="b">
        <f>IFERROR(__xludf.DUMMYFUNCTION("""COMPUTED_VALUE"""),FALSE)</f>
        <v>0</v>
      </c>
      <c r="D19" s="7" t="str">
        <f>IFERROR(__xludf.DUMMYFUNCTION("""COMPUTED_VALUE"""),"Bovada")</f>
        <v>Bovada</v>
      </c>
      <c r="E19" s="8">
        <f>IFERROR(__xludf.DUMMYFUNCTION("""COMPUTED_VALUE"""),45593.91564814815)</f>
        <v>45593.91565</v>
      </c>
      <c r="F19" s="7" t="str">
        <f>IFERROR(__xludf.DUMMYFUNCTION("""COMPUTED_VALUE"""),"Pittsburgh Steelers")</f>
        <v>Pittsburgh Steelers</v>
      </c>
      <c r="G19" s="7" t="str">
        <f>IFERROR(__xludf.DUMMYFUNCTION("""COMPUTED_VALUE"""),"New York Giants")</f>
        <v>New York Giants</v>
      </c>
      <c r="H19" s="7" t="str">
        <f>IFERROR(__xludf.DUMMYFUNCTION("""COMPUTED_VALUE"""),"spreads")</f>
        <v>spreads</v>
      </c>
      <c r="I19" s="7" t="str">
        <f>IFERROR(__xludf.DUMMYFUNCTION("""COMPUTED_VALUE"""),"Pittsburgh Steelers")</f>
        <v>Pittsburgh Steelers</v>
      </c>
      <c r="J19" s="7"/>
      <c r="K19" s="10">
        <f>IFERROR(__xludf.DUMMYFUNCTION("""COMPUTED_VALUE"""),-110.0)</f>
        <v>-110</v>
      </c>
      <c r="L19" s="10">
        <f>IFERROR(__xludf.DUMMYFUNCTION("""COMPUTED_VALUE"""),-6.0)</f>
        <v>-6</v>
      </c>
    </row>
    <row r="20">
      <c r="A20" s="7"/>
      <c r="B20" s="8"/>
      <c r="C20" s="9"/>
      <c r="D20" s="7"/>
      <c r="E20" s="8"/>
      <c r="F20" s="7"/>
      <c r="G20" s="7"/>
      <c r="H20" s="7"/>
      <c r="I20" s="7"/>
      <c r="J20" s="7"/>
      <c r="K20" s="10"/>
      <c r="L20" s="10"/>
    </row>
    <row r="21">
      <c r="A21" s="7"/>
      <c r="B21" s="8"/>
      <c r="C21" s="9"/>
      <c r="D21" s="7"/>
      <c r="E21" s="8"/>
      <c r="F21" s="7"/>
      <c r="G21" s="7"/>
      <c r="H21" s="7"/>
      <c r="I21" s="7"/>
      <c r="J21" s="7"/>
      <c r="K21" s="10"/>
      <c r="L21" s="10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2.0"/>
    <col customWidth="1" min="5" max="5" width="13.0"/>
    <col customWidth="1" min="6" max="6" width="13.29"/>
    <col customWidth="1" min="7" max="7" width="13.71"/>
    <col customWidth="1" min="8" max="8" width="15.86"/>
    <col customWidth="1" min="9" max="9" width="23.29"/>
    <col customWidth="1" min="10" max="10" width="23.14"/>
    <col customWidth="1" min="11" max="11" width="10.0"/>
    <col customWidth="1" min="12" max="12" width="7.14"/>
    <col customWidth="1" min="13" max="13" width="25.86"/>
    <col customWidth="1" min="14" max="14" width="27.57"/>
    <col customWidth="1" min="15" max="27" width="8.71"/>
  </cols>
  <sheetData>
    <row r="1">
      <c r="A1" s="12" t="s">
        <v>15</v>
      </c>
      <c r="B1" s="12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</row>
    <row r="2">
      <c r="A2" s="3">
        <f>VLOOKUP(B2,map!B:C,2,false)</f>
        <v>30</v>
      </c>
      <c r="B2" s="15" t="str">
        <f>IFERROR(__xludf.DUMMYFUNCTION("UNIQUE(rushes!B2:B1000)"),"Baltimore")</f>
        <v>Baltimore</v>
      </c>
      <c r="C2" s="3">
        <f>VLOOKUP($B2,rushes!$B:$D,3,false)</f>
        <v>35</v>
      </c>
      <c r="D2" s="3">
        <f>VLOOKUP($B2,td!$B:$D,3,false)</f>
        <v>4.3</v>
      </c>
      <c r="E2" s="3">
        <f>VLOOKUP($B2,yards!$B:$D,3,false)</f>
        <v>477</v>
      </c>
      <c r="F2" s="3">
        <f>VLOOKUP($B2,passing_yards!$B:$D,3,false)</f>
        <v>269.7</v>
      </c>
      <c r="G2" s="3">
        <f>VLOOKUP($B2,rush_yrds!$B:$D,3,false)</f>
        <v>207.3</v>
      </c>
      <c r="H2" s="4">
        <f t="shared" ref="H2:H33" si="1"> (0.05 * C2) + (6 * D2) + (0.02 * E2) + (0.01 * F2) + (0.01 * G2)</f>
        <v>41.86</v>
      </c>
      <c r="I2" s="10">
        <v>24.0</v>
      </c>
      <c r="J2" s="10">
        <v>21.0</v>
      </c>
      <c r="K2" s="10">
        <v>42.5</v>
      </c>
      <c r="L2" s="10">
        <v>3.5</v>
      </c>
      <c r="M2" s="7" t="str">
        <f>IF((I2 + J2) &gt; K2, "Bet Over", "Bet Under")</f>
        <v>Bet Over</v>
      </c>
      <c r="N2" s="7" t="str">
        <f>IF((I2 - J2) &gt; L2, "Bet Team A (Cover)", "Bet Team B (Cover)")</f>
        <v>Bet Team B (Cover)</v>
      </c>
    </row>
    <row r="3">
      <c r="A3" s="3">
        <f>VLOOKUP(B3,map!B:C,2,false)</f>
        <v>29</v>
      </c>
      <c r="B3" s="15" t="str">
        <f>IFERROR(__xludf.DUMMYFUNCTION("""COMPUTED_VALUE"""),"Pittsburgh")</f>
        <v>Pittsburgh</v>
      </c>
      <c r="C3" s="3">
        <f>VLOOKUP($B3,rushes!$B:$D,3,false)</f>
        <v>30.3</v>
      </c>
      <c r="D3" s="3">
        <f>VLOOKUP($B3,td!$B:$D,3,false)</f>
        <v>2.7</v>
      </c>
      <c r="E3" s="3">
        <f>VLOOKUP($B3,yards!$B:$D,3,false)</f>
        <v>307.7</v>
      </c>
      <c r="F3" s="3">
        <f>VLOOKUP($B3,passing_yards!$B:$D,3,false)</f>
        <v>175.3</v>
      </c>
      <c r="G3" s="3">
        <f>VLOOKUP($B3,rush_yrds!$B:$D,3,false)</f>
        <v>132.3</v>
      </c>
      <c r="H3" s="4">
        <f t="shared" si="1"/>
        <v>26.945</v>
      </c>
    </row>
    <row r="4">
      <c r="A4" s="3">
        <f>VLOOKUP(B4,map!B:C,2,false)</f>
        <v>15</v>
      </c>
      <c r="B4" s="15" t="str">
        <f>IFERROR(__xludf.DUMMYFUNCTION("""COMPUTED_VALUE"""),"Green Bay")</f>
        <v>Green Bay</v>
      </c>
      <c r="C4" s="3">
        <f>VLOOKUP($B4,rushes!$B:$D,3,false)</f>
        <v>29</v>
      </c>
      <c r="D4" s="3">
        <f>VLOOKUP($B4,td!$B:$D,3,false)</f>
        <v>3.7</v>
      </c>
      <c r="E4" s="3">
        <f>VLOOKUP($B4,yards!$B:$D,3,false)</f>
        <v>408.3</v>
      </c>
      <c r="F4" s="3">
        <f>VLOOKUP($B4,passing_yards!$B:$D,3,false)</f>
        <v>278</v>
      </c>
      <c r="G4" s="3">
        <f>VLOOKUP($B4,rush_yrds!$B:$D,3,false)</f>
        <v>130.3</v>
      </c>
      <c r="H4" s="4">
        <f t="shared" si="1"/>
        <v>35.899</v>
      </c>
    </row>
    <row r="5">
      <c r="A5" s="3">
        <f>VLOOKUP(B5,map!B:C,2,false)</f>
        <v>5</v>
      </c>
      <c r="B5" s="15" t="str">
        <f>IFERROR(__xludf.DUMMYFUNCTION("""COMPUTED_VALUE"""),"Detroit")</f>
        <v>Detroit</v>
      </c>
      <c r="C5" s="3">
        <f>VLOOKUP($B5,rushes!$B:$D,3,false)</f>
        <v>35.7</v>
      </c>
      <c r="D5" s="3">
        <f>VLOOKUP($B5,td!$B:$D,3,false)</f>
        <v>4.7</v>
      </c>
      <c r="E5" s="3">
        <f>VLOOKUP($B5,yards!$B:$D,3,false)</f>
        <v>418</v>
      </c>
      <c r="F5" s="3">
        <f>VLOOKUP($B5,passing_yards!$B:$D,3,false)</f>
        <v>255.7</v>
      </c>
      <c r="G5" s="3">
        <f>VLOOKUP($B5,rush_yrds!$B:$D,3,false)</f>
        <v>162.3</v>
      </c>
      <c r="H5" s="4">
        <f t="shared" si="1"/>
        <v>42.525</v>
      </c>
    </row>
    <row r="6">
      <c r="A6" s="3">
        <f>VLOOKUP(B6,map!B:C,2,false)</f>
        <v>25</v>
      </c>
      <c r="B6" s="15" t="str">
        <f>IFERROR(__xludf.DUMMYFUNCTION("""COMPUTED_VALUE"""),"San Francisco")</f>
        <v>San Francisco</v>
      </c>
      <c r="C6" s="3">
        <f>VLOOKUP($B6,rushes!$B:$D,3,false)</f>
        <v>30.3</v>
      </c>
      <c r="D6" s="3">
        <f>VLOOKUP($B6,td!$B:$D,3,false)</f>
        <v>3</v>
      </c>
      <c r="E6" s="3">
        <f>VLOOKUP($B6,yards!$B:$D,3,false)</f>
        <v>432.7</v>
      </c>
      <c r="F6" s="3">
        <f>VLOOKUP($B6,passing_yards!$B:$D,3,false)</f>
        <v>256.3</v>
      </c>
      <c r="G6" s="3">
        <f>VLOOKUP($B6,rush_yrds!$B:$D,3,false)</f>
        <v>176.3</v>
      </c>
      <c r="H6" s="4">
        <f t="shared" si="1"/>
        <v>32.495</v>
      </c>
    </row>
    <row r="7">
      <c r="A7" s="3">
        <f>VLOOKUP(B7,map!B:C,2,false)</f>
        <v>12</v>
      </c>
      <c r="B7" s="15" t="str">
        <f>IFERROR(__xludf.DUMMYFUNCTION("""COMPUTED_VALUE"""),"Philadelphia")</f>
        <v>Philadelphia</v>
      </c>
      <c r="C7" s="3">
        <f>VLOOKUP($B7,rushes!$B:$D,3,false)</f>
        <v>27</v>
      </c>
      <c r="D7" s="3">
        <f>VLOOKUP($B7,td!$B:$D,3,false)</f>
        <v>2</v>
      </c>
      <c r="E7" s="3">
        <f>VLOOKUP($B7,yards!$B:$D,3,false)</f>
        <v>353</v>
      </c>
      <c r="F7" s="3">
        <f>VLOOKUP($B7,passing_yards!$B:$D,3,false)</f>
        <v>219.3</v>
      </c>
      <c r="G7" s="3">
        <f>VLOOKUP($B7,rush_yrds!$B:$D,3,false)</f>
        <v>133.7</v>
      </c>
      <c r="H7" s="4">
        <f t="shared" si="1"/>
        <v>23.94</v>
      </c>
    </row>
    <row r="8">
      <c r="A8" s="3">
        <f>VLOOKUP(B8,map!B:C,2,false)</f>
        <v>8</v>
      </c>
      <c r="B8" s="15" t="str">
        <f>IFERROR(__xludf.DUMMYFUNCTION("""COMPUTED_VALUE"""),"Washington")</f>
        <v>Washington</v>
      </c>
      <c r="C8" s="3">
        <f>VLOOKUP($B8,rushes!$B:$D,3,false)</f>
        <v>29.7</v>
      </c>
      <c r="D8" s="3">
        <f>VLOOKUP($B8,td!$B:$D,3,false)</f>
        <v>3.7</v>
      </c>
      <c r="E8" s="3">
        <f>VLOOKUP($B8,yards!$B:$D,3,false)</f>
        <v>396</v>
      </c>
      <c r="F8" s="3">
        <f>VLOOKUP($B8,passing_yards!$B:$D,3,false)</f>
        <v>235</v>
      </c>
      <c r="G8" s="3">
        <f>VLOOKUP($B8,rush_yrds!$B:$D,3,false)</f>
        <v>161</v>
      </c>
      <c r="H8" s="4">
        <f t="shared" si="1"/>
        <v>35.565</v>
      </c>
    </row>
    <row r="9">
      <c r="A9" s="3">
        <f>VLOOKUP(B9,map!B:C,2,false)</f>
        <v>7</v>
      </c>
      <c r="B9" s="15" t="str">
        <f>IFERROR(__xludf.DUMMYFUNCTION("""COMPUTED_VALUE"""),"LA Chargers")</f>
        <v>LA Chargers</v>
      </c>
      <c r="C9" s="3">
        <f>VLOOKUP($B9,rushes!$B:$D,3,false)</f>
        <v>27.3</v>
      </c>
      <c r="D9" s="3">
        <f>VLOOKUP($B9,td!$B:$D,3,false)</f>
        <v>1.3</v>
      </c>
      <c r="E9" s="3">
        <f>VLOOKUP($B9,yards!$B:$D,3,false)</f>
        <v>246.7</v>
      </c>
      <c r="F9" s="3">
        <f>VLOOKUP($B9,passing_yards!$B:$D,3,false)</f>
        <v>165.3</v>
      </c>
      <c r="G9" s="3">
        <f>VLOOKUP($B9,rush_yrds!$B:$D,3,false)</f>
        <v>81.3</v>
      </c>
      <c r="H9" s="4">
        <f t="shared" si="1"/>
        <v>16.565</v>
      </c>
    </row>
    <row r="10">
      <c r="A10" s="3">
        <f>VLOOKUP(B10,map!B:C,2,false)</f>
        <v>2</v>
      </c>
      <c r="B10" s="15" t="str">
        <f>IFERROR(__xludf.DUMMYFUNCTION("""COMPUTED_VALUE"""),"Kansas City")</f>
        <v>Kansas City</v>
      </c>
      <c r="C10" s="3">
        <f>VLOOKUP($B10,rushes!$B:$D,3,false)</f>
        <v>32.7</v>
      </c>
      <c r="D10" s="3">
        <f>VLOOKUP($B10,td!$B:$D,3,false)</f>
        <v>2</v>
      </c>
      <c r="E10" s="3">
        <f>VLOOKUP($B10,yards!$B:$D,3,false)</f>
        <v>378</v>
      </c>
      <c r="F10" s="3">
        <f>VLOOKUP($B10,passing_yards!$B:$D,3,false)</f>
        <v>255.3</v>
      </c>
      <c r="G10" s="3">
        <f>VLOOKUP($B10,rush_yrds!$B:$D,3,false)</f>
        <v>122.7</v>
      </c>
      <c r="H10" s="4">
        <f t="shared" si="1"/>
        <v>24.975</v>
      </c>
    </row>
    <row r="11">
      <c r="A11" s="3">
        <f>VLOOKUP(B11,map!B:C,2,false)</f>
        <v>10</v>
      </c>
      <c r="B11" s="15" t="str">
        <f>IFERROR(__xludf.DUMMYFUNCTION("""COMPUTED_VALUE"""),"Miami")</f>
        <v>Miami</v>
      </c>
      <c r="C11" s="3">
        <f>VLOOKUP($B11,rushes!$B:$D,3,false)</f>
        <v>29.7</v>
      </c>
      <c r="D11" s="3">
        <f>VLOOKUP($B11,td!$B:$D,3,false)</f>
        <v>0.7</v>
      </c>
      <c r="E11" s="3">
        <f>VLOOKUP($B11,yards!$B:$D,3,false)</f>
        <v>253.7</v>
      </c>
      <c r="F11" s="3">
        <f>VLOOKUP($B11,passing_yards!$B:$D,3,false)</f>
        <v>132.3</v>
      </c>
      <c r="G11" s="3">
        <f>VLOOKUP($B11,rush_yrds!$B:$D,3,false)</f>
        <v>121.3</v>
      </c>
      <c r="H11" s="4">
        <f t="shared" si="1"/>
        <v>13.295</v>
      </c>
    </row>
    <row r="12">
      <c r="A12" s="3">
        <f>VLOOKUP(B12,map!B:C,2,false)</f>
        <v>9</v>
      </c>
      <c r="B12" s="15" t="str">
        <f>IFERROR(__xludf.DUMMYFUNCTION("""COMPUTED_VALUE"""),"New Orleans")</f>
        <v>New Orleans</v>
      </c>
      <c r="C12" s="3">
        <f>VLOOKUP($B12,rushes!$B:$D,3,false)</f>
        <v>23</v>
      </c>
      <c r="D12" s="3">
        <f>VLOOKUP($B12,td!$B:$D,3,false)</f>
        <v>2.7</v>
      </c>
      <c r="E12" s="3">
        <f>VLOOKUP($B12,yards!$B:$D,3,false)</f>
        <v>296.3</v>
      </c>
      <c r="F12" s="3">
        <f>VLOOKUP($B12,passing_yards!$B:$D,3,false)</f>
        <v>210.3</v>
      </c>
      <c r="G12" s="3">
        <f>VLOOKUP($B12,rush_yrds!$B:$D,3,false)</f>
        <v>86</v>
      </c>
      <c r="H12" s="4">
        <f t="shared" si="1"/>
        <v>26.239</v>
      </c>
    </row>
    <row r="13">
      <c r="A13" s="3">
        <f>VLOOKUP(B13,map!B:C,2,false)</f>
        <v>11</v>
      </c>
      <c r="B13" s="15" t="str">
        <f>IFERROR(__xludf.DUMMYFUNCTION("""COMPUTED_VALUE"""),"Buffalo")</f>
        <v>Buffalo</v>
      </c>
      <c r="C13" s="3">
        <f>VLOOKUP($B13,rushes!$B:$D,3,false)</f>
        <v>28</v>
      </c>
      <c r="D13" s="3">
        <f>VLOOKUP($B13,td!$B:$D,3,false)</f>
        <v>2</v>
      </c>
      <c r="E13" s="3">
        <f>VLOOKUP($B13,yards!$B:$D,3,false)</f>
        <v>290.3</v>
      </c>
      <c r="F13" s="3">
        <f>VLOOKUP($B13,passing_yards!$B:$D,3,false)</f>
        <v>163.7</v>
      </c>
      <c r="G13" s="3">
        <f>VLOOKUP($B13,rush_yrds!$B:$D,3,false)</f>
        <v>126.7</v>
      </c>
      <c r="H13" s="4">
        <f t="shared" si="1"/>
        <v>22.11</v>
      </c>
    </row>
    <row r="14">
      <c r="A14" s="3">
        <f>VLOOKUP(B14,map!B:C,2,false)</f>
        <v>3</v>
      </c>
      <c r="B14" s="15" t="str">
        <f>IFERROR(__xludf.DUMMYFUNCTION("""COMPUTED_VALUE"""),"Minnesota")</f>
        <v>Minnesota</v>
      </c>
      <c r="C14" s="3">
        <f>VLOOKUP($B14,rushes!$B:$D,3,false)</f>
        <v>30.7</v>
      </c>
      <c r="D14" s="3">
        <f>VLOOKUP($B14,td!$B:$D,3,false)</f>
        <v>3.3</v>
      </c>
      <c r="E14" s="3">
        <f>VLOOKUP($B14,yards!$B:$D,3,false)</f>
        <v>300.3</v>
      </c>
      <c r="F14" s="3">
        <f>VLOOKUP($B14,passing_yards!$B:$D,3,false)</f>
        <v>193.7</v>
      </c>
      <c r="G14" s="3">
        <f>VLOOKUP($B14,rush_yrds!$B:$D,3,false)</f>
        <v>106.7</v>
      </c>
      <c r="H14" s="4">
        <f t="shared" si="1"/>
        <v>30.345</v>
      </c>
    </row>
    <row r="15">
      <c r="A15" s="3">
        <f>VLOOKUP(B15,map!B:C,2,false)</f>
        <v>31</v>
      </c>
      <c r="B15" s="15" t="str">
        <f>IFERROR(__xludf.DUMMYFUNCTION("""COMPUTED_VALUE"""),"Chicago")</f>
        <v>Chicago</v>
      </c>
      <c r="C15" s="3">
        <f>VLOOKUP($B15,rushes!$B:$D,3,false)</f>
        <v>32</v>
      </c>
      <c r="D15" s="3">
        <f>VLOOKUP($B15,td!$B:$D,3,false)</f>
        <v>4.3</v>
      </c>
      <c r="E15" s="3">
        <f>VLOOKUP($B15,yards!$B:$D,3,false)</f>
        <v>353.7</v>
      </c>
      <c r="F15" s="3">
        <f>VLOOKUP($B15,passing_yards!$B:$D,3,false)</f>
        <v>216.7</v>
      </c>
      <c r="G15" s="3">
        <f>VLOOKUP($B15,rush_yrds!$B:$D,3,false)</f>
        <v>137</v>
      </c>
      <c r="H15" s="4">
        <f t="shared" si="1"/>
        <v>38.011</v>
      </c>
    </row>
    <row r="16">
      <c r="A16" s="3">
        <f>VLOOKUP(B16,map!B:C,2,false)</f>
        <v>26</v>
      </c>
      <c r="B16" s="15" t="str">
        <f>IFERROR(__xludf.DUMMYFUNCTION("""COMPUTED_VALUE"""),"NY Giants")</f>
        <v>NY Giants</v>
      </c>
      <c r="C16" s="3">
        <f>VLOOKUP($B16,rushes!$B:$D,3,false)</f>
        <v>29.7</v>
      </c>
      <c r="D16" s="3">
        <f>VLOOKUP($B16,td!$B:$D,3,false)</f>
        <v>1.3</v>
      </c>
      <c r="E16" s="3">
        <f>VLOOKUP($B16,yards!$B:$D,3,false)</f>
        <v>344</v>
      </c>
      <c r="F16" s="3">
        <f>VLOOKUP($B16,passing_yards!$B:$D,3,false)</f>
        <v>237.3</v>
      </c>
      <c r="G16" s="3">
        <f>VLOOKUP($B16,rush_yrds!$B:$D,3,false)</f>
        <v>106.7</v>
      </c>
      <c r="H16" s="4">
        <f t="shared" si="1"/>
        <v>19.605</v>
      </c>
    </row>
    <row r="17">
      <c r="A17" s="3">
        <f>VLOOKUP(B17,map!B:C,2,false)</f>
        <v>21</v>
      </c>
      <c r="B17" s="15" t="str">
        <f>IFERROR(__xludf.DUMMYFUNCTION("""COMPUTED_VALUE"""),"Arizona")</f>
        <v>Arizona</v>
      </c>
      <c r="C17" s="3">
        <f>VLOOKUP($B17,rushes!$B:$D,3,false)</f>
        <v>27</v>
      </c>
      <c r="D17" s="3">
        <f>VLOOKUP($B17,td!$B:$D,3,false)</f>
        <v>1.7</v>
      </c>
      <c r="E17" s="3">
        <f>VLOOKUP($B17,yards!$B:$D,3,false)</f>
        <v>319</v>
      </c>
      <c r="F17" s="3">
        <f>VLOOKUP($B17,passing_yards!$B:$D,3,false)</f>
        <v>172.7</v>
      </c>
      <c r="G17" s="3">
        <f>VLOOKUP($B17,rush_yrds!$B:$D,3,false)</f>
        <v>146.3</v>
      </c>
      <c r="H17" s="4">
        <f t="shared" si="1"/>
        <v>21.12</v>
      </c>
    </row>
    <row r="18">
      <c r="A18" s="3">
        <f>VLOOKUP(B18,map!B:C,2,false)</f>
        <v>32</v>
      </c>
      <c r="B18" s="15" t="str">
        <f>IFERROR(__xludf.DUMMYFUNCTION("""COMPUTED_VALUE"""),"Tennessee")</f>
        <v>Tennessee</v>
      </c>
      <c r="C18" s="3">
        <f>VLOOKUP($B18,rushes!$B:$D,3,false)</f>
        <v>26.3</v>
      </c>
      <c r="D18" s="3">
        <f>VLOOKUP($B18,td!$B:$D,3,false)</f>
        <v>2</v>
      </c>
      <c r="E18" s="3">
        <f>VLOOKUP($B18,yards!$B:$D,3,false)</f>
        <v>240.7</v>
      </c>
      <c r="F18" s="3">
        <f>VLOOKUP($B18,passing_yards!$B:$D,3,false)</f>
        <v>133.7</v>
      </c>
      <c r="G18" s="3">
        <f>VLOOKUP($B18,rush_yrds!$B:$D,3,false)</f>
        <v>107</v>
      </c>
      <c r="H18" s="4">
        <f t="shared" si="1"/>
        <v>20.536</v>
      </c>
    </row>
    <row r="19">
      <c r="A19" s="3">
        <f>VLOOKUP(B19,map!B:C,2,false)</f>
        <v>22</v>
      </c>
      <c r="B19" s="15" t="str">
        <f>IFERROR(__xludf.DUMMYFUNCTION("""COMPUTED_VALUE"""),"New England")</f>
        <v>New England</v>
      </c>
      <c r="C19" s="3">
        <f>VLOOKUP($B19,rushes!$B:$D,3,false)</f>
        <v>23</v>
      </c>
      <c r="D19" s="3">
        <f>VLOOKUP($B19,td!$B:$D,3,false)</f>
        <v>1.7</v>
      </c>
      <c r="E19" s="3">
        <f>VLOOKUP($B19,yards!$B:$D,3,false)</f>
        <v>268.7</v>
      </c>
      <c r="F19" s="3">
        <f>VLOOKUP($B19,passing_yards!$B:$D,3,false)</f>
        <v>166.7</v>
      </c>
      <c r="G19" s="3">
        <f>VLOOKUP($B19,rush_yrds!$B:$D,3,false)</f>
        <v>102</v>
      </c>
      <c r="H19" s="4">
        <f t="shared" si="1"/>
        <v>19.411</v>
      </c>
    </row>
    <row r="20">
      <c r="A20" s="3">
        <f>VLOOKUP(B20,map!B:C,2,false)</f>
        <v>17</v>
      </c>
      <c r="B20" s="15" t="str">
        <f>IFERROR(__xludf.DUMMYFUNCTION("""COMPUTED_VALUE"""),"Houston")</f>
        <v>Houston</v>
      </c>
      <c r="C20" s="3">
        <f>VLOOKUP($B20,rushes!$B:$D,3,false)</f>
        <v>27.3</v>
      </c>
      <c r="D20" s="3">
        <f>VLOOKUP($B20,td!$B:$D,3,false)</f>
        <v>3.3</v>
      </c>
      <c r="E20" s="3">
        <f>VLOOKUP($B20,yards!$B:$D,3,false)</f>
        <v>409.3</v>
      </c>
      <c r="F20" s="3">
        <f>VLOOKUP($B20,passing_yards!$B:$D,3,false)</f>
        <v>280.3</v>
      </c>
      <c r="G20" s="3">
        <f>VLOOKUP($B20,rush_yrds!$B:$D,3,false)</f>
        <v>129</v>
      </c>
      <c r="H20" s="4">
        <f t="shared" si="1"/>
        <v>33.444</v>
      </c>
    </row>
    <row r="21" ht="15.75" customHeight="1">
      <c r="A21" s="3">
        <f>VLOOKUP(B21,map!B:C,2,false)</f>
        <v>14</v>
      </c>
      <c r="B21" s="15" t="str">
        <f>IFERROR(__xludf.DUMMYFUNCTION("""COMPUTED_VALUE"""),"Tampa Bay")</f>
        <v>Tampa Bay</v>
      </c>
      <c r="C21" s="3">
        <f>VLOOKUP($B21,rushes!$B:$D,3,false)</f>
        <v>28.7</v>
      </c>
      <c r="D21" s="3">
        <f>VLOOKUP($B21,td!$B:$D,3,false)</f>
        <v>4.7</v>
      </c>
      <c r="E21" s="3">
        <f>VLOOKUP($B21,yards!$B:$D,3,false)</f>
        <v>457.3</v>
      </c>
      <c r="F21" s="3">
        <f>VLOOKUP($B21,passing_yards!$B:$D,3,false)</f>
        <v>274.7</v>
      </c>
      <c r="G21" s="3">
        <f>VLOOKUP($B21,rush_yrds!$B:$D,3,false)</f>
        <v>182.7</v>
      </c>
      <c r="H21" s="4">
        <f t="shared" si="1"/>
        <v>43.355</v>
      </c>
    </row>
    <row r="22" ht="15.75" customHeight="1">
      <c r="A22" s="3">
        <f>VLOOKUP(B22,map!B:C,2,false)</f>
        <v>20</v>
      </c>
      <c r="B22" s="15" t="str">
        <f>IFERROR(__xludf.DUMMYFUNCTION("""COMPUTED_VALUE"""),"Indianapolis")</f>
        <v>Indianapolis</v>
      </c>
      <c r="C22" s="3">
        <f>VLOOKUP($B22,rushes!$B:$D,3,false)</f>
        <v>26.7</v>
      </c>
      <c r="D22" s="3">
        <f>VLOOKUP($B22,td!$B:$D,3,false)</f>
        <v>3</v>
      </c>
      <c r="E22" s="3">
        <f>VLOOKUP($B22,yards!$B:$D,3,false)</f>
        <v>358</v>
      </c>
      <c r="F22" s="3">
        <f>VLOOKUP($B22,passing_yards!$B:$D,3,false)</f>
        <v>254</v>
      </c>
      <c r="G22" s="3">
        <f>VLOOKUP($B22,rush_yrds!$B:$D,3,false)</f>
        <v>104</v>
      </c>
      <c r="H22" s="4">
        <f t="shared" si="1"/>
        <v>30.075</v>
      </c>
    </row>
    <row r="23" ht="15.75" customHeight="1">
      <c r="A23" s="3">
        <f>VLOOKUP(B23,map!B:C,2,false)</f>
        <v>27</v>
      </c>
      <c r="B23" s="15" t="str">
        <f>IFERROR(__xludf.DUMMYFUNCTION("""COMPUTED_VALUE"""),"Denver")</f>
        <v>Denver</v>
      </c>
      <c r="C23" s="3">
        <f>VLOOKUP($B23,rushes!$B:$D,3,false)</f>
        <v>25.7</v>
      </c>
      <c r="D23" s="3">
        <f>VLOOKUP($B23,td!$B:$D,3,false)</f>
        <v>2.3</v>
      </c>
      <c r="E23" s="3">
        <f>VLOOKUP($B23,yards!$B:$D,3,false)</f>
        <v>263.7</v>
      </c>
      <c r="F23" s="3">
        <f>VLOOKUP($B23,passing_yards!$B:$D,3,false)</f>
        <v>148.7</v>
      </c>
      <c r="G23" s="3">
        <f>VLOOKUP($B23,rush_yrds!$B:$D,3,false)</f>
        <v>115</v>
      </c>
      <c r="H23" s="4">
        <f t="shared" si="1"/>
        <v>22.996</v>
      </c>
    </row>
    <row r="24" ht="15.75" customHeight="1">
      <c r="A24" s="3">
        <f>VLOOKUP(B24,map!B:C,2,false)</f>
        <v>18</v>
      </c>
      <c r="B24" s="15" t="str">
        <f>IFERROR(__xludf.DUMMYFUNCTION("""COMPUTED_VALUE"""),"LA Rams")</f>
        <v>LA Rams</v>
      </c>
      <c r="C24" s="3">
        <f>VLOOKUP($B24,rushes!$B:$D,3,false)</f>
        <v>26.7</v>
      </c>
      <c r="D24" s="3">
        <f>VLOOKUP($B24,td!$B:$D,3,false)</f>
        <v>2.3</v>
      </c>
      <c r="E24" s="3">
        <f>VLOOKUP($B24,yards!$B:$D,3,false)</f>
        <v>329.3</v>
      </c>
      <c r="F24" s="3">
        <f>VLOOKUP($B24,passing_yards!$B:$D,3,false)</f>
        <v>212.3</v>
      </c>
      <c r="G24" s="3">
        <f>VLOOKUP($B24,rush_yrds!$B:$D,3,false)</f>
        <v>117</v>
      </c>
      <c r="H24" s="4">
        <f t="shared" si="1"/>
        <v>25.014</v>
      </c>
    </row>
    <row r="25" ht="15.75" customHeight="1">
      <c r="A25" s="3">
        <f>VLOOKUP(B25,map!B:C,2,false)</f>
        <v>28</v>
      </c>
      <c r="B25" s="15" t="str">
        <f>IFERROR(__xludf.DUMMYFUNCTION("""COMPUTED_VALUE"""),"Atlanta")</f>
        <v>Atlanta</v>
      </c>
      <c r="C25" s="3">
        <f>VLOOKUP($B25,rushes!$B:$D,3,false)</f>
        <v>23.7</v>
      </c>
      <c r="D25" s="3">
        <f>VLOOKUP($B25,td!$B:$D,3,false)</f>
        <v>3.3</v>
      </c>
      <c r="E25" s="3">
        <f>VLOOKUP($B25,yards!$B:$D,3,false)</f>
        <v>429.3</v>
      </c>
      <c r="F25" s="3">
        <f>VLOOKUP($B25,passing_yards!$B:$D,3,false)</f>
        <v>309.7</v>
      </c>
      <c r="G25" s="3">
        <f>VLOOKUP($B25,rush_yrds!$B:$D,3,false)</f>
        <v>119.7</v>
      </c>
      <c r="H25" s="4">
        <f t="shared" si="1"/>
        <v>33.865</v>
      </c>
    </row>
    <row r="26" ht="15.75" customHeight="1">
      <c r="A26" s="3">
        <f>VLOOKUP(B26,map!B:C,2,false)</f>
        <v>23</v>
      </c>
      <c r="B26" s="15" t="str">
        <f>IFERROR(__xludf.DUMMYFUNCTION("""COMPUTED_VALUE"""),"Carolina")</f>
        <v>Carolina</v>
      </c>
      <c r="C26" s="3">
        <f>VLOOKUP($B26,rushes!$B:$D,3,false)</f>
        <v>24</v>
      </c>
      <c r="D26" s="3">
        <f>VLOOKUP($B26,td!$B:$D,3,false)</f>
        <v>2</v>
      </c>
      <c r="E26" s="3">
        <f>VLOOKUP($B26,yards!$B:$D,3,false)</f>
        <v>334</v>
      </c>
      <c r="F26" s="3">
        <f>VLOOKUP($B26,passing_yards!$B:$D,3,false)</f>
        <v>204.3</v>
      </c>
      <c r="G26" s="3">
        <f>VLOOKUP($B26,rush_yrds!$B:$D,3,false)</f>
        <v>129.7</v>
      </c>
      <c r="H26" s="4">
        <f t="shared" si="1"/>
        <v>23.22</v>
      </c>
    </row>
    <row r="27" ht="15.75" customHeight="1">
      <c r="A27" s="3">
        <f>VLOOKUP(B27,map!B:C,2,false)</f>
        <v>16</v>
      </c>
      <c r="B27" s="15" t="str">
        <f>IFERROR(__xludf.DUMMYFUNCTION("""COMPUTED_VALUE"""),"Cleveland")</f>
        <v>Cleveland</v>
      </c>
      <c r="C27" s="3">
        <f>VLOOKUP($B27,rushes!$B:$D,3,false)</f>
        <v>23.3</v>
      </c>
      <c r="D27" s="3">
        <f>VLOOKUP($B27,td!$B:$D,3,false)</f>
        <v>1.3</v>
      </c>
      <c r="E27" s="3">
        <f>VLOOKUP($B27,yards!$B:$D,3,false)</f>
        <v>232.3</v>
      </c>
      <c r="F27" s="3">
        <f>VLOOKUP($B27,passing_yards!$B:$D,3,false)</f>
        <v>133.7</v>
      </c>
      <c r="G27" s="3">
        <f>VLOOKUP($B27,rush_yrds!$B:$D,3,false)</f>
        <v>98.7</v>
      </c>
      <c r="H27" s="4">
        <f t="shared" si="1"/>
        <v>15.935</v>
      </c>
    </row>
    <row r="28" ht="15.75" customHeight="1">
      <c r="A28" s="3">
        <f>VLOOKUP(B28,map!B:C,2,false)</f>
        <v>19</v>
      </c>
      <c r="B28" s="15" t="str">
        <f>IFERROR(__xludf.DUMMYFUNCTION("""COMPUTED_VALUE"""),"NY Jets")</f>
        <v>NY Jets</v>
      </c>
      <c r="C28" s="3">
        <f>VLOOKUP($B28,rushes!$B:$D,3,false)</f>
        <v>19.3</v>
      </c>
      <c r="D28" s="3">
        <f>VLOOKUP($B28,td!$B:$D,3,false)</f>
        <v>1.3</v>
      </c>
      <c r="E28" s="3">
        <f>VLOOKUP($B28,yards!$B:$D,3,false)</f>
        <v>298.3</v>
      </c>
      <c r="F28" s="3">
        <f>VLOOKUP($B28,passing_yards!$B:$D,3,false)</f>
        <v>224.7</v>
      </c>
      <c r="G28" s="3">
        <f>VLOOKUP($B28,rush_yrds!$B:$D,3,false)</f>
        <v>73.7</v>
      </c>
      <c r="H28" s="4">
        <f t="shared" si="1"/>
        <v>17.715</v>
      </c>
    </row>
    <row r="29" ht="15.75" customHeight="1">
      <c r="A29" s="3">
        <f>VLOOKUP(B29,map!B:C,2,false)</f>
        <v>1</v>
      </c>
      <c r="B29" s="15" t="str">
        <f>IFERROR(__xludf.DUMMYFUNCTION("""COMPUTED_VALUE"""),"Dallas")</f>
        <v>Dallas</v>
      </c>
      <c r="C29" s="3">
        <f>VLOOKUP($B29,rushes!$B:$D,3,false)</f>
        <v>23.7</v>
      </c>
      <c r="D29" s="3">
        <f>VLOOKUP($B29,td!$B:$D,3,false)</f>
        <v>1.3</v>
      </c>
      <c r="E29" s="3">
        <f>VLOOKUP($B29,yards!$B:$D,3,false)</f>
        <v>329.7</v>
      </c>
      <c r="F29" s="3">
        <f>VLOOKUP($B29,passing_yards!$B:$D,3,false)</f>
        <v>249</v>
      </c>
      <c r="G29" s="3">
        <f>VLOOKUP($B29,rush_yrds!$B:$D,3,false)</f>
        <v>80.7</v>
      </c>
      <c r="H29" s="4">
        <f t="shared" si="1"/>
        <v>18.876</v>
      </c>
    </row>
    <row r="30" ht="15.75" customHeight="1">
      <c r="A30" s="3">
        <f>VLOOKUP(B30,map!B:C,2,false)</f>
        <v>4</v>
      </c>
      <c r="B30" s="15" t="str">
        <f>IFERROR(__xludf.DUMMYFUNCTION("""COMPUTED_VALUE"""),"Cincinnati")</f>
        <v>Cincinnati</v>
      </c>
      <c r="C30" s="3">
        <f>VLOOKUP($B30,rushes!$B:$D,3,false)</f>
        <v>24.7</v>
      </c>
      <c r="D30" s="3">
        <f>VLOOKUP($B30,td!$B:$D,3,false)</f>
        <v>3.7</v>
      </c>
      <c r="E30" s="3">
        <f>VLOOKUP($B30,yards!$B:$D,3,false)</f>
        <v>373</v>
      </c>
      <c r="F30" s="3">
        <f>VLOOKUP($B30,passing_yards!$B:$D,3,false)</f>
        <v>262</v>
      </c>
      <c r="G30" s="3">
        <f>VLOOKUP($B30,rush_yrds!$B:$D,3,false)</f>
        <v>111</v>
      </c>
      <c r="H30" s="4">
        <f t="shared" si="1"/>
        <v>34.625</v>
      </c>
    </row>
    <row r="31" ht="15.75" customHeight="1">
      <c r="A31" s="3">
        <f>VLOOKUP(B31,map!B:C,2,false)</f>
        <v>6</v>
      </c>
      <c r="B31" s="15" t="str">
        <f>IFERROR(__xludf.DUMMYFUNCTION("""COMPUTED_VALUE"""),"Jacksonville")</f>
        <v>Jacksonville</v>
      </c>
      <c r="C31" s="3">
        <f>VLOOKUP($B31,rushes!$B:$D,3,false)</f>
        <v>22.3</v>
      </c>
      <c r="D31" s="3">
        <f>VLOOKUP($B31,td!$B:$D,3,false)</f>
        <v>2.7</v>
      </c>
      <c r="E31" s="3">
        <f>VLOOKUP($B31,yards!$B:$D,3,false)</f>
        <v>362.7</v>
      </c>
      <c r="F31" s="3">
        <f>VLOOKUP($B31,passing_yards!$B:$D,3,false)</f>
        <v>245.3</v>
      </c>
      <c r="G31" s="3">
        <f>VLOOKUP($B31,rush_yrds!$B:$D,3,false)</f>
        <v>117.3</v>
      </c>
      <c r="H31" s="4">
        <f t="shared" si="1"/>
        <v>28.195</v>
      </c>
    </row>
    <row r="32" ht="15.75" customHeight="1">
      <c r="A32" s="3">
        <f>VLOOKUP(B32,map!B:C,2,false)</f>
        <v>24</v>
      </c>
      <c r="B32" s="15" t="str">
        <f>IFERROR(__xludf.DUMMYFUNCTION("""COMPUTED_VALUE"""),"Las Vegas")</f>
        <v>Las Vegas</v>
      </c>
      <c r="C32" s="3">
        <f>VLOOKUP($B32,rushes!$B:$D,3,false)</f>
        <v>24.3</v>
      </c>
      <c r="D32" s="3">
        <f>VLOOKUP($B32,td!$B:$D,3,false)</f>
        <v>2</v>
      </c>
      <c r="E32" s="3">
        <f>VLOOKUP($B32,yards!$B:$D,3,false)</f>
        <v>291</v>
      </c>
      <c r="F32" s="3">
        <f>VLOOKUP($B32,passing_yards!$B:$D,3,false)</f>
        <v>183</v>
      </c>
      <c r="G32" s="3">
        <f>VLOOKUP($B32,rush_yrds!$B:$D,3,false)</f>
        <v>108</v>
      </c>
      <c r="H32" s="4">
        <f t="shared" si="1"/>
        <v>21.945</v>
      </c>
    </row>
    <row r="33" ht="15.75" customHeight="1">
      <c r="A33" s="3">
        <f>VLOOKUP(B33,map!B:C,2,false)</f>
        <v>13</v>
      </c>
      <c r="B33" s="15" t="str">
        <f>IFERROR(__xludf.DUMMYFUNCTION("""COMPUTED_VALUE"""),"Seattle")</f>
        <v>Seattle</v>
      </c>
      <c r="C33" s="3">
        <f>VLOOKUP($B33,rushes!$B:$D,3,false)</f>
        <v>16.7</v>
      </c>
      <c r="D33" s="3">
        <f>VLOOKUP($B33,td!$B:$D,3,false)</f>
        <v>3</v>
      </c>
      <c r="E33" s="3">
        <f>VLOOKUP($B33,yards!$B:$D,3,false)</f>
        <v>402.3</v>
      </c>
      <c r="F33" s="3">
        <f>VLOOKUP($B33,passing_yards!$B:$D,3,false)</f>
        <v>306.7</v>
      </c>
      <c r="G33" s="3">
        <f>VLOOKUP($B33,rush_yrds!$B:$D,3,false)</f>
        <v>95.7</v>
      </c>
      <c r="H33" s="4">
        <f t="shared" si="1"/>
        <v>30.905</v>
      </c>
    </row>
    <row r="34" ht="15.75" customHeight="1">
      <c r="B34" s="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</hyperlinks>
  <printOptions/>
  <pageMargins bottom="0.75" footer="0.0" header="0.0" left="0.7" right="0.7" top="0.75"/>
  <pageSetup orientation="landscape"/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29</v>
      </c>
      <c r="B1" s="17" t="s">
        <v>16</v>
      </c>
      <c r="C1" s="18">
        <v>2024.0</v>
      </c>
      <c r="D1" s="19" t="s">
        <v>30</v>
      </c>
      <c r="E1" s="19" t="s">
        <v>31</v>
      </c>
      <c r="F1" s="18" t="s">
        <v>32</v>
      </c>
      <c r="G1" s="18" t="s">
        <v>33</v>
      </c>
      <c r="H1" s="18">
        <v>2023.0</v>
      </c>
    </row>
    <row r="2">
      <c r="A2" s="20">
        <v>1.0</v>
      </c>
      <c r="B2" s="21" t="s">
        <v>34</v>
      </c>
      <c r="C2" s="22">
        <v>34.8</v>
      </c>
      <c r="D2" s="22">
        <v>35.0</v>
      </c>
      <c r="E2" s="22">
        <v>37.0</v>
      </c>
      <c r="F2" s="22">
        <v>32.7</v>
      </c>
      <c r="G2" s="22">
        <v>37.0</v>
      </c>
      <c r="H2" s="22">
        <v>31.5</v>
      </c>
    </row>
    <row r="3">
      <c r="A3" s="20">
        <v>2.0</v>
      </c>
      <c r="B3" s="21" t="s">
        <v>35</v>
      </c>
      <c r="C3" s="22">
        <v>33.2</v>
      </c>
      <c r="D3" s="22">
        <v>30.3</v>
      </c>
      <c r="E3" s="22">
        <v>35.0</v>
      </c>
      <c r="F3" s="22">
        <v>28.5</v>
      </c>
      <c r="G3" s="22">
        <v>35.5</v>
      </c>
      <c r="H3" s="22">
        <v>28.3</v>
      </c>
    </row>
    <row r="4">
      <c r="A4" s="20">
        <v>3.0</v>
      </c>
      <c r="B4" s="21" t="s">
        <v>36</v>
      </c>
      <c r="C4" s="22">
        <v>33.0</v>
      </c>
      <c r="D4" s="22">
        <v>29.0</v>
      </c>
      <c r="E4" s="22">
        <v>38.0</v>
      </c>
      <c r="F4" s="22">
        <v>36.7</v>
      </c>
      <c r="G4" s="22">
        <v>29.3</v>
      </c>
      <c r="H4" s="22">
        <v>26.4</v>
      </c>
    </row>
    <row r="5">
      <c r="A5" s="20">
        <v>3.0</v>
      </c>
      <c r="B5" s="21" t="s">
        <v>37</v>
      </c>
      <c r="C5" s="22">
        <v>33.0</v>
      </c>
      <c r="D5" s="22">
        <v>35.7</v>
      </c>
      <c r="E5" s="22">
        <v>36.0</v>
      </c>
      <c r="F5" s="22">
        <v>28.7</v>
      </c>
      <c r="G5" s="22">
        <v>39.5</v>
      </c>
      <c r="H5" s="22">
        <v>29.0</v>
      </c>
    </row>
    <row r="6">
      <c r="A6" s="20">
        <v>5.0</v>
      </c>
      <c r="B6" s="21" t="s">
        <v>38</v>
      </c>
      <c r="C6" s="22">
        <v>31.3</v>
      </c>
      <c r="D6" s="22">
        <v>30.3</v>
      </c>
      <c r="E6" s="22">
        <v>33.0</v>
      </c>
      <c r="F6" s="22">
        <v>32.0</v>
      </c>
      <c r="G6" s="22">
        <v>30.7</v>
      </c>
      <c r="H6" s="22">
        <v>29.4</v>
      </c>
    </row>
    <row r="7">
      <c r="A7" s="20">
        <v>6.0</v>
      </c>
      <c r="B7" s="21" t="s">
        <v>39</v>
      </c>
      <c r="C7" s="22">
        <v>31.2</v>
      </c>
      <c r="D7" s="22">
        <v>27.0</v>
      </c>
      <c r="E7" s="22">
        <v>36.0</v>
      </c>
      <c r="F7" s="22">
        <v>36.5</v>
      </c>
      <c r="G7" s="22">
        <v>27.7</v>
      </c>
      <c r="H7" s="22">
        <v>29.2</v>
      </c>
    </row>
    <row r="8">
      <c r="A8" s="20">
        <v>7.0</v>
      </c>
      <c r="B8" s="21" t="s">
        <v>40</v>
      </c>
      <c r="C8" s="22">
        <v>31.0</v>
      </c>
      <c r="D8" s="22">
        <v>29.7</v>
      </c>
      <c r="E8" s="22">
        <v>18.0</v>
      </c>
      <c r="F8" s="22">
        <v>34.5</v>
      </c>
      <c r="G8" s="22">
        <v>29.3</v>
      </c>
      <c r="H8" s="22">
        <v>21.1</v>
      </c>
    </row>
    <row r="9">
      <c r="A9" s="20">
        <v>8.0</v>
      </c>
      <c r="B9" s="21" t="s">
        <v>41</v>
      </c>
      <c r="C9" s="22">
        <v>30.6</v>
      </c>
      <c r="D9" s="22">
        <v>27.3</v>
      </c>
      <c r="E9" s="22">
        <v>38.0</v>
      </c>
      <c r="F9" s="22">
        <v>25.5</v>
      </c>
      <c r="G9" s="22">
        <v>34.0</v>
      </c>
      <c r="H9" s="22">
        <v>25.4</v>
      </c>
    </row>
    <row r="10">
      <c r="A10" s="20">
        <v>9.0</v>
      </c>
      <c r="B10" s="21" t="s">
        <v>42</v>
      </c>
      <c r="C10" s="22">
        <v>30.0</v>
      </c>
      <c r="D10" s="22">
        <v>32.7</v>
      </c>
      <c r="E10" s="22">
        <v>39.0</v>
      </c>
      <c r="F10" s="22">
        <v>30.3</v>
      </c>
      <c r="G10" s="22">
        <v>29.5</v>
      </c>
      <c r="H10" s="22">
        <v>25.6</v>
      </c>
    </row>
    <row r="11">
      <c r="A11" s="20">
        <v>10.0</v>
      </c>
      <c r="B11" s="21" t="s">
        <v>43</v>
      </c>
      <c r="C11" s="22">
        <v>29.6</v>
      </c>
      <c r="D11" s="22">
        <v>29.7</v>
      </c>
      <c r="E11" s="22">
        <v>41.0</v>
      </c>
      <c r="F11" s="22">
        <v>29.7</v>
      </c>
      <c r="G11" s="22">
        <v>29.5</v>
      </c>
      <c r="H11" s="22">
        <v>26.3</v>
      </c>
    </row>
    <row r="12">
      <c r="A12" s="20">
        <v>11.0</v>
      </c>
      <c r="B12" s="21" t="s">
        <v>44</v>
      </c>
      <c r="C12" s="22">
        <v>29.0</v>
      </c>
      <c r="D12" s="22">
        <v>23.0</v>
      </c>
      <c r="E12" s="22">
        <v>21.0</v>
      </c>
      <c r="F12" s="22">
        <v>29.0</v>
      </c>
      <c r="G12" s="22">
        <v>29.0</v>
      </c>
      <c r="H12" s="22">
        <v>28.2</v>
      </c>
    </row>
    <row r="13">
      <c r="A13" s="20">
        <v>12.0</v>
      </c>
      <c r="B13" s="21" t="s">
        <v>45</v>
      </c>
      <c r="C13" s="22">
        <v>28.7</v>
      </c>
      <c r="D13" s="22">
        <v>28.0</v>
      </c>
      <c r="E13" s="22">
        <v>33.0</v>
      </c>
      <c r="F13" s="22">
        <v>31.0</v>
      </c>
      <c r="G13" s="22">
        <v>27.5</v>
      </c>
      <c r="H13" s="22">
        <v>30.8</v>
      </c>
    </row>
    <row r="14">
      <c r="A14" s="20">
        <v>13.0</v>
      </c>
      <c r="B14" s="21" t="s">
        <v>46</v>
      </c>
      <c r="C14" s="22">
        <v>28.4</v>
      </c>
      <c r="D14" s="22">
        <v>30.7</v>
      </c>
      <c r="E14" s="22">
        <v>30.0</v>
      </c>
      <c r="F14" s="22">
        <v>26.0</v>
      </c>
      <c r="G14" s="22">
        <v>30.0</v>
      </c>
      <c r="H14" s="22">
        <v>23.1</v>
      </c>
    </row>
    <row r="15">
      <c r="A15" s="20">
        <v>14.0</v>
      </c>
      <c r="B15" s="21" t="s">
        <v>47</v>
      </c>
      <c r="C15" s="22">
        <v>28.0</v>
      </c>
      <c r="D15" s="22">
        <v>32.0</v>
      </c>
      <c r="E15" s="22">
        <v>29.0</v>
      </c>
      <c r="F15" s="22">
        <v>29.7</v>
      </c>
      <c r="G15" s="22">
        <v>26.3</v>
      </c>
      <c r="H15" s="22">
        <v>31.4</v>
      </c>
    </row>
    <row r="16">
      <c r="A16" s="20">
        <v>15.0</v>
      </c>
      <c r="B16" s="21" t="s">
        <v>48</v>
      </c>
      <c r="C16" s="22">
        <v>27.3</v>
      </c>
      <c r="D16" s="22">
        <v>29.7</v>
      </c>
      <c r="E16" s="22">
        <v>31.0</v>
      </c>
      <c r="F16" s="22">
        <v>25.3</v>
      </c>
      <c r="G16" s="22">
        <v>29.3</v>
      </c>
      <c r="H16" s="22">
        <v>26.7</v>
      </c>
    </row>
    <row r="17">
      <c r="A17" s="20">
        <v>15.0</v>
      </c>
      <c r="B17" s="21" t="s">
        <v>49</v>
      </c>
      <c r="C17" s="22">
        <v>27.3</v>
      </c>
      <c r="D17" s="22">
        <v>27.0</v>
      </c>
      <c r="E17" s="22">
        <v>23.0</v>
      </c>
      <c r="F17" s="22">
        <v>30.0</v>
      </c>
      <c r="G17" s="22">
        <v>24.7</v>
      </c>
      <c r="H17" s="22">
        <v>27.7</v>
      </c>
    </row>
    <row r="18">
      <c r="A18" s="20">
        <v>17.0</v>
      </c>
      <c r="B18" s="21" t="s">
        <v>50</v>
      </c>
      <c r="C18" s="22">
        <v>26.6</v>
      </c>
      <c r="D18" s="22">
        <v>26.3</v>
      </c>
      <c r="E18" s="22">
        <v>28.0</v>
      </c>
      <c r="F18" s="22">
        <v>22.3</v>
      </c>
      <c r="G18" s="22">
        <v>33.0</v>
      </c>
      <c r="H18" s="22">
        <v>26.1</v>
      </c>
    </row>
    <row r="19">
      <c r="A19" s="20">
        <v>18.0</v>
      </c>
      <c r="B19" s="21" t="s">
        <v>51</v>
      </c>
      <c r="C19" s="22">
        <v>26.5</v>
      </c>
      <c r="D19" s="22">
        <v>23.0</v>
      </c>
      <c r="E19" s="22">
        <v>26.0</v>
      </c>
      <c r="F19" s="22">
        <v>27.0</v>
      </c>
      <c r="G19" s="22">
        <v>26.0</v>
      </c>
      <c r="H19" s="22">
        <v>24.4</v>
      </c>
    </row>
    <row r="20">
      <c r="A20" s="20">
        <v>19.0</v>
      </c>
      <c r="B20" s="21" t="s">
        <v>52</v>
      </c>
      <c r="C20" s="22">
        <v>26.3</v>
      </c>
      <c r="D20" s="22">
        <v>27.3</v>
      </c>
      <c r="E20" s="22">
        <v>28.0</v>
      </c>
      <c r="F20" s="22">
        <v>25.3</v>
      </c>
      <c r="G20" s="22">
        <v>27.3</v>
      </c>
      <c r="H20" s="22">
        <v>25.3</v>
      </c>
    </row>
    <row r="21">
      <c r="A21" s="20">
        <v>20.0</v>
      </c>
      <c r="B21" s="21" t="s">
        <v>53</v>
      </c>
      <c r="C21" s="22">
        <v>25.8</v>
      </c>
      <c r="D21" s="22">
        <v>28.7</v>
      </c>
      <c r="E21" s="22">
        <v>35.0</v>
      </c>
      <c r="F21" s="22">
        <v>23.7</v>
      </c>
      <c r="G21" s="22">
        <v>28.0</v>
      </c>
      <c r="H21" s="22">
        <v>25.4</v>
      </c>
    </row>
    <row r="22">
      <c r="A22" s="20">
        <v>21.0</v>
      </c>
      <c r="B22" s="21" t="s">
        <v>54</v>
      </c>
      <c r="C22" s="22">
        <v>25.5</v>
      </c>
      <c r="D22" s="22">
        <v>26.7</v>
      </c>
      <c r="E22" s="22">
        <v>28.0</v>
      </c>
      <c r="F22" s="22">
        <v>29.0</v>
      </c>
      <c r="G22" s="22">
        <v>22.0</v>
      </c>
      <c r="H22" s="22">
        <v>28.2</v>
      </c>
    </row>
    <row r="23">
      <c r="A23" s="20">
        <v>22.0</v>
      </c>
      <c r="B23" s="21" t="s">
        <v>55</v>
      </c>
      <c r="C23" s="22">
        <v>24.8</v>
      </c>
      <c r="D23" s="22">
        <v>25.7</v>
      </c>
      <c r="E23" s="22">
        <v>18.0</v>
      </c>
      <c r="F23" s="22">
        <v>21.7</v>
      </c>
      <c r="G23" s="22">
        <v>28.0</v>
      </c>
      <c r="H23" s="22">
        <v>26.5</v>
      </c>
    </row>
    <row r="24">
      <c r="A24" s="20">
        <v>23.0</v>
      </c>
      <c r="B24" s="21" t="s">
        <v>56</v>
      </c>
      <c r="C24" s="22">
        <v>24.6</v>
      </c>
      <c r="D24" s="22">
        <v>26.7</v>
      </c>
      <c r="E24" s="22">
        <v>28.0</v>
      </c>
      <c r="F24" s="22">
        <v>27.0</v>
      </c>
      <c r="G24" s="22">
        <v>23.0</v>
      </c>
      <c r="H24" s="22">
        <v>27.4</v>
      </c>
    </row>
    <row r="25">
      <c r="A25" s="20">
        <v>24.0</v>
      </c>
      <c r="B25" s="21" t="s">
        <v>57</v>
      </c>
      <c r="C25" s="22">
        <v>24.3</v>
      </c>
      <c r="D25" s="22">
        <v>23.7</v>
      </c>
      <c r="E25" s="22">
        <v>38.0</v>
      </c>
      <c r="F25" s="22">
        <v>20.0</v>
      </c>
      <c r="G25" s="22">
        <v>33.0</v>
      </c>
      <c r="H25" s="22">
        <v>30.7</v>
      </c>
    </row>
    <row r="26">
      <c r="A26" s="20">
        <v>25.0</v>
      </c>
      <c r="B26" s="21" t="s">
        <v>58</v>
      </c>
      <c r="C26" s="22">
        <v>23.5</v>
      </c>
      <c r="D26" s="22">
        <v>24.0</v>
      </c>
      <c r="E26" s="22">
        <v>24.0</v>
      </c>
      <c r="F26" s="22">
        <v>23.7</v>
      </c>
      <c r="G26" s="22">
        <v>23.3</v>
      </c>
      <c r="H26" s="22">
        <v>26.2</v>
      </c>
    </row>
    <row r="27">
      <c r="A27" s="20">
        <v>26.0</v>
      </c>
      <c r="B27" s="21" t="s">
        <v>59</v>
      </c>
      <c r="C27" s="22">
        <v>22.7</v>
      </c>
      <c r="D27" s="22">
        <v>23.3</v>
      </c>
      <c r="E27" s="22">
        <v>25.0</v>
      </c>
      <c r="F27" s="22">
        <v>18.5</v>
      </c>
      <c r="G27" s="22">
        <v>24.8</v>
      </c>
      <c r="H27" s="22">
        <v>29.9</v>
      </c>
    </row>
    <row r="28">
      <c r="A28" s="20">
        <v>27.0</v>
      </c>
      <c r="B28" s="21" t="s">
        <v>60</v>
      </c>
      <c r="C28" s="22">
        <v>22.3</v>
      </c>
      <c r="D28" s="22">
        <v>19.3</v>
      </c>
      <c r="E28" s="22">
        <v>21.0</v>
      </c>
      <c r="F28" s="22">
        <v>25.7</v>
      </c>
      <c r="G28" s="22">
        <v>19.0</v>
      </c>
      <c r="H28" s="22">
        <v>22.8</v>
      </c>
    </row>
    <row r="29">
      <c r="A29" s="20">
        <v>28.0</v>
      </c>
      <c r="B29" s="21" t="s">
        <v>61</v>
      </c>
      <c r="C29" s="22">
        <v>22.2</v>
      </c>
      <c r="D29" s="22">
        <v>23.7</v>
      </c>
      <c r="E29" s="22">
        <v>17.0</v>
      </c>
      <c r="F29" s="22">
        <v>18.0</v>
      </c>
      <c r="G29" s="22">
        <v>26.3</v>
      </c>
      <c r="H29" s="22">
        <v>27.4</v>
      </c>
    </row>
    <row r="30">
      <c r="A30" s="20">
        <v>29.0</v>
      </c>
      <c r="B30" s="21" t="s">
        <v>62</v>
      </c>
      <c r="C30" s="22">
        <v>22.0</v>
      </c>
      <c r="D30" s="22">
        <v>24.7</v>
      </c>
      <c r="E30" s="22">
        <v>20.0</v>
      </c>
      <c r="F30" s="22">
        <v>19.7</v>
      </c>
      <c r="G30" s="22">
        <v>24.3</v>
      </c>
      <c r="H30" s="22">
        <v>22.5</v>
      </c>
    </row>
    <row r="31">
      <c r="A31" s="20">
        <v>30.0</v>
      </c>
      <c r="B31" s="21" t="s">
        <v>63</v>
      </c>
      <c r="C31" s="22">
        <v>21.8</v>
      </c>
      <c r="D31" s="22">
        <v>22.3</v>
      </c>
      <c r="E31" s="22">
        <v>20.0</v>
      </c>
      <c r="F31" s="22">
        <v>22.0</v>
      </c>
      <c r="G31" s="22">
        <v>21.8</v>
      </c>
      <c r="H31" s="22">
        <v>26.6</v>
      </c>
    </row>
    <row r="32">
      <c r="A32" s="20">
        <v>31.0</v>
      </c>
      <c r="B32" s="21" t="s">
        <v>64</v>
      </c>
      <c r="C32" s="22">
        <v>21.3</v>
      </c>
      <c r="D32" s="22">
        <v>24.3</v>
      </c>
      <c r="E32" s="22">
        <v>19.0</v>
      </c>
      <c r="F32" s="22">
        <v>21.3</v>
      </c>
      <c r="G32" s="22">
        <v>21.3</v>
      </c>
      <c r="H32" s="22">
        <v>24.3</v>
      </c>
    </row>
    <row r="33">
      <c r="A33" s="20">
        <v>32.0</v>
      </c>
      <c r="B33" s="21" t="s">
        <v>65</v>
      </c>
      <c r="C33" s="22">
        <v>20.8</v>
      </c>
      <c r="D33" s="22">
        <v>16.7</v>
      </c>
      <c r="E33" s="22">
        <v>20.0</v>
      </c>
      <c r="F33" s="22">
        <v>21.8</v>
      </c>
      <c r="G33" s="22">
        <v>19.0</v>
      </c>
      <c r="H33" s="22">
        <v>22.5</v>
      </c>
    </row>
    <row r="34">
      <c r="A34" s="2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29</v>
      </c>
      <c r="B1" s="17" t="s">
        <v>16</v>
      </c>
      <c r="C1" s="18">
        <v>2024.0</v>
      </c>
      <c r="D1" s="19" t="s">
        <v>30</v>
      </c>
      <c r="E1" s="19" t="s">
        <v>31</v>
      </c>
      <c r="F1" s="18" t="s">
        <v>32</v>
      </c>
      <c r="G1" s="18" t="s">
        <v>33</v>
      </c>
      <c r="H1" s="18">
        <v>2023.0</v>
      </c>
    </row>
    <row r="2">
      <c r="A2" s="20">
        <v>1.0</v>
      </c>
      <c r="B2" s="21" t="s">
        <v>66</v>
      </c>
      <c r="C2" s="22">
        <v>3.6</v>
      </c>
      <c r="D2" s="22">
        <v>4.7</v>
      </c>
      <c r="E2" s="22">
        <v>5.0</v>
      </c>
      <c r="F2" s="22">
        <v>3.3</v>
      </c>
      <c r="G2" s="22">
        <v>4.0</v>
      </c>
      <c r="H2" s="22">
        <v>3.5</v>
      </c>
    </row>
    <row r="3">
      <c r="A3" s="20">
        <v>2.0</v>
      </c>
      <c r="B3" s="21" t="s">
        <v>67</v>
      </c>
      <c r="C3" s="22">
        <v>3.5</v>
      </c>
      <c r="D3" s="22">
        <v>4.7</v>
      </c>
      <c r="E3" s="22">
        <v>7.0</v>
      </c>
      <c r="F3" s="22">
        <v>3.0</v>
      </c>
      <c r="G3" s="22">
        <v>4.0</v>
      </c>
      <c r="H3" s="22">
        <v>2.3</v>
      </c>
    </row>
    <row r="4">
      <c r="A4" s="20">
        <v>2.0</v>
      </c>
      <c r="B4" s="21" t="s">
        <v>68</v>
      </c>
      <c r="C4" s="22">
        <v>3.5</v>
      </c>
      <c r="D4" s="22">
        <v>4.3</v>
      </c>
      <c r="E4" s="22">
        <v>3.0</v>
      </c>
      <c r="F4" s="22">
        <v>3.3</v>
      </c>
      <c r="G4" s="22">
        <v>3.7</v>
      </c>
      <c r="H4" s="22">
        <v>3.2</v>
      </c>
    </row>
    <row r="5">
      <c r="A5" s="20">
        <v>4.0</v>
      </c>
      <c r="B5" s="21" t="s">
        <v>69</v>
      </c>
      <c r="C5" s="22">
        <v>3.3</v>
      </c>
      <c r="D5" s="22">
        <v>2.7</v>
      </c>
      <c r="E5" s="22">
        <v>3.0</v>
      </c>
      <c r="F5" s="22">
        <v>3.0</v>
      </c>
      <c r="G5" s="22">
        <v>3.7</v>
      </c>
      <c r="H5" s="22">
        <v>2.6</v>
      </c>
    </row>
    <row r="6">
      <c r="A6" s="20">
        <v>4.0</v>
      </c>
      <c r="B6" s="21" t="s">
        <v>70</v>
      </c>
      <c r="C6" s="22">
        <v>3.3</v>
      </c>
      <c r="D6" s="22">
        <v>2.0</v>
      </c>
      <c r="E6" s="22">
        <v>3.0</v>
      </c>
      <c r="F6" s="22">
        <v>5.0</v>
      </c>
      <c r="G6" s="22">
        <v>2.5</v>
      </c>
      <c r="H6" s="22">
        <v>3.2</v>
      </c>
    </row>
    <row r="7">
      <c r="A7" s="20">
        <v>6.0</v>
      </c>
      <c r="B7" s="21" t="s">
        <v>71</v>
      </c>
      <c r="C7" s="22">
        <v>3.2</v>
      </c>
      <c r="D7" s="22">
        <v>3.3</v>
      </c>
      <c r="E7" s="22">
        <v>2.0</v>
      </c>
      <c r="F7" s="22">
        <v>3.0</v>
      </c>
      <c r="G7" s="22">
        <v>3.3</v>
      </c>
      <c r="H7" s="22">
        <v>2.3</v>
      </c>
    </row>
    <row r="8">
      <c r="A8" s="20">
        <v>7.0</v>
      </c>
      <c r="B8" s="21" t="s">
        <v>72</v>
      </c>
      <c r="C8" s="22">
        <v>3.2</v>
      </c>
      <c r="D8" s="22">
        <v>3.7</v>
      </c>
      <c r="E8" s="22">
        <v>2.0</v>
      </c>
      <c r="F8" s="22">
        <v>2.0</v>
      </c>
      <c r="G8" s="22">
        <v>3.8</v>
      </c>
      <c r="H8" s="22">
        <v>2.3</v>
      </c>
    </row>
    <row r="9">
      <c r="A9" s="20">
        <v>8.0</v>
      </c>
      <c r="B9" s="21" t="s">
        <v>73</v>
      </c>
      <c r="C9" s="22">
        <v>3.0</v>
      </c>
      <c r="D9" s="22">
        <v>4.3</v>
      </c>
      <c r="E9" s="22">
        <v>5.0</v>
      </c>
      <c r="F9" s="22">
        <v>3.3</v>
      </c>
      <c r="G9" s="22">
        <v>2.7</v>
      </c>
      <c r="H9" s="22">
        <v>2.2</v>
      </c>
    </row>
    <row r="10">
      <c r="A10" s="20">
        <v>8.0</v>
      </c>
      <c r="B10" s="21" t="s">
        <v>74</v>
      </c>
      <c r="C10" s="22">
        <v>3.0</v>
      </c>
      <c r="D10" s="22">
        <v>3.7</v>
      </c>
      <c r="E10" s="22">
        <v>4.0</v>
      </c>
      <c r="F10" s="22">
        <v>3.0</v>
      </c>
      <c r="G10" s="22">
        <v>3.0</v>
      </c>
      <c r="H10" s="22">
        <v>2.8</v>
      </c>
    </row>
    <row r="11">
      <c r="A11" s="20">
        <v>8.0</v>
      </c>
      <c r="B11" s="21" t="s">
        <v>75</v>
      </c>
      <c r="C11" s="22">
        <v>3.0</v>
      </c>
      <c r="D11" s="22">
        <v>3.7</v>
      </c>
      <c r="E11" s="22">
        <v>2.0</v>
      </c>
      <c r="F11" s="22">
        <v>3.3</v>
      </c>
      <c r="G11" s="22">
        <v>2.7</v>
      </c>
      <c r="H11" s="22">
        <v>2.4</v>
      </c>
    </row>
    <row r="12">
      <c r="A12" s="20">
        <v>11.0</v>
      </c>
      <c r="B12" s="21" t="s">
        <v>76</v>
      </c>
      <c r="C12" s="22">
        <v>2.8</v>
      </c>
      <c r="D12" s="22">
        <v>3.0</v>
      </c>
      <c r="E12" s="22">
        <v>2.0</v>
      </c>
      <c r="F12" s="22">
        <v>3.3</v>
      </c>
      <c r="G12" s="22">
        <v>2.3</v>
      </c>
      <c r="H12" s="22">
        <v>2.5</v>
      </c>
    </row>
    <row r="13">
      <c r="A13" s="20">
        <v>11.0</v>
      </c>
      <c r="B13" s="21" t="s">
        <v>77</v>
      </c>
      <c r="C13" s="22">
        <v>2.8</v>
      </c>
      <c r="D13" s="22">
        <v>3.0</v>
      </c>
      <c r="E13" s="22">
        <v>3.0</v>
      </c>
      <c r="F13" s="22">
        <v>2.8</v>
      </c>
      <c r="G13" s="22">
        <v>3.0</v>
      </c>
      <c r="H13" s="22">
        <v>2.2</v>
      </c>
    </row>
    <row r="14">
      <c r="A14" s="20">
        <v>13.0</v>
      </c>
      <c r="B14" s="21" t="s">
        <v>78</v>
      </c>
      <c r="C14" s="22">
        <v>2.7</v>
      </c>
      <c r="D14" s="22">
        <v>3.0</v>
      </c>
      <c r="E14" s="22">
        <v>4.0</v>
      </c>
      <c r="F14" s="22">
        <v>2.3</v>
      </c>
      <c r="G14" s="22">
        <v>3.0</v>
      </c>
      <c r="H14" s="22">
        <v>3.5</v>
      </c>
    </row>
    <row r="15">
      <c r="A15" s="20">
        <v>14.0</v>
      </c>
      <c r="B15" s="21" t="s">
        <v>79</v>
      </c>
      <c r="C15" s="22">
        <v>2.5</v>
      </c>
      <c r="D15" s="22">
        <v>3.3</v>
      </c>
      <c r="E15" s="22">
        <v>4.0</v>
      </c>
      <c r="F15" s="22">
        <v>2.3</v>
      </c>
      <c r="G15" s="22">
        <v>3.0</v>
      </c>
      <c r="H15" s="22">
        <v>1.9</v>
      </c>
    </row>
    <row r="16">
      <c r="A16" s="20">
        <v>14.0</v>
      </c>
      <c r="B16" s="21" t="s">
        <v>80</v>
      </c>
      <c r="C16" s="22">
        <v>2.5</v>
      </c>
      <c r="D16" s="22">
        <v>3.3</v>
      </c>
      <c r="E16" s="22">
        <v>5.0</v>
      </c>
      <c r="F16" s="22">
        <v>2.0</v>
      </c>
      <c r="G16" s="22">
        <v>3.0</v>
      </c>
      <c r="H16" s="22">
        <v>2.5</v>
      </c>
    </row>
    <row r="17">
      <c r="A17" s="20">
        <v>16.0</v>
      </c>
      <c r="B17" s="21" t="s">
        <v>81</v>
      </c>
      <c r="C17" s="22">
        <v>2.4</v>
      </c>
      <c r="D17" s="22">
        <v>2.0</v>
      </c>
      <c r="E17" s="22">
        <v>2.0</v>
      </c>
      <c r="F17" s="22">
        <v>2.7</v>
      </c>
      <c r="G17" s="22">
        <v>2.0</v>
      </c>
      <c r="H17" s="22">
        <v>2.3</v>
      </c>
    </row>
    <row r="18">
      <c r="A18" s="20">
        <v>16.0</v>
      </c>
      <c r="B18" s="21" t="s">
        <v>82</v>
      </c>
      <c r="C18" s="22">
        <v>2.4</v>
      </c>
      <c r="D18" s="22">
        <v>2.0</v>
      </c>
      <c r="E18" s="22">
        <v>2.0</v>
      </c>
      <c r="F18" s="22">
        <v>2.0</v>
      </c>
      <c r="G18" s="22">
        <v>2.7</v>
      </c>
      <c r="H18" s="22">
        <v>2.8</v>
      </c>
    </row>
    <row r="19">
      <c r="A19" s="20">
        <v>18.0</v>
      </c>
      <c r="B19" s="21" t="s">
        <v>83</v>
      </c>
      <c r="C19" s="22">
        <v>2.3</v>
      </c>
      <c r="D19" s="22">
        <v>1.7</v>
      </c>
      <c r="E19" s="22">
        <v>1.0</v>
      </c>
      <c r="F19" s="22">
        <v>2.7</v>
      </c>
      <c r="G19" s="22">
        <v>2.0</v>
      </c>
      <c r="H19" s="22">
        <v>2.1</v>
      </c>
    </row>
    <row r="20">
      <c r="A20" s="20">
        <v>19.0</v>
      </c>
      <c r="B20" s="21" t="s">
        <v>84</v>
      </c>
      <c r="C20" s="22">
        <v>2.2</v>
      </c>
      <c r="D20" s="22">
        <v>1.3</v>
      </c>
      <c r="E20" s="22">
        <v>2.0</v>
      </c>
      <c r="F20" s="22">
        <v>1.7</v>
      </c>
      <c r="G20" s="22">
        <v>2.7</v>
      </c>
      <c r="H20" s="22">
        <v>1.3</v>
      </c>
    </row>
    <row r="21">
      <c r="A21" s="20">
        <v>20.0</v>
      </c>
      <c r="B21" s="21" t="s">
        <v>85</v>
      </c>
      <c r="C21" s="22">
        <v>2.0</v>
      </c>
      <c r="D21" s="22">
        <v>2.0</v>
      </c>
      <c r="E21" s="22">
        <v>2.0</v>
      </c>
      <c r="F21" s="22">
        <v>2.3</v>
      </c>
      <c r="G21" s="22">
        <v>1.7</v>
      </c>
      <c r="H21" s="22">
        <v>2.1</v>
      </c>
    </row>
    <row r="22">
      <c r="A22" s="20">
        <v>20.0</v>
      </c>
      <c r="B22" s="21" t="s">
        <v>86</v>
      </c>
      <c r="C22" s="22">
        <v>2.0</v>
      </c>
      <c r="D22" s="22">
        <v>2.7</v>
      </c>
      <c r="E22" s="22">
        <v>2.0</v>
      </c>
      <c r="F22" s="22">
        <v>2.5</v>
      </c>
      <c r="G22" s="22">
        <v>1.8</v>
      </c>
      <c r="H22" s="22">
        <v>2.4</v>
      </c>
    </row>
    <row r="23">
      <c r="A23" s="20">
        <v>20.0</v>
      </c>
      <c r="B23" s="21" t="s">
        <v>87</v>
      </c>
      <c r="C23" s="22">
        <v>2.0</v>
      </c>
      <c r="D23" s="22">
        <v>2.0</v>
      </c>
      <c r="E23" s="22">
        <v>2.0</v>
      </c>
      <c r="F23" s="22">
        <v>2.0</v>
      </c>
      <c r="G23" s="22">
        <v>2.0</v>
      </c>
      <c r="H23" s="22">
        <v>1.8</v>
      </c>
    </row>
    <row r="24">
      <c r="A24" s="20">
        <v>20.0</v>
      </c>
      <c r="B24" s="21" t="s">
        <v>88</v>
      </c>
      <c r="C24" s="22">
        <v>2.0</v>
      </c>
      <c r="D24" s="22">
        <v>2.3</v>
      </c>
      <c r="E24" s="22">
        <v>3.0</v>
      </c>
      <c r="F24" s="22">
        <v>3.0</v>
      </c>
      <c r="G24" s="22">
        <v>1.3</v>
      </c>
      <c r="H24" s="22">
        <v>2.6</v>
      </c>
    </row>
    <row r="25">
      <c r="A25" s="20">
        <v>24.0</v>
      </c>
      <c r="B25" s="21" t="s">
        <v>89</v>
      </c>
      <c r="C25" s="22">
        <v>1.8</v>
      </c>
      <c r="D25" s="22">
        <v>1.3</v>
      </c>
      <c r="E25" s="22">
        <v>0.0</v>
      </c>
      <c r="F25" s="22">
        <v>1.3</v>
      </c>
      <c r="G25" s="22">
        <v>2.3</v>
      </c>
      <c r="H25" s="22">
        <v>3.4</v>
      </c>
    </row>
    <row r="26">
      <c r="A26" s="20">
        <v>24.0</v>
      </c>
      <c r="B26" s="21" t="s">
        <v>90</v>
      </c>
      <c r="C26" s="22">
        <v>1.8</v>
      </c>
      <c r="D26" s="22">
        <v>2.7</v>
      </c>
      <c r="E26" s="22">
        <v>3.0</v>
      </c>
      <c r="F26" s="22">
        <v>2.0</v>
      </c>
      <c r="G26" s="22">
        <v>1.8</v>
      </c>
      <c r="H26" s="22">
        <v>1.8</v>
      </c>
    </row>
    <row r="27">
      <c r="A27" s="20">
        <v>24.0</v>
      </c>
      <c r="B27" s="21" t="s">
        <v>91</v>
      </c>
      <c r="C27" s="22">
        <v>1.8</v>
      </c>
      <c r="D27" s="22">
        <v>2.0</v>
      </c>
      <c r="E27" s="22">
        <v>2.0</v>
      </c>
      <c r="F27" s="22">
        <v>1.7</v>
      </c>
      <c r="G27" s="22">
        <v>2.0</v>
      </c>
      <c r="H27" s="22">
        <v>1.4</v>
      </c>
    </row>
    <row r="28">
      <c r="A28" s="20">
        <v>27.0</v>
      </c>
      <c r="B28" s="21" t="s">
        <v>92</v>
      </c>
      <c r="C28" s="22">
        <v>1.8</v>
      </c>
      <c r="D28" s="22">
        <v>1.3</v>
      </c>
      <c r="E28" s="22">
        <v>2.0</v>
      </c>
      <c r="F28" s="22">
        <v>1.5</v>
      </c>
      <c r="G28" s="22">
        <v>2.0</v>
      </c>
      <c r="H28" s="22">
        <v>2.1</v>
      </c>
    </row>
    <row r="29">
      <c r="A29" s="20">
        <v>28.0</v>
      </c>
      <c r="B29" s="21" t="s">
        <v>93</v>
      </c>
      <c r="C29" s="22">
        <v>1.7</v>
      </c>
      <c r="D29" s="22">
        <v>2.3</v>
      </c>
      <c r="E29" s="22">
        <v>2.0</v>
      </c>
      <c r="F29" s="22">
        <v>2.0</v>
      </c>
      <c r="G29" s="22">
        <v>1.3</v>
      </c>
      <c r="H29" s="22">
        <v>2.2</v>
      </c>
    </row>
    <row r="30">
      <c r="A30" s="20">
        <v>28.0</v>
      </c>
      <c r="B30" s="21" t="s">
        <v>94</v>
      </c>
      <c r="C30" s="22">
        <v>1.7</v>
      </c>
      <c r="D30" s="22">
        <v>1.3</v>
      </c>
      <c r="E30" s="22">
        <v>1.0</v>
      </c>
      <c r="F30" s="22">
        <v>0.3</v>
      </c>
      <c r="G30" s="22">
        <v>3.0</v>
      </c>
      <c r="H30" s="22">
        <v>1.7</v>
      </c>
    </row>
    <row r="31">
      <c r="A31" s="20">
        <v>30.0</v>
      </c>
      <c r="B31" s="21" t="s">
        <v>95</v>
      </c>
      <c r="C31" s="22">
        <v>1.5</v>
      </c>
      <c r="D31" s="22">
        <v>1.3</v>
      </c>
      <c r="E31" s="22">
        <v>1.0</v>
      </c>
      <c r="F31" s="22">
        <v>2.0</v>
      </c>
      <c r="G31" s="22">
        <v>1.3</v>
      </c>
      <c r="H31" s="22">
        <v>2.4</v>
      </c>
    </row>
    <row r="32">
      <c r="A32" s="20">
        <v>31.0</v>
      </c>
      <c r="B32" s="21" t="s">
        <v>96</v>
      </c>
      <c r="C32" s="22">
        <v>1.3</v>
      </c>
      <c r="D32" s="22">
        <v>1.7</v>
      </c>
      <c r="E32" s="22">
        <v>3.0</v>
      </c>
      <c r="F32" s="22">
        <v>2.0</v>
      </c>
      <c r="G32" s="22">
        <v>0.7</v>
      </c>
      <c r="H32" s="22">
        <v>1.6</v>
      </c>
    </row>
    <row r="33">
      <c r="A33" s="20">
        <v>32.0</v>
      </c>
      <c r="B33" s="21" t="s">
        <v>97</v>
      </c>
      <c r="C33" s="22">
        <v>1.0</v>
      </c>
      <c r="D33" s="22">
        <v>0.7</v>
      </c>
      <c r="E33" s="22">
        <v>1.0</v>
      </c>
      <c r="F33" s="22">
        <v>1.3</v>
      </c>
      <c r="G33" s="22">
        <v>0.5</v>
      </c>
      <c r="H33" s="22">
        <v>3.4</v>
      </c>
    </row>
    <row r="34">
      <c r="A34" s="2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29</v>
      </c>
      <c r="B1" s="25" t="s">
        <v>16</v>
      </c>
      <c r="C1" s="26">
        <v>2024.0</v>
      </c>
      <c r="D1" s="27" t="s">
        <v>30</v>
      </c>
      <c r="E1" s="27" t="s">
        <v>31</v>
      </c>
      <c r="F1" s="26" t="s">
        <v>32</v>
      </c>
      <c r="G1" s="26" t="s">
        <v>33</v>
      </c>
      <c r="H1" s="26">
        <v>2023.0</v>
      </c>
    </row>
    <row r="2">
      <c r="A2" s="28">
        <v>1.0</v>
      </c>
      <c r="B2" s="29" t="s">
        <v>98</v>
      </c>
      <c r="C2" s="30">
        <v>453.7</v>
      </c>
      <c r="D2" s="30">
        <v>477.0</v>
      </c>
      <c r="E2" s="30">
        <v>484.0</v>
      </c>
      <c r="F2" s="30">
        <v>431.3</v>
      </c>
      <c r="G2" s="30">
        <v>476.0</v>
      </c>
      <c r="H2" s="30">
        <v>367.6</v>
      </c>
    </row>
    <row r="3">
      <c r="A3" s="28">
        <v>2.0</v>
      </c>
      <c r="B3" s="29" t="s">
        <v>99</v>
      </c>
      <c r="C3" s="30">
        <v>420.0</v>
      </c>
      <c r="D3" s="30">
        <v>432.7</v>
      </c>
      <c r="E3" s="30">
        <v>483.0</v>
      </c>
      <c r="F3" s="30">
        <v>405.3</v>
      </c>
      <c r="G3" s="30">
        <v>434.7</v>
      </c>
      <c r="H3" s="30">
        <v>396.2</v>
      </c>
    </row>
    <row r="4">
      <c r="A4" s="28">
        <v>3.0</v>
      </c>
      <c r="B4" s="29" t="s">
        <v>100</v>
      </c>
      <c r="C4" s="30">
        <v>416.0</v>
      </c>
      <c r="D4" s="30">
        <v>418.0</v>
      </c>
      <c r="E4" s="30">
        <v>492.0</v>
      </c>
      <c r="F4" s="30">
        <v>405.0</v>
      </c>
      <c r="G4" s="30">
        <v>432.5</v>
      </c>
      <c r="H4" s="30">
        <v>394.0</v>
      </c>
    </row>
    <row r="5">
      <c r="A5" s="28">
        <v>4.0</v>
      </c>
      <c r="B5" s="29" t="s">
        <v>101</v>
      </c>
      <c r="C5" s="30">
        <v>400.0</v>
      </c>
      <c r="D5" s="30">
        <v>408.3</v>
      </c>
      <c r="E5" s="30">
        <v>437.0</v>
      </c>
      <c r="F5" s="30">
        <v>428.3</v>
      </c>
      <c r="G5" s="30">
        <v>371.7</v>
      </c>
      <c r="H5" s="30">
        <v>348.3</v>
      </c>
    </row>
    <row r="6">
      <c r="A6" s="28">
        <v>5.0</v>
      </c>
      <c r="B6" s="29" t="s">
        <v>102</v>
      </c>
      <c r="C6" s="30">
        <v>378.0</v>
      </c>
      <c r="D6" s="30">
        <v>396.0</v>
      </c>
      <c r="E6" s="30">
        <v>305.0</v>
      </c>
      <c r="F6" s="30">
        <v>429.5</v>
      </c>
      <c r="G6" s="30">
        <v>352.3</v>
      </c>
      <c r="H6" s="30">
        <v>312.8</v>
      </c>
    </row>
    <row r="7">
      <c r="A7" s="28">
        <v>6.0</v>
      </c>
      <c r="B7" s="29" t="s">
        <v>103</v>
      </c>
      <c r="C7" s="30">
        <v>375.2</v>
      </c>
      <c r="D7" s="30">
        <v>409.3</v>
      </c>
      <c r="E7" s="30">
        <v>368.0</v>
      </c>
      <c r="F7" s="30">
        <v>390.0</v>
      </c>
      <c r="G7" s="30">
        <v>360.3</v>
      </c>
      <c r="H7" s="30">
        <v>336.3</v>
      </c>
    </row>
    <row r="8">
      <c r="A8" s="28">
        <v>7.0</v>
      </c>
      <c r="B8" s="29" t="s">
        <v>104</v>
      </c>
      <c r="C8" s="30">
        <v>373.2</v>
      </c>
      <c r="D8" s="30">
        <v>402.3</v>
      </c>
      <c r="E8" s="30">
        <v>358.0</v>
      </c>
      <c r="F8" s="30">
        <v>341.3</v>
      </c>
      <c r="G8" s="30">
        <v>437.0</v>
      </c>
      <c r="H8" s="30">
        <v>322.9</v>
      </c>
    </row>
    <row r="9">
      <c r="A9" s="28">
        <v>8.0</v>
      </c>
      <c r="B9" s="29" t="s">
        <v>105</v>
      </c>
      <c r="C9" s="30">
        <v>368.3</v>
      </c>
      <c r="D9" s="30">
        <v>429.3</v>
      </c>
      <c r="E9" s="30">
        <v>423.0</v>
      </c>
      <c r="F9" s="30">
        <v>350.5</v>
      </c>
      <c r="G9" s="30">
        <v>404.0</v>
      </c>
      <c r="H9" s="30">
        <v>334.3</v>
      </c>
    </row>
    <row r="10">
      <c r="A10" s="28">
        <v>9.0</v>
      </c>
      <c r="B10" s="29" t="s">
        <v>106</v>
      </c>
      <c r="C10" s="30">
        <v>367.2</v>
      </c>
      <c r="D10" s="30">
        <v>457.3</v>
      </c>
      <c r="E10" s="30">
        <v>594.0</v>
      </c>
      <c r="F10" s="30">
        <v>353.3</v>
      </c>
      <c r="G10" s="30">
        <v>381.0</v>
      </c>
      <c r="H10" s="30">
        <v>323.9</v>
      </c>
    </row>
    <row r="11">
      <c r="A11" s="28">
        <v>10.0</v>
      </c>
      <c r="B11" s="29" t="s">
        <v>107</v>
      </c>
      <c r="C11" s="30">
        <v>366.8</v>
      </c>
      <c r="D11" s="30">
        <v>353.0</v>
      </c>
      <c r="E11" s="30">
        <v>372.0</v>
      </c>
      <c r="F11" s="30">
        <v>368.5</v>
      </c>
      <c r="G11" s="30">
        <v>365.7</v>
      </c>
      <c r="H11" s="30">
        <v>350.0</v>
      </c>
    </row>
    <row r="12">
      <c r="A12" s="28">
        <v>11.0</v>
      </c>
      <c r="B12" s="29" t="s">
        <v>108</v>
      </c>
      <c r="C12" s="30">
        <v>354.6</v>
      </c>
      <c r="D12" s="30">
        <v>378.0</v>
      </c>
      <c r="E12" s="30">
        <v>460.0</v>
      </c>
      <c r="F12" s="30">
        <v>366.3</v>
      </c>
      <c r="G12" s="30">
        <v>337.0</v>
      </c>
      <c r="H12" s="30">
        <v>357.9</v>
      </c>
    </row>
    <row r="13">
      <c r="A13" s="28">
        <v>12.0</v>
      </c>
      <c r="B13" s="29" t="s">
        <v>109</v>
      </c>
      <c r="C13" s="30">
        <v>349.8</v>
      </c>
      <c r="D13" s="30">
        <v>373.0</v>
      </c>
      <c r="E13" s="30">
        <v>304.0</v>
      </c>
      <c r="F13" s="30">
        <v>367.3</v>
      </c>
      <c r="G13" s="30">
        <v>332.3</v>
      </c>
      <c r="H13" s="30">
        <v>318.9</v>
      </c>
    </row>
    <row r="14">
      <c r="A14" s="28">
        <v>13.0</v>
      </c>
      <c r="B14" s="29" t="s">
        <v>110</v>
      </c>
      <c r="C14" s="30">
        <v>336.8</v>
      </c>
      <c r="D14" s="30">
        <v>358.0</v>
      </c>
      <c r="E14" s="30">
        <v>269.0</v>
      </c>
      <c r="F14" s="30">
        <v>322.3</v>
      </c>
      <c r="G14" s="30">
        <v>351.3</v>
      </c>
      <c r="H14" s="30">
        <v>336.8</v>
      </c>
    </row>
    <row r="15">
      <c r="A15" s="28">
        <v>14.0</v>
      </c>
      <c r="B15" s="29" t="s">
        <v>111</v>
      </c>
      <c r="C15" s="30">
        <v>336.5</v>
      </c>
      <c r="D15" s="30">
        <v>329.7</v>
      </c>
      <c r="E15" s="30">
        <v>251.0</v>
      </c>
      <c r="F15" s="30">
        <v>338.7</v>
      </c>
      <c r="G15" s="30">
        <v>334.3</v>
      </c>
      <c r="H15" s="30">
        <v>379.3</v>
      </c>
    </row>
    <row r="16">
      <c r="A16" s="28">
        <v>15.0</v>
      </c>
      <c r="B16" s="29" t="s">
        <v>112</v>
      </c>
      <c r="C16" s="30">
        <v>332.2</v>
      </c>
      <c r="D16" s="30">
        <v>319.0</v>
      </c>
      <c r="E16" s="30">
        <v>303.0</v>
      </c>
      <c r="F16" s="30">
        <v>354.0</v>
      </c>
      <c r="G16" s="30">
        <v>310.3</v>
      </c>
      <c r="H16" s="30">
        <v>324.1</v>
      </c>
    </row>
    <row r="17">
      <c r="A17" s="28">
        <v>16.0</v>
      </c>
      <c r="B17" s="29" t="s">
        <v>113</v>
      </c>
      <c r="C17" s="30">
        <v>324.0</v>
      </c>
      <c r="D17" s="30">
        <v>329.3</v>
      </c>
      <c r="E17" s="30">
        <v>370.0</v>
      </c>
      <c r="F17" s="30">
        <v>333.0</v>
      </c>
      <c r="G17" s="30">
        <v>318.0</v>
      </c>
      <c r="H17" s="30">
        <v>362.9</v>
      </c>
    </row>
    <row r="18">
      <c r="A18" s="28">
        <v>17.0</v>
      </c>
      <c r="B18" s="29" t="s">
        <v>114</v>
      </c>
      <c r="C18" s="30">
        <v>323.2</v>
      </c>
      <c r="D18" s="30">
        <v>300.3</v>
      </c>
      <c r="E18" s="30">
        <v>253.0</v>
      </c>
      <c r="F18" s="30">
        <v>338.5</v>
      </c>
      <c r="G18" s="30">
        <v>313.0</v>
      </c>
      <c r="H18" s="30">
        <v>347.8</v>
      </c>
    </row>
    <row r="19">
      <c r="A19" s="28">
        <v>18.0</v>
      </c>
      <c r="B19" s="29" t="s">
        <v>115</v>
      </c>
      <c r="C19" s="30">
        <v>319.8</v>
      </c>
      <c r="D19" s="30">
        <v>296.3</v>
      </c>
      <c r="E19" s="30">
        <v>303.0</v>
      </c>
      <c r="F19" s="30">
        <v>300.3</v>
      </c>
      <c r="G19" s="30">
        <v>339.3</v>
      </c>
      <c r="H19" s="30">
        <v>337.2</v>
      </c>
    </row>
    <row r="20">
      <c r="A20" s="28">
        <v>19.0</v>
      </c>
      <c r="B20" s="29" t="s">
        <v>116</v>
      </c>
      <c r="C20" s="30">
        <v>319.5</v>
      </c>
      <c r="D20" s="30">
        <v>362.7</v>
      </c>
      <c r="E20" s="30">
        <v>278.0</v>
      </c>
      <c r="F20" s="30">
        <v>410.0</v>
      </c>
      <c r="G20" s="30">
        <v>274.3</v>
      </c>
      <c r="H20" s="30">
        <v>339.5</v>
      </c>
    </row>
    <row r="21">
      <c r="A21" s="28">
        <v>20.0</v>
      </c>
      <c r="B21" s="29" t="s">
        <v>117</v>
      </c>
      <c r="C21" s="30">
        <v>319.3</v>
      </c>
      <c r="D21" s="30">
        <v>344.0</v>
      </c>
      <c r="E21" s="30">
        <v>309.0</v>
      </c>
      <c r="F21" s="30">
        <v>284.0</v>
      </c>
      <c r="G21" s="30">
        <v>354.7</v>
      </c>
      <c r="H21" s="30">
        <v>280.0</v>
      </c>
    </row>
    <row r="22">
      <c r="A22" s="28">
        <v>21.0</v>
      </c>
      <c r="B22" s="29" t="s">
        <v>118</v>
      </c>
      <c r="C22" s="30">
        <v>309.7</v>
      </c>
      <c r="D22" s="30">
        <v>290.3</v>
      </c>
      <c r="E22" s="30">
        <v>359.0</v>
      </c>
      <c r="F22" s="30">
        <v>370.0</v>
      </c>
      <c r="G22" s="30">
        <v>279.5</v>
      </c>
      <c r="H22" s="30">
        <v>373.8</v>
      </c>
    </row>
    <row r="23">
      <c r="A23" s="28">
        <v>22.0</v>
      </c>
      <c r="B23" s="29" t="s">
        <v>119</v>
      </c>
      <c r="C23" s="30">
        <v>304.3</v>
      </c>
      <c r="D23" s="30">
        <v>298.3</v>
      </c>
      <c r="E23" s="30">
        <v>393.0</v>
      </c>
      <c r="F23" s="30">
        <v>347.0</v>
      </c>
      <c r="G23" s="30">
        <v>261.7</v>
      </c>
      <c r="H23" s="30">
        <v>268.6</v>
      </c>
    </row>
    <row r="24">
      <c r="A24" s="28">
        <v>23.0</v>
      </c>
      <c r="B24" s="29" t="s">
        <v>120</v>
      </c>
      <c r="C24" s="30">
        <v>302.4</v>
      </c>
      <c r="D24" s="30">
        <v>253.7</v>
      </c>
      <c r="E24" s="30">
        <v>372.0</v>
      </c>
      <c r="F24" s="30">
        <v>311.7</v>
      </c>
      <c r="G24" s="30">
        <v>288.5</v>
      </c>
      <c r="H24" s="30">
        <v>393.7</v>
      </c>
    </row>
    <row r="25">
      <c r="A25" s="28">
        <v>24.0</v>
      </c>
      <c r="B25" s="29" t="s">
        <v>121</v>
      </c>
      <c r="C25" s="30">
        <v>301.5</v>
      </c>
      <c r="D25" s="30">
        <v>353.7</v>
      </c>
      <c r="E25" s="30">
        <v>373.0</v>
      </c>
      <c r="F25" s="30">
        <v>278.7</v>
      </c>
      <c r="G25" s="30">
        <v>324.3</v>
      </c>
      <c r="H25" s="30">
        <v>323.2</v>
      </c>
    </row>
    <row r="26">
      <c r="A26" s="28">
        <v>25.0</v>
      </c>
      <c r="B26" s="29" t="s">
        <v>122</v>
      </c>
      <c r="C26" s="30">
        <v>298.5</v>
      </c>
      <c r="D26" s="30">
        <v>334.0</v>
      </c>
      <c r="E26" s="30">
        <v>335.0</v>
      </c>
      <c r="F26" s="30">
        <v>289.7</v>
      </c>
      <c r="G26" s="30">
        <v>307.3</v>
      </c>
      <c r="H26" s="30">
        <v>265.3</v>
      </c>
    </row>
    <row r="27">
      <c r="A27" s="28">
        <v>26.0</v>
      </c>
      <c r="B27" s="29" t="s">
        <v>123</v>
      </c>
      <c r="C27" s="30">
        <v>298.3</v>
      </c>
      <c r="D27" s="30">
        <v>307.7</v>
      </c>
      <c r="E27" s="30">
        <v>293.0</v>
      </c>
      <c r="F27" s="30">
        <v>286.0</v>
      </c>
      <c r="G27" s="30">
        <v>304.5</v>
      </c>
      <c r="H27" s="30">
        <v>305.4</v>
      </c>
    </row>
    <row r="28">
      <c r="A28" s="28">
        <v>27.0</v>
      </c>
      <c r="B28" s="29" t="s">
        <v>124</v>
      </c>
      <c r="C28" s="30">
        <v>293.3</v>
      </c>
      <c r="D28" s="30">
        <v>291.0</v>
      </c>
      <c r="E28" s="30">
        <v>275.0</v>
      </c>
      <c r="F28" s="30">
        <v>291.3</v>
      </c>
      <c r="G28" s="30">
        <v>295.3</v>
      </c>
      <c r="H28" s="30">
        <v>289.5</v>
      </c>
    </row>
    <row r="29">
      <c r="A29" s="28">
        <v>28.0</v>
      </c>
      <c r="B29" s="29" t="s">
        <v>125</v>
      </c>
      <c r="C29" s="30">
        <v>281.0</v>
      </c>
      <c r="D29" s="30">
        <v>246.7</v>
      </c>
      <c r="E29" s="30">
        <v>350.0</v>
      </c>
      <c r="F29" s="30">
        <v>270.0</v>
      </c>
      <c r="G29" s="30">
        <v>288.3</v>
      </c>
      <c r="H29" s="30">
        <v>329.4</v>
      </c>
    </row>
    <row r="30">
      <c r="A30" s="28">
        <v>29.0</v>
      </c>
      <c r="B30" s="29" t="s">
        <v>126</v>
      </c>
      <c r="C30" s="30">
        <v>278.2</v>
      </c>
      <c r="D30" s="30">
        <v>263.7</v>
      </c>
      <c r="E30" s="30">
        <v>316.0</v>
      </c>
      <c r="F30" s="30">
        <v>300.0</v>
      </c>
      <c r="G30" s="30">
        <v>256.3</v>
      </c>
      <c r="H30" s="30">
        <v>298.4</v>
      </c>
    </row>
    <row r="31">
      <c r="A31" s="28">
        <v>30.0</v>
      </c>
      <c r="B31" s="29" t="s">
        <v>127</v>
      </c>
      <c r="C31" s="30">
        <v>257.5</v>
      </c>
      <c r="D31" s="30">
        <v>268.7</v>
      </c>
      <c r="E31" s="30">
        <v>291.0</v>
      </c>
      <c r="F31" s="30">
        <v>300.0</v>
      </c>
      <c r="G31" s="30">
        <v>215.0</v>
      </c>
      <c r="H31" s="30">
        <v>276.2</v>
      </c>
    </row>
    <row r="32">
      <c r="A32" s="28">
        <v>31.0</v>
      </c>
      <c r="B32" s="29" t="s">
        <v>128</v>
      </c>
      <c r="C32" s="30">
        <v>253.2</v>
      </c>
      <c r="D32" s="30">
        <v>240.7</v>
      </c>
      <c r="E32" s="30">
        <v>241.0</v>
      </c>
      <c r="F32" s="30">
        <v>259.3</v>
      </c>
      <c r="G32" s="30">
        <v>244.0</v>
      </c>
      <c r="H32" s="30">
        <v>289.0</v>
      </c>
    </row>
    <row r="33">
      <c r="A33" s="28">
        <v>32.0</v>
      </c>
      <c r="B33" s="29" t="s">
        <v>129</v>
      </c>
      <c r="C33" s="30">
        <v>240.2</v>
      </c>
      <c r="D33" s="30">
        <v>232.3</v>
      </c>
      <c r="E33" s="30">
        <v>244.0</v>
      </c>
      <c r="F33" s="30">
        <v>223.5</v>
      </c>
      <c r="G33" s="30">
        <v>248.5</v>
      </c>
      <c r="H33" s="30">
        <v>335.2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29</v>
      </c>
      <c r="B1" s="17" t="s">
        <v>16</v>
      </c>
      <c r="C1" s="18">
        <v>2024.0</v>
      </c>
      <c r="D1" s="19" t="s">
        <v>30</v>
      </c>
      <c r="E1" s="19" t="s">
        <v>31</v>
      </c>
      <c r="F1" s="18" t="s">
        <v>32</v>
      </c>
      <c r="G1" s="18" t="s">
        <v>33</v>
      </c>
      <c r="H1" s="18">
        <v>2023.0</v>
      </c>
    </row>
    <row r="2">
      <c r="A2" s="20">
        <v>1.0</v>
      </c>
      <c r="B2" s="21" t="s">
        <v>130</v>
      </c>
      <c r="C2" s="22">
        <v>276.7</v>
      </c>
      <c r="D2" s="22">
        <v>306.7</v>
      </c>
      <c r="E2" s="22">
        <v>306.0</v>
      </c>
      <c r="F2" s="22">
        <v>241.3</v>
      </c>
      <c r="G2" s="22">
        <v>347.5</v>
      </c>
      <c r="H2" s="22">
        <v>230.0</v>
      </c>
    </row>
    <row r="3">
      <c r="A3" s="20">
        <v>2.0</v>
      </c>
      <c r="B3" s="21" t="s">
        <v>131</v>
      </c>
      <c r="C3" s="22">
        <v>262.0</v>
      </c>
      <c r="D3" s="22">
        <v>256.3</v>
      </c>
      <c r="E3" s="22">
        <v>255.0</v>
      </c>
      <c r="F3" s="22">
        <v>245.0</v>
      </c>
      <c r="G3" s="22">
        <v>279.0</v>
      </c>
      <c r="H3" s="22">
        <v>258.0</v>
      </c>
    </row>
    <row r="4">
      <c r="A4" s="20">
        <v>3.0</v>
      </c>
      <c r="B4" s="21" t="s">
        <v>132</v>
      </c>
      <c r="C4" s="22">
        <v>259.3</v>
      </c>
      <c r="D4" s="22">
        <v>249.0</v>
      </c>
      <c r="E4" s="22">
        <v>198.0</v>
      </c>
      <c r="F4" s="22">
        <v>281.3</v>
      </c>
      <c r="G4" s="22">
        <v>237.3</v>
      </c>
      <c r="H4" s="22">
        <v>265.8</v>
      </c>
    </row>
    <row r="5">
      <c r="A5" s="20">
        <v>4.0</v>
      </c>
      <c r="B5" s="21" t="s">
        <v>133</v>
      </c>
      <c r="C5" s="22">
        <v>258.2</v>
      </c>
      <c r="D5" s="22">
        <v>255.7</v>
      </c>
      <c r="E5" s="22">
        <v>308.0</v>
      </c>
      <c r="F5" s="22">
        <v>265.7</v>
      </c>
      <c r="G5" s="22">
        <v>247.0</v>
      </c>
      <c r="H5" s="22">
        <v>259.7</v>
      </c>
    </row>
    <row r="6">
      <c r="A6" s="20">
        <v>5.0</v>
      </c>
      <c r="B6" s="21" t="s">
        <v>134</v>
      </c>
      <c r="C6" s="22">
        <v>256.3</v>
      </c>
      <c r="D6" s="22">
        <v>280.3</v>
      </c>
      <c r="E6" s="22">
        <v>176.0</v>
      </c>
      <c r="F6" s="22">
        <v>300.0</v>
      </c>
      <c r="G6" s="22">
        <v>212.7</v>
      </c>
      <c r="H6" s="22">
        <v>243.6</v>
      </c>
    </row>
    <row r="7">
      <c r="A7" s="20">
        <v>6.0</v>
      </c>
      <c r="B7" s="21" t="s">
        <v>135</v>
      </c>
      <c r="C7" s="22">
        <v>254.7</v>
      </c>
      <c r="D7" s="22">
        <v>309.7</v>
      </c>
      <c r="E7" s="22">
        <v>225.0</v>
      </c>
      <c r="F7" s="22">
        <v>267.5</v>
      </c>
      <c r="G7" s="22">
        <v>229.0</v>
      </c>
      <c r="H7" s="22">
        <v>207.3</v>
      </c>
    </row>
    <row r="8">
      <c r="A8" s="20">
        <v>7.0</v>
      </c>
      <c r="B8" s="21" t="s">
        <v>136</v>
      </c>
      <c r="C8" s="22">
        <v>249.7</v>
      </c>
      <c r="D8" s="22">
        <v>262.0</v>
      </c>
      <c r="E8" s="22">
        <v>183.0</v>
      </c>
      <c r="F8" s="22">
        <v>279.0</v>
      </c>
      <c r="G8" s="22">
        <v>220.3</v>
      </c>
      <c r="H8" s="22">
        <v>229.1</v>
      </c>
    </row>
    <row r="9">
      <c r="A9" s="20">
        <v>8.0</v>
      </c>
      <c r="B9" s="21" t="s">
        <v>137</v>
      </c>
      <c r="C9" s="22">
        <v>248.3</v>
      </c>
      <c r="D9" s="22">
        <v>269.7</v>
      </c>
      <c r="E9" s="22">
        <v>308.0</v>
      </c>
      <c r="F9" s="22">
        <v>232.0</v>
      </c>
      <c r="G9" s="22">
        <v>264.7</v>
      </c>
      <c r="H9" s="22">
        <v>211.2</v>
      </c>
    </row>
    <row r="10">
      <c r="A10" s="20">
        <v>9.0</v>
      </c>
      <c r="B10" s="21" t="s">
        <v>138</v>
      </c>
      <c r="C10" s="22">
        <v>236.8</v>
      </c>
      <c r="D10" s="22">
        <v>255.3</v>
      </c>
      <c r="E10" s="22">
        <v>321.0</v>
      </c>
      <c r="F10" s="22">
        <v>246.3</v>
      </c>
      <c r="G10" s="22">
        <v>222.5</v>
      </c>
      <c r="H10" s="22">
        <v>248.6</v>
      </c>
    </row>
    <row r="11">
      <c r="A11" s="20">
        <v>10.0</v>
      </c>
      <c r="B11" s="21" t="s">
        <v>139</v>
      </c>
      <c r="C11" s="22">
        <v>232.8</v>
      </c>
      <c r="D11" s="22">
        <v>278.0</v>
      </c>
      <c r="E11" s="22">
        <v>258.0</v>
      </c>
      <c r="F11" s="22">
        <v>253.0</v>
      </c>
      <c r="G11" s="22">
        <v>212.7</v>
      </c>
      <c r="H11" s="22">
        <v>233.4</v>
      </c>
    </row>
    <row r="12">
      <c r="A12" s="20">
        <v>11.0</v>
      </c>
      <c r="B12" s="21" t="s">
        <v>140</v>
      </c>
      <c r="C12" s="22">
        <v>230.3</v>
      </c>
      <c r="D12" s="22">
        <v>274.7</v>
      </c>
      <c r="E12" s="22">
        <v>317.0</v>
      </c>
      <c r="F12" s="22">
        <v>248.7</v>
      </c>
      <c r="G12" s="22">
        <v>212.0</v>
      </c>
      <c r="H12" s="22">
        <v>233.6</v>
      </c>
    </row>
    <row r="13">
      <c r="A13" s="20">
        <v>12.0</v>
      </c>
      <c r="B13" s="21" t="s">
        <v>141</v>
      </c>
      <c r="C13" s="22">
        <v>226.6</v>
      </c>
      <c r="D13" s="22">
        <v>212.3</v>
      </c>
      <c r="E13" s="22">
        <v>236.0</v>
      </c>
      <c r="F13" s="22">
        <v>217.0</v>
      </c>
      <c r="G13" s="22">
        <v>233.0</v>
      </c>
      <c r="H13" s="22">
        <v>245.6</v>
      </c>
    </row>
    <row r="14">
      <c r="A14" s="20">
        <v>13.0</v>
      </c>
      <c r="B14" s="21" t="s">
        <v>142</v>
      </c>
      <c r="C14" s="22">
        <v>220.7</v>
      </c>
      <c r="D14" s="22">
        <v>235.0</v>
      </c>
      <c r="E14" s="22">
        <v>253.0</v>
      </c>
      <c r="F14" s="22">
        <v>214.5</v>
      </c>
      <c r="G14" s="22">
        <v>223.8</v>
      </c>
      <c r="H14" s="22">
        <v>219.1</v>
      </c>
    </row>
    <row r="15">
      <c r="A15" s="20">
        <v>14.0</v>
      </c>
      <c r="B15" s="21" t="s">
        <v>143</v>
      </c>
      <c r="C15" s="22">
        <v>220.6</v>
      </c>
      <c r="D15" s="22">
        <v>219.3</v>
      </c>
      <c r="E15" s="22">
        <v>256.0</v>
      </c>
      <c r="F15" s="22">
        <v>217.5</v>
      </c>
      <c r="G15" s="22">
        <v>222.7</v>
      </c>
      <c r="H15" s="22">
        <v>226.0</v>
      </c>
    </row>
    <row r="16">
      <c r="A16" s="20">
        <v>15.0</v>
      </c>
      <c r="B16" s="21" t="s">
        <v>144</v>
      </c>
      <c r="C16" s="22">
        <v>219.2</v>
      </c>
      <c r="D16" s="22">
        <v>254.0</v>
      </c>
      <c r="E16" s="22">
        <v>189.0</v>
      </c>
      <c r="F16" s="22">
        <v>193.3</v>
      </c>
      <c r="G16" s="22">
        <v>245.0</v>
      </c>
      <c r="H16" s="22">
        <v>215.6</v>
      </c>
    </row>
    <row r="17">
      <c r="A17" s="20">
        <v>16.0</v>
      </c>
      <c r="B17" s="21" t="s">
        <v>145</v>
      </c>
      <c r="C17" s="22">
        <v>217.2</v>
      </c>
      <c r="D17" s="22">
        <v>224.7</v>
      </c>
      <c r="E17" s="22">
        <v>272.0</v>
      </c>
      <c r="F17" s="22">
        <v>241.0</v>
      </c>
      <c r="G17" s="22">
        <v>193.3</v>
      </c>
      <c r="H17" s="22">
        <v>171.7</v>
      </c>
    </row>
    <row r="18">
      <c r="A18" s="20">
        <v>17.0</v>
      </c>
      <c r="B18" s="21" t="s">
        <v>146</v>
      </c>
      <c r="C18" s="22">
        <v>213.8</v>
      </c>
      <c r="D18" s="22">
        <v>183.0</v>
      </c>
      <c r="E18" s="22">
        <v>218.0</v>
      </c>
      <c r="F18" s="22">
        <v>203.3</v>
      </c>
      <c r="G18" s="22">
        <v>224.3</v>
      </c>
      <c r="H18" s="22">
        <v>198.8</v>
      </c>
    </row>
    <row r="19">
      <c r="A19" s="20">
        <v>18.0</v>
      </c>
      <c r="B19" s="21" t="s">
        <v>147</v>
      </c>
      <c r="C19" s="22">
        <v>213.5</v>
      </c>
      <c r="D19" s="22">
        <v>237.3</v>
      </c>
      <c r="E19" s="22">
        <v>190.0</v>
      </c>
      <c r="F19" s="22">
        <v>211.0</v>
      </c>
      <c r="G19" s="22">
        <v>216.0</v>
      </c>
      <c r="H19" s="22">
        <v>169.8</v>
      </c>
    </row>
    <row r="20">
      <c r="A20" s="20">
        <v>19.0</v>
      </c>
      <c r="B20" s="21" t="s">
        <v>148</v>
      </c>
      <c r="C20" s="22">
        <v>207.8</v>
      </c>
      <c r="D20" s="22">
        <v>193.7</v>
      </c>
      <c r="E20" s="22">
        <v>171.0</v>
      </c>
      <c r="F20" s="22">
        <v>206.5</v>
      </c>
      <c r="G20" s="22">
        <v>208.7</v>
      </c>
      <c r="H20" s="22">
        <v>256.4</v>
      </c>
    </row>
    <row r="21">
      <c r="A21" s="20">
        <v>20.0</v>
      </c>
      <c r="B21" s="21" t="s">
        <v>149</v>
      </c>
      <c r="C21" s="22">
        <v>203.0</v>
      </c>
      <c r="D21" s="22">
        <v>245.3</v>
      </c>
      <c r="E21" s="22">
        <v>210.0</v>
      </c>
      <c r="F21" s="22">
        <v>283.5</v>
      </c>
      <c r="G21" s="22">
        <v>162.8</v>
      </c>
      <c r="H21" s="22">
        <v>242.7</v>
      </c>
    </row>
    <row r="22">
      <c r="A22" s="20">
        <v>21.0</v>
      </c>
      <c r="B22" s="21" t="s">
        <v>150</v>
      </c>
      <c r="C22" s="22">
        <v>200.3</v>
      </c>
      <c r="D22" s="22">
        <v>210.3</v>
      </c>
      <c r="E22" s="22">
        <v>222.0</v>
      </c>
      <c r="F22" s="22">
        <v>183.7</v>
      </c>
      <c r="G22" s="22">
        <v>217.0</v>
      </c>
      <c r="H22" s="22">
        <v>234.7</v>
      </c>
    </row>
    <row r="23">
      <c r="A23" s="20">
        <v>22.0</v>
      </c>
      <c r="B23" s="21" t="s">
        <v>151</v>
      </c>
      <c r="C23" s="22">
        <v>196.7</v>
      </c>
      <c r="D23" s="22">
        <v>216.7</v>
      </c>
      <c r="E23" s="22">
        <v>221.0</v>
      </c>
      <c r="F23" s="22">
        <v>164.3</v>
      </c>
      <c r="G23" s="22">
        <v>229.0</v>
      </c>
      <c r="H23" s="22">
        <v>182.1</v>
      </c>
    </row>
    <row r="24">
      <c r="A24" s="20">
        <v>23.0</v>
      </c>
      <c r="B24" s="21" t="s">
        <v>152</v>
      </c>
      <c r="C24" s="22">
        <v>187.2</v>
      </c>
      <c r="D24" s="22">
        <v>204.3</v>
      </c>
      <c r="E24" s="22">
        <v>221.0</v>
      </c>
      <c r="F24" s="22">
        <v>170.0</v>
      </c>
      <c r="G24" s="22">
        <v>204.3</v>
      </c>
      <c r="H24" s="22">
        <v>161.2</v>
      </c>
    </row>
    <row r="25">
      <c r="A25" s="20">
        <v>24.0</v>
      </c>
      <c r="B25" s="21" t="s">
        <v>153</v>
      </c>
      <c r="C25" s="22">
        <v>187.0</v>
      </c>
      <c r="D25" s="22">
        <v>172.7</v>
      </c>
      <c r="E25" s="22">
        <v>214.0</v>
      </c>
      <c r="F25" s="22">
        <v>191.0</v>
      </c>
      <c r="G25" s="22">
        <v>183.0</v>
      </c>
      <c r="H25" s="22">
        <v>184.9</v>
      </c>
    </row>
    <row r="26">
      <c r="A26" s="20">
        <v>25.0</v>
      </c>
      <c r="B26" s="21" t="s">
        <v>154</v>
      </c>
      <c r="C26" s="22">
        <v>186.3</v>
      </c>
      <c r="D26" s="22">
        <v>163.7</v>
      </c>
      <c r="E26" s="22">
        <v>210.0</v>
      </c>
      <c r="F26" s="22">
        <v>244.0</v>
      </c>
      <c r="G26" s="22">
        <v>157.5</v>
      </c>
      <c r="H26" s="22">
        <v>238.4</v>
      </c>
    </row>
    <row r="27">
      <c r="A27" s="20">
        <v>26.0</v>
      </c>
      <c r="B27" s="21" t="s">
        <v>155</v>
      </c>
      <c r="C27" s="22">
        <v>185.6</v>
      </c>
      <c r="D27" s="22">
        <v>132.3</v>
      </c>
      <c r="E27" s="22">
        <v>179.0</v>
      </c>
      <c r="F27" s="22">
        <v>203.0</v>
      </c>
      <c r="G27" s="22">
        <v>159.5</v>
      </c>
      <c r="H27" s="22">
        <v>261.2</v>
      </c>
    </row>
    <row r="28">
      <c r="A28" s="20">
        <v>27.0</v>
      </c>
      <c r="B28" s="21" t="s">
        <v>156</v>
      </c>
      <c r="C28" s="22">
        <v>170.8</v>
      </c>
      <c r="D28" s="22">
        <v>148.7</v>
      </c>
      <c r="E28" s="22">
        <v>206.0</v>
      </c>
      <c r="F28" s="22">
        <v>205.7</v>
      </c>
      <c r="G28" s="22">
        <v>136.0</v>
      </c>
      <c r="H28" s="22">
        <v>191.9</v>
      </c>
    </row>
    <row r="29">
      <c r="A29" s="20">
        <v>28.0</v>
      </c>
      <c r="B29" s="21" t="s">
        <v>157</v>
      </c>
      <c r="C29" s="22">
        <v>166.8</v>
      </c>
      <c r="D29" s="22">
        <v>175.3</v>
      </c>
      <c r="E29" s="22">
        <v>110.0</v>
      </c>
      <c r="F29" s="22">
        <v>183.0</v>
      </c>
      <c r="G29" s="22">
        <v>158.8</v>
      </c>
      <c r="H29" s="22">
        <v>187.8</v>
      </c>
    </row>
    <row r="30">
      <c r="A30" s="20">
        <v>29.0</v>
      </c>
      <c r="B30" s="21" t="s">
        <v>158</v>
      </c>
      <c r="C30" s="22">
        <v>153.2</v>
      </c>
      <c r="D30" s="22">
        <v>165.3</v>
      </c>
      <c r="E30" s="22">
        <v>222.0</v>
      </c>
      <c r="F30" s="22">
        <v>154.5</v>
      </c>
      <c r="G30" s="22">
        <v>152.3</v>
      </c>
      <c r="H30" s="22">
        <v>232.8</v>
      </c>
    </row>
    <row r="31">
      <c r="A31" s="20">
        <v>30.0</v>
      </c>
      <c r="B31" s="21" t="s">
        <v>159</v>
      </c>
      <c r="C31" s="22">
        <v>143.0</v>
      </c>
      <c r="D31" s="22">
        <v>133.7</v>
      </c>
      <c r="E31" s="22">
        <v>144.0</v>
      </c>
      <c r="F31" s="22">
        <v>142.5</v>
      </c>
      <c r="G31" s="22">
        <v>143.3</v>
      </c>
      <c r="H31" s="22">
        <v>220.1</v>
      </c>
    </row>
    <row r="32">
      <c r="A32" s="20">
        <v>31.0</v>
      </c>
      <c r="B32" s="21" t="s">
        <v>160</v>
      </c>
      <c r="C32" s="22">
        <v>135.0</v>
      </c>
      <c r="D32" s="22">
        <v>133.7</v>
      </c>
      <c r="E32" s="22">
        <v>95.0</v>
      </c>
      <c r="F32" s="22">
        <v>156.3</v>
      </c>
      <c r="G32" s="22">
        <v>103.0</v>
      </c>
      <c r="H32" s="22">
        <v>180.4</v>
      </c>
    </row>
    <row r="33">
      <c r="A33" s="20">
        <v>32.0</v>
      </c>
      <c r="B33" s="21" t="s">
        <v>161</v>
      </c>
      <c r="C33" s="22">
        <v>134.3</v>
      </c>
      <c r="D33" s="22">
        <v>166.7</v>
      </c>
      <c r="E33" s="22">
        <v>209.0</v>
      </c>
      <c r="F33" s="22">
        <v>160.7</v>
      </c>
      <c r="G33" s="22">
        <v>108.0</v>
      </c>
      <c r="H33" s="22">
        <v>180.5</v>
      </c>
    </row>
    <row r="34">
      <c r="A34" s="2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29</v>
      </c>
      <c r="B1" s="25" t="s">
        <v>16</v>
      </c>
      <c r="C1" s="26">
        <v>2024.0</v>
      </c>
      <c r="D1" s="27" t="s">
        <v>30</v>
      </c>
      <c r="E1" s="27" t="s">
        <v>31</v>
      </c>
      <c r="F1" s="26" t="s">
        <v>32</v>
      </c>
      <c r="G1" s="26" t="s">
        <v>33</v>
      </c>
      <c r="H1" s="26">
        <v>2023.0</v>
      </c>
    </row>
    <row r="2">
      <c r="A2" s="28">
        <v>1.0</v>
      </c>
      <c r="B2" s="29" t="s">
        <v>162</v>
      </c>
      <c r="C2" s="30">
        <v>205.3</v>
      </c>
      <c r="D2" s="30">
        <v>207.3</v>
      </c>
      <c r="E2" s="30">
        <v>176.0</v>
      </c>
      <c r="F2" s="30">
        <v>199.3</v>
      </c>
      <c r="G2" s="30">
        <v>211.3</v>
      </c>
      <c r="H2" s="30">
        <v>156.4</v>
      </c>
    </row>
    <row r="3">
      <c r="A3" s="28">
        <v>2.0</v>
      </c>
      <c r="B3" s="29" t="s">
        <v>163</v>
      </c>
      <c r="C3" s="30">
        <v>167.2</v>
      </c>
      <c r="D3" s="30">
        <v>130.3</v>
      </c>
      <c r="E3" s="30">
        <v>179.0</v>
      </c>
      <c r="F3" s="30">
        <v>175.3</v>
      </c>
      <c r="G3" s="30">
        <v>159.0</v>
      </c>
      <c r="H3" s="30">
        <v>114.9</v>
      </c>
    </row>
    <row r="4">
      <c r="A4" s="28">
        <v>3.0</v>
      </c>
      <c r="B4" s="29" t="s">
        <v>164</v>
      </c>
      <c r="C4" s="30">
        <v>158.0</v>
      </c>
      <c r="D4" s="30">
        <v>176.3</v>
      </c>
      <c r="E4" s="30">
        <v>228.0</v>
      </c>
      <c r="F4" s="30">
        <v>160.3</v>
      </c>
      <c r="G4" s="30">
        <v>155.7</v>
      </c>
      <c r="H4" s="30">
        <v>138.3</v>
      </c>
    </row>
    <row r="5">
      <c r="A5" s="28">
        <v>4.0</v>
      </c>
      <c r="B5" s="29" t="s">
        <v>165</v>
      </c>
      <c r="C5" s="30">
        <v>157.8</v>
      </c>
      <c r="D5" s="30">
        <v>162.3</v>
      </c>
      <c r="E5" s="30">
        <v>184.0</v>
      </c>
      <c r="F5" s="30">
        <v>139.3</v>
      </c>
      <c r="G5" s="30">
        <v>185.5</v>
      </c>
      <c r="H5" s="30">
        <v>134.3</v>
      </c>
    </row>
    <row r="6">
      <c r="A6" s="28">
        <v>5.0</v>
      </c>
      <c r="B6" s="29" t="s">
        <v>166</v>
      </c>
      <c r="C6" s="30">
        <v>157.3</v>
      </c>
      <c r="D6" s="30">
        <v>161.0</v>
      </c>
      <c r="E6" s="30">
        <v>52.0</v>
      </c>
      <c r="F6" s="30">
        <v>215.0</v>
      </c>
      <c r="G6" s="30">
        <v>128.5</v>
      </c>
      <c r="H6" s="30">
        <v>93.6</v>
      </c>
    </row>
    <row r="7">
      <c r="A7" s="28">
        <v>6.0</v>
      </c>
      <c r="B7" s="29" t="s">
        <v>167</v>
      </c>
      <c r="C7" s="30">
        <v>146.2</v>
      </c>
      <c r="D7" s="30">
        <v>133.7</v>
      </c>
      <c r="E7" s="30">
        <v>116.0</v>
      </c>
      <c r="F7" s="30">
        <v>151.0</v>
      </c>
      <c r="G7" s="30">
        <v>143.0</v>
      </c>
      <c r="H7" s="30">
        <v>124.0</v>
      </c>
    </row>
    <row r="8">
      <c r="A8" s="28">
        <v>7.0</v>
      </c>
      <c r="B8" s="29" t="s">
        <v>168</v>
      </c>
      <c r="C8" s="30">
        <v>145.2</v>
      </c>
      <c r="D8" s="30">
        <v>146.3</v>
      </c>
      <c r="E8" s="30">
        <v>89.0</v>
      </c>
      <c r="F8" s="30">
        <v>163.0</v>
      </c>
      <c r="G8" s="30">
        <v>127.3</v>
      </c>
      <c r="H8" s="30">
        <v>139.1</v>
      </c>
    </row>
    <row r="9">
      <c r="A9" s="28">
        <v>8.0</v>
      </c>
      <c r="B9" s="29" t="s">
        <v>169</v>
      </c>
      <c r="C9" s="30">
        <v>136.8</v>
      </c>
      <c r="D9" s="30">
        <v>182.7</v>
      </c>
      <c r="E9" s="30">
        <v>277.0</v>
      </c>
      <c r="F9" s="30">
        <v>104.7</v>
      </c>
      <c r="G9" s="30">
        <v>169.0</v>
      </c>
      <c r="H9" s="30">
        <v>90.4</v>
      </c>
    </row>
    <row r="10">
      <c r="A10" s="28">
        <v>9.0</v>
      </c>
      <c r="B10" s="29" t="s">
        <v>170</v>
      </c>
      <c r="C10" s="30">
        <v>131.5</v>
      </c>
      <c r="D10" s="30">
        <v>132.3</v>
      </c>
      <c r="E10" s="30">
        <v>183.0</v>
      </c>
      <c r="F10" s="30">
        <v>103.0</v>
      </c>
      <c r="G10" s="30">
        <v>145.8</v>
      </c>
      <c r="H10" s="30">
        <v>117.6</v>
      </c>
    </row>
    <row r="11">
      <c r="A11" s="28">
        <v>10.0</v>
      </c>
      <c r="B11" s="29" t="s">
        <v>171</v>
      </c>
      <c r="C11" s="30">
        <v>127.8</v>
      </c>
      <c r="D11" s="30">
        <v>81.3</v>
      </c>
      <c r="E11" s="30">
        <v>128.0</v>
      </c>
      <c r="F11" s="30">
        <v>115.5</v>
      </c>
      <c r="G11" s="30">
        <v>136.0</v>
      </c>
      <c r="H11" s="30">
        <v>96.6</v>
      </c>
    </row>
    <row r="12">
      <c r="A12" s="28">
        <v>11.0</v>
      </c>
      <c r="B12" s="29" t="s">
        <v>172</v>
      </c>
      <c r="C12" s="30">
        <v>123.3</v>
      </c>
      <c r="D12" s="30">
        <v>126.7</v>
      </c>
      <c r="E12" s="30">
        <v>149.0</v>
      </c>
      <c r="F12" s="30">
        <v>126.0</v>
      </c>
      <c r="G12" s="30">
        <v>122.0</v>
      </c>
      <c r="H12" s="30">
        <v>135.4</v>
      </c>
    </row>
    <row r="13">
      <c r="A13" s="28">
        <v>12.0</v>
      </c>
      <c r="B13" s="29" t="s">
        <v>173</v>
      </c>
      <c r="C13" s="30">
        <v>123.2</v>
      </c>
      <c r="D13" s="30">
        <v>102.0</v>
      </c>
      <c r="E13" s="30">
        <v>82.0</v>
      </c>
      <c r="F13" s="30">
        <v>139.3</v>
      </c>
      <c r="G13" s="30">
        <v>107.0</v>
      </c>
      <c r="H13" s="30">
        <v>95.7</v>
      </c>
    </row>
    <row r="14">
      <c r="A14" s="28">
        <v>13.0</v>
      </c>
      <c r="B14" s="29" t="s">
        <v>174</v>
      </c>
      <c r="C14" s="30">
        <v>119.5</v>
      </c>
      <c r="D14" s="30">
        <v>86.0</v>
      </c>
      <c r="E14" s="30">
        <v>81.0</v>
      </c>
      <c r="F14" s="30">
        <v>116.7</v>
      </c>
      <c r="G14" s="30">
        <v>122.3</v>
      </c>
      <c r="H14" s="30">
        <v>102.5</v>
      </c>
    </row>
    <row r="15">
      <c r="A15" s="28">
        <v>14.0</v>
      </c>
      <c r="B15" s="29" t="s">
        <v>175</v>
      </c>
      <c r="C15" s="30">
        <v>118.8</v>
      </c>
      <c r="D15" s="30">
        <v>129.0</v>
      </c>
      <c r="E15" s="30">
        <v>192.0</v>
      </c>
      <c r="F15" s="30">
        <v>90.0</v>
      </c>
      <c r="G15" s="30">
        <v>147.7</v>
      </c>
      <c r="H15" s="30">
        <v>92.7</v>
      </c>
    </row>
    <row r="16">
      <c r="A16" s="28">
        <v>15.0</v>
      </c>
      <c r="B16" s="29" t="s">
        <v>176</v>
      </c>
      <c r="C16" s="30">
        <v>118.2</v>
      </c>
      <c r="D16" s="30">
        <v>107.0</v>
      </c>
      <c r="E16" s="30">
        <v>146.0</v>
      </c>
      <c r="F16" s="30">
        <v>103.0</v>
      </c>
      <c r="G16" s="30">
        <v>141.0</v>
      </c>
      <c r="H16" s="30">
        <v>108.6</v>
      </c>
    </row>
    <row r="17">
      <c r="A17" s="28">
        <v>16.0</v>
      </c>
      <c r="B17" s="29" t="s">
        <v>177</v>
      </c>
      <c r="C17" s="30">
        <v>117.8</v>
      </c>
      <c r="D17" s="30">
        <v>122.7</v>
      </c>
      <c r="E17" s="30">
        <v>139.0</v>
      </c>
      <c r="F17" s="30">
        <v>120.0</v>
      </c>
      <c r="G17" s="30">
        <v>114.5</v>
      </c>
      <c r="H17" s="30">
        <v>109.3</v>
      </c>
    </row>
    <row r="18">
      <c r="A18" s="28">
        <v>17.0</v>
      </c>
      <c r="B18" s="29" t="s">
        <v>178</v>
      </c>
      <c r="C18" s="30">
        <v>117.7</v>
      </c>
      <c r="D18" s="30">
        <v>104.0</v>
      </c>
      <c r="E18" s="30">
        <v>80.0</v>
      </c>
      <c r="F18" s="30">
        <v>129.0</v>
      </c>
      <c r="G18" s="30">
        <v>106.3</v>
      </c>
      <c r="H18" s="30">
        <v>121.1</v>
      </c>
    </row>
    <row r="19">
      <c r="A19" s="28">
        <v>18.0</v>
      </c>
      <c r="B19" s="29" t="s">
        <v>179</v>
      </c>
      <c r="C19" s="30">
        <v>116.8</v>
      </c>
      <c r="D19" s="30">
        <v>121.3</v>
      </c>
      <c r="E19" s="30">
        <v>193.0</v>
      </c>
      <c r="F19" s="30">
        <v>108.7</v>
      </c>
      <c r="G19" s="30">
        <v>129.0</v>
      </c>
      <c r="H19" s="30">
        <v>132.4</v>
      </c>
    </row>
    <row r="20">
      <c r="A20" s="28">
        <v>19.0</v>
      </c>
      <c r="B20" s="29" t="s">
        <v>180</v>
      </c>
      <c r="C20" s="30">
        <v>116.5</v>
      </c>
      <c r="D20" s="30">
        <v>117.3</v>
      </c>
      <c r="E20" s="30">
        <v>68.0</v>
      </c>
      <c r="F20" s="30">
        <v>126.5</v>
      </c>
      <c r="G20" s="30">
        <v>111.5</v>
      </c>
      <c r="H20" s="30">
        <v>96.8</v>
      </c>
    </row>
    <row r="21">
      <c r="A21" s="28">
        <v>20.0</v>
      </c>
      <c r="B21" s="29" t="s">
        <v>181</v>
      </c>
      <c r="C21" s="30">
        <v>115.4</v>
      </c>
      <c r="D21" s="30">
        <v>106.7</v>
      </c>
      <c r="E21" s="30">
        <v>82.0</v>
      </c>
      <c r="F21" s="30">
        <v>132.0</v>
      </c>
      <c r="G21" s="30">
        <v>104.3</v>
      </c>
      <c r="H21" s="30">
        <v>91.4</v>
      </c>
    </row>
    <row r="22">
      <c r="A22" s="28">
        <v>21.0</v>
      </c>
      <c r="B22" s="29" t="s">
        <v>182</v>
      </c>
      <c r="C22" s="30">
        <v>113.7</v>
      </c>
      <c r="D22" s="30">
        <v>119.7</v>
      </c>
      <c r="E22" s="30">
        <v>198.0</v>
      </c>
      <c r="F22" s="30">
        <v>83.0</v>
      </c>
      <c r="G22" s="30">
        <v>175.0</v>
      </c>
      <c r="H22" s="30">
        <v>127.0</v>
      </c>
    </row>
    <row r="23">
      <c r="A23" s="28">
        <v>22.0</v>
      </c>
      <c r="B23" s="29" t="s">
        <v>183</v>
      </c>
      <c r="C23" s="30">
        <v>111.3</v>
      </c>
      <c r="D23" s="30">
        <v>129.7</v>
      </c>
      <c r="E23" s="30">
        <v>114.0</v>
      </c>
      <c r="F23" s="30">
        <v>119.7</v>
      </c>
      <c r="G23" s="30">
        <v>103.0</v>
      </c>
      <c r="H23" s="30">
        <v>104.1</v>
      </c>
    </row>
    <row r="24">
      <c r="A24" s="28">
        <v>23.0</v>
      </c>
      <c r="B24" s="29" t="s">
        <v>184</v>
      </c>
      <c r="C24" s="30">
        <v>107.3</v>
      </c>
      <c r="D24" s="30">
        <v>115.0</v>
      </c>
      <c r="E24" s="30">
        <v>110.0</v>
      </c>
      <c r="F24" s="30">
        <v>94.3</v>
      </c>
      <c r="G24" s="30">
        <v>120.3</v>
      </c>
      <c r="H24" s="30">
        <v>106.5</v>
      </c>
    </row>
    <row r="25">
      <c r="A25" s="28">
        <v>24.0</v>
      </c>
      <c r="B25" s="29" t="s">
        <v>185</v>
      </c>
      <c r="C25" s="30">
        <v>105.8</v>
      </c>
      <c r="D25" s="30">
        <v>106.7</v>
      </c>
      <c r="E25" s="30">
        <v>119.0</v>
      </c>
      <c r="F25" s="30">
        <v>73.0</v>
      </c>
      <c r="G25" s="30">
        <v>138.7</v>
      </c>
      <c r="H25" s="30">
        <v>110.2</v>
      </c>
    </row>
    <row r="26">
      <c r="A26" s="28">
        <v>25.0</v>
      </c>
      <c r="B26" s="29" t="s">
        <v>186</v>
      </c>
      <c r="C26" s="30">
        <v>104.8</v>
      </c>
      <c r="D26" s="30">
        <v>137.0</v>
      </c>
      <c r="E26" s="30">
        <v>152.0</v>
      </c>
      <c r="F26" s="30">
        <v>114.3</v>
      </c>
      <c r="G26" s="30">
        <v>95.3</v>
      </c>
      <c r="H26" s="30">
        <v>141.1</v>
      </c>
    </row>
    <row r="27">
      <c r="A27" s="28">
        <v>26.0</v>
      </c>
      <c r="B27" s="29" t="s">
        <v>187</v>
      </c>
      <c r="C27" s="30">
        <v>100.2</v>
      </c>
      <c r="D27" s="30">
        <v>111.0</v>
      </c>
      <c r="E27" s="30">
        <v>121.0</v>
      </c>
      <c r="F27" s="30">
        <v>88.3</v>
      </c>
      <c r="G27" s="30">
        <v>112.0</v>
      </c>
      <c r="H27" s="30">
        <v>89.8</v>
      </c>
    </row>
    <row r="28">
      <c r="A28" s="28">
        <v>27.0</v>
      </c>
      <c r="B28" s="29" t="s">
        <v>188</v>
      </c>
      <c r="C28" s="30">
        <v>97.4</v>
      </c>
      <c r="D28" s="30">
        <v>117.0</v>
      </c>
      <c r="E28" s="30">
        <v>134.0</v>
      </c>
      <c r="F28" s="30">
        <v>116.0</v>
      </c>
      <c r="G28" s="30">
        <v>85.0</v>
      </c>
      <c r="H28" s="30">
        <v>117.4</v>
      </c>
    </row>
    <row r="29">
      <c r="A29" s="28">
        <v>28.0</v>
      </c>
      <c r="B29" s="29" t="s">
        <v>189</v>
      </c>
      <c r="C29" s="30">
        <v>97.2</v>
      </c>
      <c r="D29" s="30">
        <v>98.7</v>
      </c>
      <c r="E29" s="30">
        <v>100.0</v>
      </c>
      <c r="F29" s="30">
        <v>81.0</v>
      </c>
      <c r="G29" s="30">
        <v>105.3</v>
      </c>
      <c r="H29" s="30">
        <v>115.2</v>
      </c>
    </row>
    <row r="30">
      <c r="A30" s="28">
        <v>29.0</v>
      </c>
      <c r="B30" s="29" t="s">
        <v>190</v>
      </c>
      <c r="C30" s="30">
        <v>96.5</v>
      </c>
      <c r="D30" s="30">
        <v>95.7</v>
      </c>
      <c r="E30" s="30">
        <v>52.0</v>
      </c>
      <c r="F30" s="30">
        <v>100.0</v>
      </c>
      <c r="G30" s="30">
        <v>89.5</v>
      </c>
      <c r="H30" s="30">
        <v>92.9</v>
      </c>
    </row>
    <row r="31">
      <c r="A31" s="28">
        <v>30.0</v>
      </c>
      <c r="B31" s="29" t="s">
        <v>191</v>
      </c>
      <c r="C31" s="30">
        <v>87.2</v>
      </c>
      <c r="D31" s="30">
        <v>73.7</v>
      </c>
      <c r="E31" s="30">
        <v>121.0</v>
      </c>
      <c r="F31" s="30">
        <v>106.0</v>
      </c>
      <c r="G31" s="30">
        <v>68.3</v>
      </c>
      <c r="H31" s="30">
        <v>96.9</v>
      </c>
    </row>
    <row r="32">
      <c r="A32" s="28">
        <v>31.0</v>
      </c>
      <c r="B32" s="29" t="s">
        <v>192</v>
      </c>
      <c r="C32" s="30">
        <v>79.5</v>
      </c>
      <c r="D32" s="30">
        <v>108.0</v>
      </c>
      <c r="E32" s="30">
        <v>57.0</v>
      </c>
      <c r="F32" s="30">
        <v>88.0</v>
      </c>
      <c r="G32" s="30">
        <v>71.0</v>
      </c>
      <c r="H32" s="30">
        <v>90.7</v>
      </c>
    </row>
    <row r="33">
      <c r="A33" s="28">
        <v>32.0</v>
      </c>
      <c r="B33" s="29" t="s">
        <v>193</v>
      </c>
      <c r="C33" s="30">
        <v>77.2</v>
      </c>
      <c r="D33" s="30">
        <v>80.7</v>
      </c>
      <c r="E33" s="30">
        <v>53.0</v>
      </c>
      <c r="F33" s="30">
        <v>57.3</v>
      </c>
      <c r="G33" s="30">
        <v>97.0</v>
      </c>
      <c r="H33" s="30">
        <v>113.5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