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8" sheetId="1" r:id="rId4"/>
    <sheet state="visible" name="map" sheetId="2" r:id="rId5"/>
    <sheet state="visible" name="odds" sheetId="3" r:id="rId6"/>
    <sheet state="visible" name="spread" sheetId="4" r:id="rId7"/>
    <sheet state="visible" name="Data" sheetId="5" r:id="rId8"/>
    <sheet state="visible" name="PF" sheetId="6" r:id="rId9"/>
    <sheet state="visible" name="PA" sheetId="7" r:id="rId10"/>
    <sheet state="visible" name="yards" sheetId="8" r:id="rId11"/>
    <sheet state="visible" name="plays" sheetId="9" r:id="rId12"/>
    <sheet state="visible" name="ydspt" sheetId="10" r:id="rId13"/>
    <sheet state="visible" name="ptpl" sheetId="11" r:id="rId14"/>
  </sheets>
  <definedNames/>
  <calcPr/>
</workbook>
</file>

<file path=xl/sharedStrings.xml><?xml version="1.0" encoding="utf-8"?>
<sst xmlns="http://schemas.openxmlformats.org/spreadsheetml/2006/main" count="98" uniqueCount="98">
  <si>
    <t>home map</t>
  </si>
  <si>
    <t>away map</t>
  </si>
  <si>
    <t>Game ID</t>
  </si>
  <si>
    <t>home team</t>
  </si>
  <si>
    <t>away team</t>
  </si>
  <si>
    <t>home points scored</t>
  </si>
  <si>
    <t>away points allowed</t>
  </si>
  <si>
    <t>home yards</t>
  </si>
  <si>
    <t>home plays</t>
  </si>
  <si>
    <t>home yds/pt</t>
  </si>
  <si>
    <t>home pt/pl</t>
  </si>
  <si>
    <t>Home Predicted Points</t>
  </si>
  <si>
    <t>away points scored</t>
  </si>
  <si>
    <t>home points allowed</t>
  </si>
  <si>
    <t>away yards</t>
  </si>
  <si>
    <t>away plays</t>
  </si>
  <si>
    <t>away yds/pt</t>
  </si>
  <si>
    <t>away pt/pl</t>
  </si>
  <si>
    <t>away Predicted Points</t>
  </si>
  <si>
    <t>Total Predicted Points</t>
  </si>
  <si>
    <t>Line</t>
  </si>
  <si>
    <t>Delta</t>
  </si>
  <si>
    <t>Recommended Bet</t>
  </si>
  <si>
    <t>Home Margin</t>
  </si>
  <si>
    <t>Home Spread</t>
  </si>
  <si>
    <t>Spread Delta</t>
  </si>
  <si>
    <t>Recommended Spread Bet</t>
  </si>
  <si>
    <t>Dallas</t>
  </si>
  <si>
    <t>Dallas Cowboys</t>
  </si>
  <si>
    <t>Kansas City</t>
  </si>
  <si>
    <t>Kansas City Chiefs</t>
  </si>
  <si>
    <t>Minnesota</t>
  </si>
  <si>
    <t>Minnesota Vikings</t>
  </si>
  <si>
    <t>Cincinnati</t>
  </si>
  <si>
    <t>Cincinnati Bengals</t>
  </si>
  <si>
    <t>Detroit</t>
  </si>
  <si>
    <t>Detroit Lions</t>
  </si>
  <si>
    <t>Jacksonville</t>
  </si>
  <si>
    <t>Jacksonville Jaguars</t>
  </si>
  <si>
    <t>LA Chargers</t>
  </si>
  <si>
    <t>Los Angeles Chargers</t>
  </si>
  <si>
    <t>Washington</t>
  </si>
  <si>
    <t>Washington Commanders</t>
  </si>
  <si>
    <t>New Orleans</t>
  </si>
  <si>
    <t>New Orleans Saints</t>
  </si>
  <si>
    <t>Miami</t>
  </si>
  <si>
    <t>Miami Dolphins</t>
  </si>
  <si>
    <t>Buffalo</t>
  </si>
  <si>
    <t>Buffalo Bills</t>
  </si>
  <si>
    <t>Philadelphia</t>
  </si>
  <si>
    <t>Philadelphia Eagles</t>
  </si>
  <si>
    <t>Seattle</t>
  </si>
  <si>
    <t>Seattle Seahawks</t>
  </si>
  <si>
    <t>Tampa Bay</t>
  </si>
  <si>
    <t>Tampa Bay Buccaneers</t>
  </si>
  <si>
    <t>Green Bay</t>
  </si>
  <si>
    <t>Green Bay Packers</t>
  </si>
  <si>
    <t>Cleveland</t>
  </si>
  <si>
    <t>Cleveland Browns</t>
  </si>
  <si>
    <t>Houston</t>
  </si>
  <si>
    <t>Houston Texans</t>
  </si>
  <si>
    <t>LA Rams</t>
  </si>
  <si>
    <t>Los Angeles Rams</t>
  </si>
  <si>
    <t>NY Jets</t>
  </si>
  <si>
    <t>New York Jets</t>
  </si>
  <si>
    <t>Indianapolis</t>
  </si>
  <si>
    <t>Indianapolis Colts</t>
  </si>
  <si>
    <t>Arizona</t>
  </si>
  <si>
    <t>Arizona Cardinals</t>
  </si>
  <si>
    <t>New England</t>
  </si>
  <si>
    <t>New England Patriots</t>
  </si>
  <si>
    <t>Carolina</t>
  </si>
  <si>
    <t>Carolina Panthers</t>
  </si>
  <si>
    <t>Las Vegas</t>
  </si>
  <si>
    <t>Las Vegas Raiders</t>
  </si>
  <si>
    <t>San Francisco</t>
  </si>
  <si>
    <t>San Francisco 49ers</t>
  </si>
  <si>
    <t>NY Giants</t>
  </si>
  <si>
    <t>New York Giants</t>
  </si>
  <si>
    <t>Denver</t>
  </si>
  <si>
    <t>Denver Broncos</t>
  </si>
  <si>
    <t>Atlanta</t>
  </si>
  <si>
    <t>Atlanta Falcons</t>
  </si>
  <si>
    <t>Pittsburgh</t>
  </si>
  <si>
    <t>Pittsburgh Steelers</t>
  </si>
  <si>
    <t>Baltimore</t>
  </si>
  <si>
    <t>Baltimore Ravens</t>
  </si>
  <si>
    <t>Chicago</t>
  </si>
  <si>
    <t>Chicago Bears</t>
  </si>
  <si>
    <t>Tennessee</t>
  </si>
  <si>
    <t>Tennessee Titans</t>
  </si>
  <si>
    <t>map</t>
  </si>
  <si>
    <t>Points For</t>
  </si>
  <si>
    <t>Points Allowed</t>
  </si>
  <si>
    <t>Yards</t>
  </si>
  <si>
    <t>Plays</t>
  </si>
  <si>
    <t>Yards/Point</t>
  </si>
  <si>
    <t>Point/Play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</si>
</sst>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Calibri"/>
    </font>
    <font>
      <b/>
      <sz val="11.0"/>
      <color theme="1"/>
      <name val="Arial"/>
    </font>
    <font>
      <sz val="11.0"/>
      <color theme="1"/>
      <name val="Calibri"/>
    </font>
    <font>
      <sz val="11.0"/>
      <color theme="1"/>
      <name val="Arial"/>
    </font>
    <font>
      <u/>
      <sz val="11.0"/>
      <color rgb="FF0000FF"/>
      <name val="Calibri"/>
    </font>
    <font>
      <u/>
      <color rgb="FF0000FF"/>
    </font>
    <font>
      <b/>
      <sz val="11.0"/>
      <color rgb="FF222222"/>
      <name val="&quot;Helvetica Neue&quot;"/>
    </font>
    <font>
      <sz val="11.0"/>
      <color rgb="FF222222"/>
      <name val="&quot;Helvetica Neue&quot;"/>
    </font>
    <font>
      <sz val="11.0"/>
      <color theme="1"/>
      <name val="&quot;Helvetica Neue&quot;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2">
    <border/>
    <border>
      <bottom style="thin">
        <color rgb="FFEFEFEF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1" numFmtId="0" xfId="0" applyFont="1"/>
    <xf borderId="0" fillId="0" fontId="1" numFmtId="2" xfId="0" applyFont="1" applyNumberFormat="1"/>
    <xf borderId="0" fillId="0" fontId="1" numFmtId="164" xfId="0" applyFont="1" applyNumberFormat="1"/>
    <xf borderId="0" fillId="0" fontId="4" numFmtId="164" xfId="0" applyAlignment="1" applyFont="1" applyNumberFormat="1">
      <alignment horizontal="right" vertical="bottom"/>
    </xf>
    <xf borderId="0" fillId="0" fontId="5" numFmtId="0" xfId="0" applyAlignment="1" applyFont="1">
      <alignment horizontal="right" vertical="bottom"/>
    </xf>
    <xf borderId="0" fillId="0" fontId="5" numFmtId="164" xfId="0" applyAlignment="1" applyFont="1" applyNumberFormat="1">
      <alignment horizontal="right" vertical="bottom"/>
    </xf>
    <xf borderId="0" fillId="0" fontId="4" numFmtId="164" xfId="0" applyAlignment="1" applyFont="1" applyNumberFormat="1">
      <alignment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14" xfId="0" applyAlignment="1" applyFont="1" applyNumberFormat="1">
      <alignment horizontal="right"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1" numFmtId="14" xfId="0" applyFont="1" applyNumberFormat="1"/>
    <xf borderId="0" fillId="0" fontId="7" numFmtId="0" xfId="0" applyFont="1"/>
    <xf borderId="0" fillId="2" fontId="8" numFmtId="0" xfId="0" applyAlignment="1" applyFill="1" applyFont="1">
      <alignment horizontal="left" readingOrder="0"/>
    </xf>
    <xf borderId="0" fillId="2" fontId="8" numFmtId="0" xfId="0" applyAlignment="1" applyFont="1">
      <alignment horizontal="right" readingOrder="0"/>
    </xf>
    <xf borderId="0" fillId="2" fontId="8" numFmtId="0" xfId="0" applyAlignment="1" applyFont="1">
      <alignment horizontal="right" readingOrder="0" shrinkToFit="0" wrapText="0"/>
    </xf>
    <xf borderId="1" fillId="3" fontId="9" numFmtId="0" xfId="0" applyAlignment="1" applyBorder="1" applyFill="1" applyFont="1">
      <alignment horizontal="center" readingOrder="0"/>
    </xf>
    <xf borderId="1" fillId="0" fontId="10" numFmtId="0" xfId="0" applyAlignment="1" applyBorder="1" applyFont="1">
      <alignment horizontal="left" readingOrder="0" shrinkToFit="0" wrapText="0"/>
    </xf>
    <xf borderId="1" fillId="3" fontId="9" numFmtId="0" xfId="0" applyAlignment="1" applyBorder="1" applyFont="1">
      <alignment horizontal="right" readingOrder="0"/>
    </xf>
    <xf borderId="0" fillId="2" fontId="8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mybookie.ag" TargetMode="External"/><Relationship Id="rId2" Type="http://schemas.openxmlformats.org/officeDocument/2006/relationships/hyperlink" Target="http://mybookie.ag" TargetMode="External"/><Relationship Id="rId3" Type="http://schemas.openxmlformats.org/officeDocument/2006/relationships/hyperlink" Target="http://betonline.ag" TargetMode="External"/><Relationship Id="rId4" Type="http://schemas.openxmlformats.org/officeDocument/2006/relationships/hyperlink" Target="http://betonline.ag" TargetMode="External"/><Relationship Id="rId5" Type="http://schemas.openxmlformats.org/officeDocument/2006/relationships/hyperlink" Target="http://lowvig.ag" TargetMode="External"/><Relationship Id="rId6" Type="http://schemas.openxmlformats.org/officeDocument/2006/relationships/hyperlink" Target="http://lowvig.ag" TargetMode="External"/><Relationship Id="rId7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mybookie.ag" TargetMode="External"/><Relationship Id="rId2" Type="http://schemas.openxmlformats.org/officeDocument/2006/relationships/hyperlink" Target="http://mybookie.ag" TargetMode="External"/><Relationship Id="rId3" Type="http://schemas.openxmlformats.org/officeDocument/2006/relationships/hyperlink" Target="http://betonline.ag" TargetMode="External"/><Relationship Id="rId4" Type="http://schemas.openxmlformats.org/officeDocument/2006/relationships/hyperlink" Target="http://betonline.ag" TargetMode="External"/><Relationship Id="rId5" Type="http://schemas.openxmlformats.org/officeDocument/2006/relationships/hyperlink" Target="http://lowvig.ag" TargetMode="External"/><Relationship Id="rId6" Type="http://schemas.openxmlformats.org/officeDocument/2006/relationships/hyperlink" Target="http://lowvig.ag" TargetMode="External"/><Relationship Id="rId7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3" max="23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3" t="s">
        <v>23</v>
      </c>
      <c r="Y1" s="4" t="s">
        <v>24</v>
      </c>
      <c r="Z1" s="4" t="s">
        <v>25</v>
      </c>
      <c r="AA1" s="4" t="s">
        <v>26</v>
      </c>
      <c r="AB1" s="4"/>
    </row>
    <row r="2">
      <c r="A2" s="5">
        <f>VLOOKUP($D2,map!$D:$E,2,false)</f>
        <v>29</v>
      </c>
      <c r="B2" s="5">
        <f>VLOOKUP($E2,map!$D:$E,2,false)</f>
        <v>26</v>
      </c>
      <c r="C2" s="5" t="str">
        <f>IFERROR(__xludf.DUMMYFUNCTION("UNIQUE(odds!A2:A1000)"),"86278ec4bbdcadd945d79df6c695c2ec")</f>
        <v>86278ec4bbdcadd945d79df6c695c2ec</v>
      </c>
      <c r="D2" s="5" t="str">
        <f>VLOOKUP(C2,odds!$A:$G,6,false)</f>
        <v>Pittsburgh Steelers</v>
      </c>
      <c r="E2" s="5" t="str">
        <f>VLOOKUP(C2,odds!$A:$G,7,false)</f>
        <v>New York Giants</v>
      </c>
      <c r="F2" s="5">
        <f>VLOOKUP($A2,Data!$A:$C,3,false)</f>
        <v>28.7</v>
      </c>
      <c r="G2" s="5">
        <f>VLOOKUP($B2,Data!$A:$D,4,false)</f>
        <v>21.7</v>
      </c>
      <c r="H2" s="5">
        <f>VLOOKUP($A2,Data!$A:$E,5,false)</f>
        <v>309.3</v>
      </c>
      <c r="I2" s="5">
        <f>VLOOKUP($A2,Data!$A:$F,6,false)</f>
        <v>61.7</v>
      </c>
      <c r="J2" s="5">
        <f>VLOOKUP($A2,Data!$A:$G,7,false)</f>
        <v>10.8</v>
      </c>
      <c r="K2" s="5">
        <f>VLOOKUP($A2,Data!$A:$H,8,false)</f>
        <v>0.364</v>
      </c>
      <c r="L2" s="6">
        <f t="shared" ref="L2:L16" si="1">($J2/$H2) + ($I2*$K2)</f>
        <v>22.49371756</v>
      </c>
      <c r="M2" s="5">
        <f>VLOOKUP($B2,Data!$A:$C,3,false)</f>
        <v>13</v>
      </c>
      <c r="N2" s="5">
        <f>VLOOKUP($A2,Data!$A:$D,4,false)</f>
        <v>16</v>
      </c>
      <c r="O2" s="5">
        <f>VLOOKUP($B2,Data!$A:$E,5,false)</f>
        <v>282.7</v>
      </c>
      <c r="P2" s="5">
        <f>VLOOKUP($B2,Data!$A:$F,6,false)</f>
        <v>66.7</v>
      </c>
      <c r="Q2" s="5">
        <f>VLOOKUP($B2,Data!$A:$G,7,false)</f>
        <v>21.7</v>
      </c>
      <c r="R2" s="5">
        <f>VLOOKUP($B2,Data!$A:$H,8,false)</f>
        <v>0.219</v>
      </c>
      <c r="S2" s="6">
        <f t="shared" ref="S2:S16" si="2">($Q2/$O2) + ($P2*$R2)</f>
        <v>14.68405982</v>
      </c>
      <c r="T2" s="7">
        <f t="shared" ref="T2:T16" si="3">SUM(L2,S2)</f>
        <v>37.17777737</v>
      </c>
      <c r="U2" s="5" t="str">
        <f>VLOOKUP(#REF!,odds!A:L,12,false)</f>
        <v>#REF!</v>
      </c>
      <c r="V2" s="5" t="str">
        <f t="shared" ref="V2:V16" si="4">T2-U2</f>
        <v>#REF!</v>
      </c>
      <c r="W2" s="5" t="str">
        <f t="shared" ref="W2:W16" si="5">IF(V2&gt;=6.5,"Over",if(V2&lt;=-6.5,"Under",""))</f>
        <v>#REF!</v>
      </c>
      <c r="X2" s="8">
        <f t="shared" ref="X2:X16" si="6">SUM(L2-S2)*-1</f>
        <v>-7.80965774</v>
      </c>
      <c r="Y2" s="9">
        <f>VLOOKUP(D2,spread!I:L,4,false)</f>
        <v>-6</v>
      </c>
      <c r="Z2" s="10">
        <f t="shared" ref="Z2:Z16" si="7">sum(Y2-X2)</f>
        <v>1.80965774</v>
      </c>
      <c r="AA2" s="11" t="str">
        <f t="shared" ref="AA2:AA16" si="8">if(Z2&gt;=6.5,D2,if(Z2&lt;=-6.5,E2,""))</f>
        <v/>
      </c>
      <c r="AB2" s="11"/>
    </row>
    <row r="3">
      <c r="A3" s="5" t="str">
        <f>VLOOKUP($D3,map!$D:$E,2,false)</f>
        <v>#N/A</v>
      </c>
      <c r="B3" s="5" t="str">
        <f>VLOOKUP($E3,map!$D:$E,2,false)</f>
        <v>#N/A</v>
      </c>
      <c r="C3" s="5"/>
      <c r="D3" s="5" t="str">
        <f>VLOOKUP(C3,odds!$A:$G,6,false)</f>
        <v>#N/A</v>
      </c>
      <c r="E3" s="5" t="str">
        <f>VLOOKUP(C3,odds!$A:$G,7,false)</f>
        <v>#N/A</v>
      </c>
      <c r="F3" s="5" t="str">
        <f>VLOOKUP($A3,Data!$A:$C,3,false)</f>
        <v>#N/A</v>
      </c>
      <c r="G3" s="5" t="str">
        <f>VLOOKUP($B3,Data!$A:$D,4,false)</f>
        <v>#N/A</v>
      </c>
      <c r="H3" s="5" t="str">
        <f>VLOOKUP($A3,Data!$A:$E,5,false)</f>
        <v>#N/A</v>
      </c>
      <c r="I3" s="5" t="str">
        <f>VLOOKUP($A3,Data!$A:$F,6,false)</f>
        <v>#N/A</v>
      </c>
      <c r="J3" s="5" t="str">
        <f>VLOOKUP($A3,Data!$A:$G,7,false)</f>
        <v>#N/A</v>
      </c>
      <c r="K3" s="5" t="str">
        <f>VLOOKUP($A3,Data!$A:$H,8,false)</f>
        <v>#N/A</v>
      </c>
      <c r="L3" s="6" t="str">
        <f t="shared" si="1"/>
        <v>#N/A</v>
      </c>
      <c r="M3" s="5" t="str">
        <f>VLOOKUP($B3,Data!$A:$C,3,false)</f>
        <v>#N/A</v>
      </c>
      <c r="N3" s="5" t="str">
        <f>VLOOKUP($A3,Data!$A:$D,4,false)</f>
        <v>#N/A</v>
      </c>
      <c r="O3" s="5" t="str">
        <f>VLOOKUP($B3,Data!$A:$E,5,false)</f>
        <v>#N/A</v>
      </c>
      <c r="P3" s="5" t="str">
        <f>VLOOKUP($B3,Data!$A:$F,6,false)</f>
        <v>#N/A</v>
      </c>
      <c r="Q3" s="5" t="str">
        <f>VLOOKUP($B3,Data!$A:$G,7,false)</f>
        <v>#N/A</v>
      </c>
      <c r="R3" s="5" t="str">
        <f>VLOOKUP($B3,Data!$A:$H,8,false)</f>
        <v>#N/A</v>
      </c>
      <c r="S3" s="6" t="str">
        <f t="shared" si="2"/>
        <v>#N/A</v>
      </c>
      <c r="T3" s="7" t="str">
        <f t="shared" si="3"/>
        <v>#N/A</v>
      </c>
      <c r="U3" s="5" t="str">
        <f>VLOOKUP(C3,odds!A:L,12,false)</f>
        <v>#N/A</v>
      </c>
      <c r="V3" s="5" t="str">
        <f t="shared" si="4"/>
        <v>#N/A</v>
      </c>
      <c r="W3" s="5" t="str">
        <f t="shared" si="5"/>
        <v>#N/A</v>
      </c>
      <c r="X3" s="8" t="str">
        <f t="shared" si="6"/>
        <v>#N/A</v>
      </c>
      <c r="Y3" s="9" t="str">
        <f>VLOOKUP(D3,spread!I:L,4,false)</f>
        <v>#N/A</v>
      </c>
      <c r="Z3" s="10" t="str">
        <f t="shared" si="7"/>
        <v>#N/A</v>
      </c>
      <c r="AA3" s="11" t="str">
        <f t="shared" si="8"/>
        <v>#N/A</v>
      </c>
    </row>
    <row r="4">
      <c r="A4" s="5" t="str">
        <f>VLOOKUP($D4,map!$D:$E,2,false)</f>
        <v>#N/A</v>
      </c>
      <c r="B4" s="5" t="str">
        <f>VLOOKUP($E4,map!$D:$E,2,false)</f>
        <v>#N/A</v>
      </c>
      <c r="D4" s="5" t="str">
        <f>VLOOKUP(C4,odds!$A:$G,6,false)</f>
        <v>#N/A</v>
      </c>
      <c r="E4" s="5" t="str">
        <f>VLOOKUP(C4,odds!$A:$G,7,false)</f>
        <v>#N/A</v>
      </c>
      <c r="F4" s="5" t="str">
        <f>VLOOKUP($A4,Data!$A:$C,3,false)</f>
        <v>#N/A</v>
      </c>
      <c r="G4" s="5" t="str">
        <f>VLOOKUP($B4,Data!$A:$D,4,false)</f>
        <v>#N/A</v>
      </c>
      <c r="H4" s="5" t="str">
        <f>VLOOKUP($A4,Data!$A:$E,5,false)</f>
        <v>#N/A</v>
      </c>
      <c r="I4" s="5" t="str">
        <f>VLOOKUP($A4,Data!$A:$F,6,false)</f>
        <v>#N/A</v>
      </c>
      <c r="J4" s="5" t="str">
        <f>VLOOKUP($A4,Data!$A:$G,7,false)</f>
        <v>#N/A</v>
      </c>
      <c r="K4" s="5" t="str">
        <f>VLOOKUP($A4,Data!$A:$H,8,false)</f>
        <v>#N/A</v>
      </c>
      <c r="L4" s="6" t="str">
        <f t="shared" si="1"/>
        <v>#N/A</v>
      </c>
      <c r="M4" s="5" t="str">
        <f>VLOOKUP($B4,Data!$A:$C,3,false)</f>
        <v>#N/A</v>
      </c>
      <c r="N4" s="5" t="str">
        <f>VLOOKUP($A4,Data!$A:$D,4,false)</f>
        <v>#N/A</v>
      </c>
      <c r="O4" s="5" t="str">
        <f>VLOOKUP($B4,Data!$A:$E,5,false)</f>
        <v>#N/A</v>
      </c>
      <c r="P4" s="5" t="str">
        <f>VLOOKUP($B4,Data!$A:$F,6,false)</f>
        <v>#N/A</v>
      </c>
      <c r="Q4" s="5" t="str">
        <f>VLOOKUP($B4,Data!$A:$G,7,false)</f>
        <v>#N/A</v>
      </c>
      <c r="R4" s="5" t="str">
        <f>VLOOKUP($B4,Data!$A:$H,8,false)</f>
        <v>#N/A</v>
      </c>
      <c r="S4" s="6" t="str">
        <f t="shared" si="2"/>
        <v>#N/A</v>
      </c>
      <c r="T4" s="7" t="str">
        <f t="shared" si="3"/>
        <v>#N/A</v>
      </c>
      <c r="U4" s="5" t="str">
        <f>VLOOKUP(C4,odds!A:L,12,false)</f>
        <v>#N/A</v>
      </c>
      <c r="V4" s="5" t="str">
        <f t="shared" si="4"/>
        <v>#N/A</v>
      </c>
      <c r="W4" s="5" t="str">
        <f t="shared" si="5"/>
        <v>#N/A</v>
      </c>
      <c r="X4" s="8" t="str">
        <f t="shared" si="6"/>
        <v>#N/A</v>
      </c>
      <c r="Y4" s="9" t="str">
        <f>VLOOKUP(D4,spread!I:L,4,false)</f>
        <v>#N/A</v>
      </c>
      <c r="Z4" s="10" t="str">
        <f t="shared" si="7"/>
        <v>#N/A</v>
      </c>
      <c r="AA4" s="11" t="str">
        <f t="shared" si="8"/>
        <v>#N/A</v>
      </c>
    </row>
    <row r="5">
      <c r="A5" s="5" t="str">
        <f>VLOOKUP($D5,map!$D:$E,2,false)</f>
        <v>#N/A</v>
      </c>
      <c r="B5" s="5" t="str">
        <f>VLOOKUP($E5,map!$D:$E,2,false)</f>
        <v>#N/A</v>
      </c>
      <c r="D5" s="5" t="str">
        <f>VLOOKUP(C5,odds!$A:$G,6,false)</f>
        <v>#N/A</v>
      </c>
      <c r="E5" s="5" t="str">
        <f>VLOOKUP(C5,odds!$A:$G,7,false)</f>
        <v>#N/A</v>
      </c>
      <c r="F5" s="5" t="str">
        <f>VLOOKUP($A5,Data!$A:$C,3,false)</f>
        <v>#N/A</v>
      </c>
      <c r="G5" s="5" t="str">
        <f>VLOOKUP($B5,Data!$A:$D,4,false)</f>
        <v>#N/A</v>
      </c>
      <c r="H5" s="5" t="str">
        <f>VLOOKUP($A5,Data!$A:$E,5,false)</f>
        <v>#N/A</v>
      </c>
      <c r="I5" s="5" t="str">
        <f>VLOOKUP($A5,Data!$A:$F,6,false)</f>
        <v>#N/A</v>
      </c>
      <c r="J5" s="5" t="str">
        <f>VLOOKUP($A5,Data!$A:$G,7,false)</f>
        <v>#N/A</v>
      </c>
      <c r="K5" s="5" t="str">
        <f>VLOOKUP($A5,Data!$A:$H,8,false)</f>
        <v>#N/A</v>
      </c>
      <c r="L5" s="6" t="str">
        <f t="shared" si="1"/>
        <v>#N/A</v>
      </c>
      <c r="M5" s="5" t="str">
        <f>VLOOKUP($B5,Data!$A:$C,3,false)</f>
        <v>#N/A</v>
      </c>
      <c r="N5" s="5" t="str">
        <f>VLOOKUP($A5,Data!$A:$D,4,false)</f>
        <v>#N/A</v>
      </c>
      <c r="O5" s="5" t="str">
        <f>VLOOKUP($B5,Data!$A:$E,5,false)</f>
        <v>#N/A</v>
      </c>
      <c r="P5" s="5" t="str">
        <f>VLOOKUP($B5,Data!$A:$F,6,false)</f>
        <v>#N/A</v>
      </c>
      <c r="Q5" s="5" t="str">
        <f>VLOOKUP($B5,Data!$A:$G,7,false)</f>
        <v>#N/A</v>
      </c>
      <c r="R5" s="5" t="str">
        <f>VLOOKUP($B5,Data!$A:$H,8,false)</f>
        <v>#N/A</v>
      </c>
      <c r="S5" s="6" t="str">
        <f t="shared" si="2"/>
        <v>#N/A</v>
      </c>
      <c r="T5" s="7" t="str">
        <f t="shared" si="3"/>
        <v>#N/A</v>
      </c>
      <c r="U5" s="5" t="str">
        <f>VLOOKUP(C5,odds!A:L,12,false)</f>
        <v>#N/A</v>
      </c>
      <c r="V5" s="5" t="str">
        <f t="shared" si="4"/>
        <v>#N/A</v>
      </c>
      <c r="W5" s="5" t="str">
        <f t="shared" si="5"/>
        <v>#N/A</v>
      </c>
      <c r="X5" s="8" t="str">
        <f t="shared" si="6"/>
        <v>#N/A</v>
      </c>
      <c r="Y5" s="9" t="str">
        <f>VLOOKUP(D5,spread!I:L,4,false)</f>
        <v>#N/A</v>
      </c>
      <c r="Z5" s="10" t="str">
        <f t="shared" si="7"/>
        <v>#N/A</v>
      </c>
      <c r="AA5" s="11" t="str">
        <f t="shared" si="8"/>
        <v>#N/A</v>
      </c>
    </row>
    <row r="6">
      <c r="A6" s="5" t="str">
        <f>VLOOKUP($D6,map!$D:$E,2,false)</f>
        <v>#N/A</v>
      </c>
      <c r="B6" s="5" t="str">
        <f>VLOOKUP($E6,map!$D:$E,2,false)</f>
        <v>#N/A</v>
      </c>
      <c r="D6" s="5" t="str">
        <f>VLOOKUP(C6,odds!$A:$G,6,false)</f>
        <v>#N/A</v>
      </c>
      <c r="E6" s="5" t="str">
        <f>VLOOKUP(C6,odds!$A:$G,7,false)</f>
        <v>#N/A</v>
      </c>
      <c r="F6" s="5" t="str">
        <f>VLOOKUP($A6,Data!$A:$C,3,false)</f>
        <v>#N/A</v>
      </c>
      <c r="G6" s="5" t="str">
        <f>VLOOKUP($B6,Data!$A:$D,4,false)</f>
        <v>#N/A</v>
      </c>
      <c r="H6" s="5" t="str">
        <f>VLOOKUP($A6,Data!$A:$E,5,false)</f>
        <v>#N/A</v>
      </c>
      <c r="I6" s="5" t="str">
        <f>VLOOKUP($A6,Data!$A:$F,6,false)</f>
        <v>#N/A</v>
      </c>
      <c r="J6" s="5" t="str">
        <f>VLOOKUP($A6,Data!$A:$G,7,false)</f>
        <v>#N/A</v>
      </c>
      <c r="K6" s="5" t="str">
        <f>VLOOKUP($A6,Data!$A:$H,8,false)</f>
        <v>#N/A</v>
      </c>
      <c r="L6" s="6" t="str">
        <f t="shared" si="1"/>
        <v>#N/A</v>
      </c>
      <c r="M6" s="5" t="str">
        <f>VLOOKUP($B6,Data!$A:$C,3,false)</f>
        <v>#N/A</v>
      </c>
      <c r="N6" s="5" t="str">
        <f>VLOOKUP($A6,Data!$A:$D,4,false)</f>
        <v>#N/A</v>
      </c>
      <c r="O6" s="5" t="str">
        <f>VLOOKUP($B6,Data!$A:$E,5,false)</f>
        <v>#N/A</v>
      </c>
      <c r="P6" s="5" t="str">
        <f>VLOOKUP($B6,Data!$A:$F,6,false)</f>
        <v>#N/A</v>
      </c>
      <c r="Q6" s="5" t="str">
        <f>VLOOKUP($B6,Data!$A:$G,7,false)</f>
        <v>#N/A</v>
      </c>
      <c r="R6" s="5" t="str">
        <f>VLOOKUP($B6,Data!$A:$H,8,false)</f>
        <v>#N/A</v>
      </c>
      <c r="S6" s="6" t="str">
        <f t="shared" si="2"/>
        <v>#N/A</v>
      </c>
      <c r="T6" s="7" t="str">
        <f t="shared" si="3"/>
        <v>#N/A</v>
      </c>
      <c r="U6" s="5" t="str">
        <f>VLOOKUP(C6,odds!A:L,12,false)</f>
        <v>#N/A</v>
      </c>
      <c r="V6" s="5" t="str">
        <f t="shared" si="4"/>
        <v>#N/A</v>
      </c>
      <c r="W6" s="5" t="str">
        <f t="shared" si="5"/>
        <v>#N/A</v>
      </c>
      <c r="X6" s="8" t="str">
        <f t="shared" si="6"/>
        <v>#N/A</v>
      </c>
      <c r="Y6" s="9" t="str">
        <f>VLOOKUP(D6,spread!I:L,4,false)</f>
        <v>#N/A</v>
      </c>
      <c r="Z6" s="10" t="str">
        <f t="shared" si="7"/>
        <v>#N/A</v>
      </c>
      <c r="AA6" s="11" t="str">
        <f t="shared" si="8"/>
        <v>#N/A</v>
      </c>
    </row>
    <row r="7">
      <c r="A7" s="5" t="str">
        <f>VLOOKUP($D7,map!$D:$E,2,false)</f>
        <v>#N/A</v>
      </c>
      <c r="B7" s="5" t="str">
        <f>VLOOKUP($E7,map!$D:$E,2,false)</f>
        <v>#N/A</v>
      </c>
      <c r="D7" s="5" t="str">
        <f>VLOOKUP(C7,odds!$A:$G,6,false)</f>
        <v>#N/A</v>
      </c>
      <c r="E7" s="5" t="str">
        <f>VLOOKUP(C7,odds!$A:$G,7,false)</f>
        <v>#N/A</v>
      </c>
      <c r="F7" s="5" t="str">
        <f>VLOOKUP($A7,Data!$A:$C,3,false)</f>
        <v>#N/A</v>
      </c>
      <c r="G7" s="5" t="str">
        <f>VLOOKUP($B7,Data!$A:$D,4,false)</f>
        <v>#N/A</v>
      </c>
      <c r="H7" s="5" t="str">
        <f>VLOOKUP($A7,Data!$A:$E,5,false)</f>
        <v>#N/A</v>
      </c>
      <c r="I7" s="5" t="str">
        <f>VLOOKUP($A7,Data!$A:$F,6,false)</f>
        <v>#N/A</v>
      </c>
      <c r="J7" s="5" t="str">
        <f>VLOOKUP($A7,Data!$A:$G,7,false)</f>
        <v>#N/A</v>
      </c>
      <c r="K7" s="5" t="str">
        <f>VLOOKUP($A7,Data!$A:$H,8,false)</f>
        <v>#N/A</v>
      </c>
      <c r="L7" s="6" t="str">
        <f t="shared" si="1"/>
        <v>#N/A</v>
      </c>
      <c r="M7" s="5" t="str">
        <f>VLOOKUP($B7,Data!$A:$C,3,false)</f>
        <v>#N/A</v>
      </c>
      <c r="N7" s="5" t="str">
        <f>VLOOKUP($A7,Data!$A:$D,4,false)</f>
        <v>#N/A</v>
      </c>
      <c r="O7" s="5" t="str">
        <f>VLOOKUP($B7,Data!$A:$E,5,false)</f>
        <v>#N/A</v>
      </c>
      <c r="P7" s="5" t="str">
        <f>VLOOKUP($B7,Data!$A:$F,6,false)</f>
        <v>#N/A</v>
      </c>
      <c r="Q7" s="5" t="str">
        <f>VLOOKUP($B7,Data!$A:$G,7,false)</f>
        <v>#N/A</v>
      </c>
      <c r="R7" s="5" t="str">
        <f>VLOOKUP($B7,Data!$A:$H,8,false)</f>
        <v>#N/A</v>
      </c>
      <c r="S7" s="6" t="str">
        <f t="shared" si="2"/>
        <v>#N/A</v>
      </c>
      <c r="T7" s="7" t="str">
        <f t="shared" si="3"/>
        <v>#N/A</v>
      </c>
      <c r="U7" s="5" t="str">
        <f>VLOOKUP(C7,odds!A:L,12,false)</f>
        <v>#N/A</v>
      </c>
      <c r="V7" s="5" t="str">
        <f t="shared" si="4"/>
        <v>#N/A</v>
      </c>
      <c r="W7" s="5" t="str">
        <f t="shared" si="5"/>
        <v>#N/A</v>
      </c>
      <c r="X7" s="8" t="str">
        <f t="shared" si="6"/>
        <v>#N/A</v>
      </c>
      <c r="Y7" s="9" t="str">
        <f>VLOOKUP(D7,spread!I:L,4,false)</f>
        <v>#N/A</v>
      </c>
      <c r="Z7" s="10" t="str">
        <f t="shared" si="7"/>
        <v>#N/A</v>
      </c>
      <c r="AA7" s="11" t="str">
        <f t="shared" si="8"/>
        <v>#N/A</v>
      </c>
    </row>
    <row r="8">
      <c r="A8" s="5" t="str">
        <f>VLOOKUP($D8,map!$D:$E,2,false)</f>
        <v>#N/A</v>
      </c>
      <c r="B8" s="5" t="str">
        <f>VLOOKUP($E8,map!$D:$E,2,false)</f>
        <v>#N/A</v>
      </c>
      <c r="D8" s="5" t="str">
        <f>VLOOKUP(C8,odds!$A:$G,6,false)</f>
        <v>#N/A</v>
      </c>
      <c r="E8" s="5" t="str">
        <f>VLOOKUP(C8,odds!$A:$G,7,false)</f>
        <v>#N/A</v>
      </c>
      <c r="F8" s="5" t="str">
        <f>VLOOKUP($A8,Data!$A:$C,3,false)</f>
        <v>#N/A</v>
      </c>
      <c r="G8" s="5" t="str">
        <f>VLOOKUP($B8,Data!$A:$D,4,false)</f>
        <v>#N/A</v>
      </c>
      <c r="H8" s="5" t="str">
        <f>VLOOKUP($A8,Data!$A:$E,5,false)</f>
        <v>#N/A</v>
      </c>
      <c r="I8" s="5" t="str">
        <f>VLOOKUP($A8,Data!$A:$F,6,false)</f>
        <v>#N/A</v>
      </c>
      <c r="J8" s="5" t="str">
        <f>VLOOKUP($A8,Data!$A:$G,7,false)</f>
        <v>#N/A</v>
      </c>
      <c r="K8" s="5" t="str">
        <f>VLOOKUP($A8,Data!$A:$H,8,false)</f>
        <v>#N/A</v>
      </c>
      <c r="L8" s="6" t="str">
        <f t="shared" si="1"/>
        <v>#N/A</v>
      </c>
      <c r="M8" s="5" t="str">
        <f>VLOOKUP($B8,Data!$A:$C,3,false)</f>
        <v>#N/A</v>
      </c>
      <c r="N8" s="5" t="str">
        <f>VLOOKUP($A8,Data!$A:$D,4,false)</f>
        <v>#N/A</v>
      </c>
      <c r="O8" s="5" t="str">
        <f>VLOOKUP($B8,Data!$A:$E,5,false)</f>
        <v>#N/A</v>
      </c>
      <c r="P8" s="5" t="str">
        <f>VLOOKUP($B8,Data!$A:$F,6,false)</f>
        <v>#N/A</v>
      </c>
      <c r="Q8" s="5" t="str">
        <f>VLOOKUP($B8,Data!$A:$G,7,false)</f>
        <v>#N/A</v>
      </c>
      <c r="R8" s="5" t="str">
        <f>VLOOKUP($B8,Data!$A:$H,8,false)</f>
        <v>#N/A</v>
      </c>
      <c r="S8" s="6" t="str">
        <f t="shared" si="2"/>
        <v>#N/A</v>
      </c>
      <c r="T8" s="7" t="str">
        <f t="shared" si="3"/>
        <v>#N/A</v>
      </c>
      <c r="U8" s="5" t="str">
        <f>VLOOKUP(C8,odds!A:L,12,false)</f>
        <v>#N/A</v>
      </c>
      <c r="V8" s="5" t="str">
        <f t="shared" si="4"/>
        <v>#N/A</v>
      </c>
      <c r="W8" s="5" t="str">
        <f t="shared" si="5"/>
        <v>#N/A</v>
      </c>
      <c r="X8" s="8" t="str">
        <f t="shared" si="6"/>
        <v>#N/A</v>
      </c>
      <c r="Y8" s="9" t="str">
        <f>VLOOKUP(D8,spread!I:L,4,false)</f>
        <v>#N/A</v>
      </c>
      <c r="Z8" s="10" t="str">
        <f t="shared" si="7"/>
        <v>#N/A</v>
      </c>
      <c r="AA8" s="11" t="str">
        <f t="shared" si="8"/>
        <v>#N/A</v>
      </c>
    </row>
    <row r="9">
      <c r="A9" s="5" t="str">
        <f>VLOOKUP($D9,map!$D:$E,2,false)</f>
        <v>#N/A</v>
      </c>
      <c r="B9" s="5" t="str">
        <f>VLOOKUP($E9,map!$D:$E,2,false)</f>
        <v>#N/A</v>
      </c>
      <c r="D9" s="5" t="str">
        <f>VLOOKUP(C9,odds!$A:$G,6,false)</f>
        <v>#N/A</v>
      </c>
      <c r="E9" s="5" t="str">
        <f>VLOOKUP(C9,odds!$A:$G,7,false)</f>
        <v>#N/A</v>
      </c>
      <c r="F9" s="5" t="str">
        <f>VLOOKUP($A9,Data!$A:$C,3,false)</f>
        <v>#N/A</v>
      </c>
      <c r="G9" s="5" t="str">
        <f>VLOOKUP($B9,Data!$A:$D,4,false)</f>
        <v>#N/A</v>
      </c>
      <c r="H9" s="5" t="str">
        <f>VLOOKUP($A9,Data!$A:$E,5,false)</f>
        <v>#N/A</v>
      </c>
      <c r="I9" s="5" t="str">
        <f>VLOOKUP($A9,Data!$A:$F,6,false)</f>
        <v>#N/A</v>
      </c>
      <c r="J9" s="5" t="str">
        <f>VLOOKUP($A9,Data!$A:$G,7,false)</f>
        <v>#N/A</v>
      </c>
      <c r="K9" s="5" t="str">
        <f>VLOOKUP($A9,Data!$A:$H,8,false)</f>
        <v>#N/A</v>
      </c>
      <c r="L9" s="6" t="str">
        <f t="shared" si="1"/>
        <v>#N/A</v>
      </c>
      <c r="M9" s="5" t="str">
        <f>VLOOKUP($B9,Data!$A:$C,3,false)</f>
        <v>#N/A</v>
      </c>
      <c r="N9" s="5" t="str">
        <f>VLOOKUP($A9,Data!$A:$D,4,false)</f>
        <v>#N/A</v>
      </c>
      <c r="O9" s="5" t="str">
        <f>VLOOKUP($B9,Data!$A:$E,5,false)</f>
        <v>#N/A</v>
      </c>
      <c r="P9" s="5" t="str">
        <f>VLOOKUP($B9,Data!$A:$F,6,false)</f>
        <v>#N/A</v>
      </c>
      <c r="Q9" s="5" t="str">
        <f>VLOOKUP($B9,Data!$A:$G,7,false)</f>
        <v>#N/A</v>
      </c>
      <c r="R9" s="5" t="str">
        <f>VLOOKUP($B9,Data!$A:$H,8,false)</f>
        <v>#N/A</v>
      </c>
      <c r="S9" s="6" t="str">
        <f t="shared" si="2"/>
        <v>#N/A</v>
      </c>
      <c r="T9" s="7" t="str">
        <f t="shared" si="3"/>
        <v>#N/A</v>
      </c>
      <c r="U9" s="5" t="str">
        <f>VLOOKUP(C9,odds!A:L,12,false)</f>
        <v>#N/A</v>
      </c>
      <c r="V9" s="5" t="str">
        <f t="shared" si="4"/>
        <v>#N/A</v>
      </c>
      <c r="W9" s="5" t="str">
        <f t="shared" si="5"/>
        <v>#N/A</v>
      </c>
      <c r="X9" s="8" t="str">
        <f t="shared" si="6"/>
        <v>#N/A</v>
      </c>
      <c r="Y9" s="9" t="str">
        <f>VLOOKUP(D9,spread!I:L,4,false)</f>
        <v>#N/A</v>
      </c>
      <c r="Z9" s="10" t="str">
        <f t="shared" si="7"/>
        <v>#N/A</v>
      </c>
      <c r="AA9" s="11" t="str">
        <f t="shared" si="8"/>
        <v>#N/A</v>
      </c>
    </row>
    <row r="10">
      <c r="A10" s="5" t="str">
        <f>VLOOKUP($D10,map!$D:$E,2,false)</f>
        <v>#N/A</v>
      </c>
      <c r="B10" s="5" t="str">
        <f>VLOOKUP($E10,map!$D:$E,2,false)</f>
        <v>#N/A</v>
      </c>
      <c r="D10" s="5" t="str">
        <f>VLOOKUP(C10,odds!$A:$G,6,false)</f>
        <v>#N/A</v>
      </c>
      <c r="E10" s="5" t="str">
        <f>VLOOKUP(C10,odds!$A:$G,7,false)</f>
        <v>#N/A</v>
      </c>
      <c r="F10" s="5" t="str">
        <f>VLOOKUP($A10,Data!$A:$C,3,false)</f>
        <v>#N/A</v>
      </c>
      <c r="G10" s="5" t="str">
        <f>VLOOKUP($B10,Data!$A:$D,4,false)</f>
        <v>#N/A</v>
      </c>
      <c r="H10" s="5" t="str">
        <f>VLOOKUP($A10,Data!$A:$E,5,false)</f>
        <v>#N/A</v>
      </c>
      <c r="I10" s="5" t="str">
        <f>VLOOKUP($A10,Data!$A:$F,6,false)</f>
        <v>#N/A</v>
      </c>
      <c r="J10" s="5" t="str">
        <f>VLOOKUP($A10,Data!$A:$G,7,false)</f>
        <v>#N/A</v>
      </c>
      <c r="K10" s="5" t="str">
        <f>VLOOKUP($A10,Data!$A:$H,8,false)</f>
        <v>#N/A</v>
      </c>
      <c r="L10" s="6" t="str">
        <f t="shared" si="1"/>
        <v>#N/A</v>
      </c>
      <c r="M10" s="5" t="str">
        <f>VLOOKUP($B10,Data!$A:$C,3,false)</f>
        <v>#N/A</v>
      </c>
      <c r="N10" s="5" t="str">
        <f>VLOOKUP($A10,Data!$A:$D,4,false)</f>
        <v>#N/A</v>
      </c>
      <c r="O10" s="5" t="str">
        <f>VLOOKUP($B10,Data!$A:$E,5,false)</f>
        <v>#N/A</v>
      </c>
      <c r="P10" s="5" t="str">
        <f>VLOOKUP($B10,Data!$A:$F,6,false)</f>
        <v>#N/A</v>
      </c>
      <c r="Q10" s="5" t="str">
        <f>VLOOKUP($B10,Data!$A:$G,7,false)</f>
        <v>#N/A</v>
      </c>
      <c r="R10" s="5" t="str">
        <f>VLOOKUP($B10,Data!$A:$H,8,false)</f>
        <v>#N/A</v>
      </c>
      <c r="S10" s="6" t="str">
        <f t="shared" si="2"/>
        <v>#N/A</v>
      </c>
      <c r="T10" s="7" t="str">
        <f t="shared" si="3"/>
        <v>#N/A</v>
      </c>
      <c r="U10" s="5" t="str">
        <f>VLOOKUP(C10,odds!A:L,12,false)</f>
        <v>#N/A</v>
      </c>
      <c r="V10" s="5" t="str">
        <f t="shared" si="4"/>
        <v>#N/A</v>
      </c>
      <c r="W10" s="5" t="str">
        <f t="shared" si="5"/>
        <v>#N/A</v>
      </c>
      <c r="X10" s="8" t="str">
        <f t="shared" si="6"/>
        <v>#N/A</v>
      </c>
      <c r="Y10" s="9" t="str">
        <f>VLOOKUP(D10,spread!I:L,4,false)</f>
        <v>#N/A</v>
      </c>
      <c r="Z10" s="10" t="str">
        <f t="shared" si="7"/>
        <v>#N/A</v>
      </c>
      <c r="AA10" s="11" t="str">
        <f t="shared" si="8"/>
        <v>#N/A</v>
      </c>
    </row>
    <row r="11">
      <c r="A11" s="5" t="str">
        <f>VLOOKUP($D11,map!$D:$E,2,false)</f>
        <v>#N/A</v>
      </c>
      <c r="B11" s="5" t="str">
        <f>VLOOKUP($E11,map!$D:$E,2,false)</f>
        <v>#N/A</v>
      </c>
      <c r="D11" s="5" t="str">
        <f>VLOOKUP(C11,odds!$A:$G,6,false)</f>
        <v>#N/A</v>
      </c>
      <c r="E11" s="5" t="str">
        <f>VLOOKUP(C11,odds!$A:$G,7,false)</f>
        <v>#N/A</v>
      </c>
      <c r="F11" s="5" t="str">
        <f>VLOOKUP($A11,Data!$A:$C,3,false)</f>
        <v>#N/A</v>
      </c>
      <c r="G11" s="5" t="str">
        <f>VLOOKUP($B11,Data!$A:$D,4,false)</f>
        <v>#N/A</v>
      </c>
      <c r="H11" s="5" t="str">
        <f>VLOOKUP($A11,Data!$A:$E,5,false)</f>
        <v>#N/A</v>
      </c>
      <c r="I11" s="5" t="str">
        <f>VLOOKUP($A11,Data!$A:$F,6,false)</f>
        <v>#N/A</v>
      </c>
      <c r="J11" s="5" t="str">
        <f>VLOOKUP($A11,Data!$A:$G,7,false)</f>
        <v>#N/A</v>
      </c>
      <c r="K11" s="5" t="str">
        <f>VLOOKUP($A11,Data!$A:$H,8,false)</f>
        <v>#N/A</v>
      </c>
      <c r="L11" s="6" t="str">
        <f t="shared" si="1"/>
        <v>#N/A</v>
      </c>
      <c r="M11" s="5" t="str">
        <f>VLOOKUP($B11,Data!$A:$C,3,false)</f>
        <v>#N/A</v>
      </c>
      <c r="N11" s="5" t="str">
        <f>VLOOKUP($A11,Data!$A:$D,4,false)</f>
        <v>#N/A</v>
      </c>
      <c r="O11" s="5" t="str">
        <f>VLOOKUP($B11,Data!$A:$E,5,false)</f>
        <v>#N/A</v>
      </c>
      <c r="P11" s="5" t="str">
        <f>VLOOKUP($B11,Data!$A:$F,6,false)</f>
        <v>#N/A</v>
      </c>
      <c r="Q11" s="5" t="str">
        <f>VLOOKUP($B11,Data!$A:$G,7,false)</f>
        <v>#N/A</v>
      </c>
      <c r="R11" s="5" t="str">
        <f>VLOOKUP($B11,Data!$A:$H,8,false)</f>
        <v>#N/A</v>
      </c>
      <c r="S11" s="6" t="str">
        <f t="shared" si="2"/>
        <v>#N/A</v>
      </c>
      <c r="T11" s="7" t="str">
        <f t="shared" si="3"/>
        <v>#N/A</v>
      </c>
      <c r="U11" s="5" t="str">
        <f>VLOOKUP(C11,odds!A:L,12,false)</f>
        <v>#N/A</v>
      </c>
      <c r="V11" s="5" t="str">
        <f t="shared" si="4"/>
        <v>#N/A</v>
      </c>
      <c r="W11" s="5" t="str">
        <f t="shared" si="5"/>
        <v>#N/A</v>
      </c>
      <c r="X11" s="8" t="str">
        <f t="shared" si="6"/>
        <v>#N/A</v>
      </c>
      <c r="Y11" s="9" t="str">
        <f>VLOOKUP(D11,spread!I:L,4,false)</f>
        <v>#N/A</v>
      </c>
      <c r="Z11" s="10" t="str">
        <f t="shared" si="7"/>
        <v>#N/A</v>
      </c>
      <c r="AA11" s="11" t="str">
        <f t="shared" si="8"/>
        <v>#N/A</v>
      </c>
    </row>
    <row r="12">
      <c r="A12" s="5" t="str">
        <f>VLOOKUP($D12,map!$D:$E,2,false)</f>
        <v>#N/A</v>
      </c>
      <c r="B12" s="5" t="str">
        <f>VLOOKUP($E12,map!$D:$E,2,false)</f>
        <v>#N/A</v>
      </c>
      <c r="D12" s="5" t="str">
        <f>VLOOKUP(C12,odds!$A:$G,6,false)</f>
        <v>#N/A</v>
      </c>
      <c r="E12" s="5" t="str">
        <f>VLOOKUP(C12,odds!$A:$G,7,false)</f>
        <v>#N/A</v>
      </c>
      <c r="F12" s="5" t="str">
        <f>VLOOKUP($A12,Data!$A:$C,3,false)</f>
        <v>#N/A</v>
      </c>
      <c r="G12" s="5" t="str">
        <f>VLOOKUP($B12,Data!$A:$D,4,false)</f>
        <v>#N/A</v>
      </c>
      <c r="H12" s="5" t="str">
        <f>VLOOKUP($A12,Data!$A:$E,5,false)</f>
        <v>#N/A</v>
      </c>
      <c r="I12" s="5" t="str">
        <f>VLOOKUP($A12,Data!$A:$F,6,false)</f>
        <v>#N/A</v>
      </c>
      <c r="J12" s="5" t="str">
        <f>VLOOKUP($A12,Data!$A:$G,7,false)</f>
        <v>#N/A</v>
      </c>
      <c r="K12" s="5" t="str">
        <f>VLOOKUP($A12,Data!$A:$H,8,false)</f>
        <v>#N/A</v>
      </c>
      <c r="L12" s="6" t="str">
        <f t="shared" si="1"/>
        <v>#N/A</v>
      </c>
      <c r="M12" s="5" t="str">
        <f>VLOOKUP($B12,Data!$A:$C,3,false)</f>
        <v>#N/A</v>
      </c>
      <c r="N12" s="5" t="str">
        <f>VLOOKUP($A12,Data!$A:$D,4,false)</f>
        <v>#N/A</v>
      </c>
      <c r="O12" s="5" t="str">
        <f>VLOOKUP($B12,Data!$A:$E,5,false)</f>
        <v>#N/A</v>
      </c>
      <c r="P12" s="5" t="str">
        <f>VLOOKUP($B12,Data!$A:$F,6,false)</f>
        <v>#N/A</v>
      </c>
      <c r="Q12" s="5" t="str">
        <f>VLOOKUP($B12,Data!$A:$G,7,false)</f>
        <v>#N/A</v>
      </c>
      <c r="R12" s="5" t="str">
        <f>VLOOKUP($B12,Data!$A:$H,8,false)</f>
        <v>#N/A</v>
      </c>
      <c r="S12" s="6" t="str">
        <f t="shared" si="2"/>
        <v>#N/A</v>
      </c>
      <c r="T12" s="7" t="str">
        <f t="shared" si="3"/>
        <v>#N/A</v>
      </c>
      <c r="U12" s="5" t="str">
        <f>VLOOKUP(C12,odds!A:L,12,false)</f>
        <v>#N/A</v>
      </c>
      <c r="V12" s="5" t="str">
        <f t="shared" si="4"/>
        <v>#N/A</v>
      </c>
      <c r="W12" s="5" t="str">
        <f t="shared" si="5"/>
        <v>#N/A</v>
      </c>
      <c r="X12" s="8" t="str">
        <f t="shared" si="6"/>
        <v>#N/A</v>
      </c>
      <c r="Y12" s="9" t="str">
        <f>VLOOKUP(D12,spread!I:L,4,false)</f>
        <v>#N/A</v>
      </c>
      <c r="Z12" s="10" t="str">
        <f t="shared" si="7"/>
        <v>#N/A</v>
      </c>
      <c r="AA12" s="11" t="str">
        <f t="shared" si="8"/>
        <v>#N/A</v>
      </c>
    </row>
    <row r="13">
      <c r="A13" s="5" t="str">
        <f>VLOOKUP($D13,map!$D:$E,2,false)</f>
        <v>#N/A</v>
      </c>
      <c r="B13" s="5" t="str">
        <f>VLOOKUP($E13,map!$D:$E,2,false)</f>
        <v>#N/A</v>
      </c>
      <c r="D13" s="5" t="str">
        <f>VLOOKUP(C13,odds!$A:$G,6,false)</f>
        <v>#N/A</v>
      </c>
      <c r="E13" s="5" t="str">
        <f>VLOOKUP(C13,odds!$A:$G,7,false)</f>
        <v>#N/A</v>
      </c>
      <c r="F13" s="5" t="str">
        <f>VLOOKUP($A13,Data!$A:$C,3,false)</f>
        <v>#N/A</v>
      </c>
      <c r="G13" s="5" t="str">
        <f>VLOOKUP($B13,Data!$A:$D,4,false)</f>
        <v>#N/A</v>
      </c>
      <c r="H13" s="5" t="str">
        <f>VLOOKUP($A13,Data!$A:$E,5,false)</f>
        <v>#N/A</v>
      </c>
      <c r="I13" s="5" t="str">
        <f>VLOOKUP($A13,Data!$A:$F,6,false)</f>
        <v>#N/A</v>
      </c>
      <c r="J13" s="5" t="str">
        <f>VLOOKUP($A13,Data!$A:$G,7,false)</f>
        <v>#N/A</v>
      </c>
      <c r="K13" s="5" t="str">
        <f>VLOOKUP($A13,Data!$A:$H,8,false)</f>
        <v>#N/A</v>
      </c>
      <c r="L13" s="6" t="str">
        <f t="shared" si="1"/>
        <v>#N/A</v>
      </c>
      <c r="M13" s="5" t="str">
        <f>VLOOKUP($B13,Data!$A:$C,3,false)</f>
        <v>#N/A</v>
      </c>
      <c r="N13" s="5" t="str">
        <f>VLOOKUP($A13,Data!$A:$D,4,false)</f>
        <v>#N/A</v>
      </c>
      <c r="O13" s="5" t="str">
        <f>VLOOKUP($B13,Data!$A:$E,5,false)</f>
        <v>#N/A</v>
      </c>
      <c r="P13" s="5" t="str">
        <f>VLOOKUP($B13,Data!$A:$F,6,false)</f>
        <v>#N/A</v>
      </c>
      <c r="Q13" s="5" t="str">
        <f>VLOOKUP($B13,Data!$A:$G,7,false)</f>
        <v>#N/A</v>
      </c>
      <c r="R13" s="5" t="str">
        <f>VLOOKUP($B13,Data!$A:$H,8,false)</f>
        <v>#N/A</v>
      </c>
      <c r="S13" s="6" t="str">
        <f t="shared" si="2"/>
        <v>#N/A</v>
      </c>
      <c r="T13" s="7" t="str">
        <f t="shared" si="3"/>
        <v>#N/A</v>
      </c>
      <c r="U13" s="5" t="str">
        <f>VLOOKUP(C13,odds!A:L,12,false)</f>
        <v>#N/A</v>
      </c>
      <c r="V13" s="5" t="str">
        <f t="shared" si="4"/>
        <v>#N/A</v>
      </c>
      <c r="W13" s="5" t="str">
        <f t="shared" si="5"/>
        <v>#N/A</v>
      </c>
      <c r="X13" s="8" t="str">
        <f t="shared" si="6"/>
        <v>#N/A</v>
      </c>
      <c r="Y13" s="9" t="str">
        <f>VLOOKUP(D13,spread!I:L,4,false)</f>
        <v>#N/A</v>
      </c>
      <c r="Z13" s="10" t="str">
        <f t="shared" si="7"/>
        <v>#N/A</v>
      </c>
      <c r="AA13" s="11" t="str">
        <f t="shared" si="8"/>
        <v>#N/A</v>
      </c>
    </row>
    <row r="14">
      <c r="A14" s="5" t="str">
        <f>VLOOKUP($D14,map!$D:$E,2,false)</f>
        <v>#N/A</v>
      </c>
      <c r="B14" s="5" t="str">
        <f>VLOOKUP($E14,map!$D:$E,2,false)</f>
        <v>#N/A</v>
      </c>
      <c r="D14" s="5" t="str">
        <f>VLOOKUP(C14,odds!$A:$G,6,false)</f>
        <v>#N/A</v>
      </c>
      <c r="E14" s="5" t="str">
        <f>VLOOKUP(C14,odds!$A:$G,7,false)</f>
        <v>#N/A</v>
      </c>
      <c r="F14" s="5" t="str">
        <f>VLOOKUP($A14,Data!$A:$C,3,false)</f>
        <v>#N/A</v>
      </c>
      <c r="G14" s="5" t="str">
        <f>VLOOKUP($B14,Data!$A:$D,4,false)</f>
        <v>#N/A</v>
      </c>
      <c r="H14" s="5" t="str">
        <f>VLOOKUP($A14,Data!$A:$E,5,false)</f>
        <v>#N/A</v>
      </c>
      <c r="I14" s="5" t="str">
        <f>VLOOKUP($A14,Data!$A:$F,6,false)</f>
        <v>#N/A</v>
      </c>
      <c r="J14" s="5" t="str">
        <f>VLOOKUP($A14,Data!$A:$G,7,false)</f>
        <v>#N/A</v>
      </c>
      <c r="K14" s="5" t="str">
        <f>VLOOKUP($A14,Data!$A:$H,8,false)</f>
        <v>#N/A</v>
      </c>
      <c r="L14" s="6" t="str">
        <f t="shared" si="1"/>
        <v>#N/A</v>
      </c>
      <c r="M14" s="5" t="str">
        <f>VLOOKUP($B14,Data!$A:$C,3,false)</f>
        <v>#N/A</v>
      </c>
      <c r="N14" s="5" t="str">
        <f>VLOOKUP($A14,Data!$A:$D,4,false)</f>
        <v>#N/A</v>
      </c>
      <c r="O14" s="5" t="str">
        <f>VLOOKUP($B14,Data!$A:$E,5,false)</f>
        <v>#N/A</v>
      </c>
      <c r="P14" s="5" t="str">
        <f>VLOOKUP($B14,Data!$A:$F,6,false)</f>
        <v>#N/A</v>
      </c>
      <c r="Q14" s="5" t="str">
        <f>VLOOKUP($B14,Data!$A:$G,7,false)</f>
        <v>#N/A</v>
      </c>
      <c r="R14" s="5" t="str">
        <f>VLOOKUP($B14,Data!$A:$H,8,false)</f>
        <v>#N/A</v>
      </c>
      <c r="S14" s="6" t="str">
        <f t="shared" si="2"/>
        <v>#N/A</v>
      </c>
      <c r="T14" s="7" t="str">
        <f t="shared" si="3"/>
        <v>#N/A</v>
      </c>
      <c r="U14" s="5" t="str">
        <f>VLOOKUP(C14,odds!A:L,12,false)</f>
        <v>#N/A</v>
      </c>
      <c r="V14" s="5" t="str">
        <f t="shared" si="4"/>
        <v>#N/A</v>
      </c>
      <c r="W14" s="5" t="str">
        <f t="shared" si="5"/>
        <v>#N/A</v>
      </c>
      <c r="X14" s="8" t="str">
        <f t="shared" si="6"/>
        <v>#N/A</v>
      </c>
      <c r="Y14" s="9" t="str">
        <f>VLOOKUP(D14,spread!I:L,4,false)</f>
        <v>#N/A</v>
      </c>
      <c r="Z14" s="10" t="str">
        <f t="shared" si="7"/>
        <v>#N/A</v>
      </c>
      <c r="AA14" s="11" t="str">
        <f t="shared" si="8"/>
        <v>#N/A</v>
      </c>
    </row>
    <row r="15">
      <c r="A15" s="5" t="str">
        <f>VLOOKUP($D15,map!$D:$E,2,false)</f>
        <v>#N/A</v>
      </c>
      <c r="B15" s="5" t="str">
        <f>VLOOKUP($E15,map!$D:$E,2,false)</f>
        <v>#N/A</v>
      </c>
      <c r="D15" s="5" t="str">
        <f>VLOOKUP(C15,odds!$A:$G,6,false)</f>
        <v>#N/A</v>
      </c>
      <c r="E15" s="5" t="str">
        <f>VLOOKUP(C15,odds!$A:$G,7,false)</f>
        <v>#N/A</v>
      </c>
      <c r="F15" s="5" t="str">
        <f>VLOOKUP($A15,Data!$A:$C,3,false)</f>
        <v>#N/A</v>
      </c>
      <c r="G15" s="5" t="str">
        <f>VLOOKUP($B15,Data!$A:$D,4,false)</f>
        <v>#N/A</v>
      </c>
      <c r="H15" s="5" t="str">
        <f>VLOOKUP($A15,Data!$A:$E,5,false)</f>
        <v>#N/A</v>
      </c>
      <c r="I15" s="5" t="str">
        <f>VLOOKUP($A15,Data!$A:$F,6,false)</f>
        <v>#N/A</v>
      </c>
      <c r="J15" s="5" t="str">
        <f>VLOOKUP($A15,Data!$A:$G,7,false)</f>
        <v>#N/A</v>
      </c>
      <c r="K15" s="5" t="str">
        <f>VLOOKUP($A15,Data!$A:$H,8,false)</f>
        <v>#N/A</v>
      </c>
      <c r="L15" s="6" t="str">
        <f t="shared" si="1"/>
        <v>#N/A</v>
      </c>
      <c r="M15" s="5" t="str">
        <f>VLOOKUP($B15,Data!$A:$C,3,false)</f>
        <v>#N/A</v>
      </c>
      <c r="N15" s="5" t="str">
        <f>VLOOKUP($A15,Data!$A:$D,4,false)</f>
        <v>#N/A</v>
      </c>
      <c r="O15" s="5" t="str">
        <f>VLOOKUP($B15,Data!$A:$E,5,false)</f>
        <v>#N/A</v>
      </c>
      <c r="P15" s="5" t="str">
        <f>VLOOKUP($B15,Data!$A:$F,6,false)</f>
        <v>#N/A</v>
      </c>
      <c r="Q15" s="5" t="str">
        <f>VLOOKUP($B15,Data!$A:$G,7,false)</f>
        <v>#N/A</v>
      </c>
      <c r="R15" s="5" t="str">
        <f>VLOOKUP($B15,Data!$A:$H,8,false)</f>
        <v>#N/A</v>
      </c>
      <c r="S15" s="6" t="str">
        <f t="shared" si="2"/>
        <v>#N/A</v>
      </c>
      <c r="T15" s="7" t="str">
        <f t="shared" si="3"/>
        <v>#N/A</v>
      </c>
      <c r="U15" s="5" t="str">
        <f>VLOOKUP(C15,odds!A:L,12,false)</f>
        <v>#N/A</v>
      </c>
      <c r="V15" s="5" t="str">
        <f t="shared" si="4"/>
        <v>#N/A</v>
      </c>
      <c r="W15" s="5" t="str">
        <f t="shared" si="5"/>
        <v>#N/A</v>
      </c>
      <c r="X15" s="8" t="str">
        <f t="shared" si="6"/>
        <v>#N/A</v>
      </c>
      <c r="Y15" s="9" t="str">
        <f>VLOOKUP(D15,spread!I:L,4,false)</f>
        <v>#N/A</v>
      </c>
      <c r="Z15" s="10" t="str">
        <f t="shared" si="7"/>
        <v>#N/A</v>
      </c>
      <c r="AA15" s="11" t="str">
        <f t="shared" si="8"/>
        <v>#N/A</v>
      </c>
    </row>
    <row r="16">
      <c r="A16" s="5" t="str">
        <f>VLOOKUP($D16,map!$D:$E,2,false)</f>
        <v>#N/A</v>
      </c>
      <c r="B16" s="5" t="str">
        <f>VLOOKUP($E16,map!$D:$E,2,false)</f>
        <v>#N/A</v>
      </c>
      <c r="D16" s="5" t="str">
        <f>VLOOKUP(C16,odds!$A:$G,6,false)</f>
        <v>#N/A</v>
      </c>
      <c r="E16" s="5" t="str">
        <f>VLOOKUP(C16,odds!$A:$G,7,false)</f>
        <v>#N/A</v>
      </c>
      <c r="F16" s="5" t="str">
        <f>VLOOKUP($A16,Data!$A:$C,3,false)</f>
        <v>#N/A</v>
      </c>
      <c r="G16" s="5" t="str">
        <f>VLOOKUP($B16,Data!$A:$D,4,false)</f>
        <v>#N/A</v>
      </c>
      <c r="H16" s="5" t="str">
        <f>VLOOKUP($A16,Data!$A:$E,5,false)</f>
        <v>#N/A</v>
      </c>
      <c r="I16" s="5" t="str">
        <f>VLOOKUP($A16,Data!$A:$F,6,false)</f>
        <v>#N/A</v>
      </c>
      <c r="J16" s="5" t="str">
        <f>VLOOKUP($A16,Data!$A:$G,7,false)</f>
        <v>#N/A</v>
      </c>
      <c r="K16" s="5" t="str">
        <f>VLOOKUP($A16,Data!$A:$H,8,false)</f>
        <v>#N/A</v>
      </c>
      <c r="L16" s="6" t="str">
        <f t="shared" si="1"/>
        <v>#N/A</v>
      </c>
      <c r="M16" s="5" t="str">
        <f>VLOOKUP($B16,Data!$A:$C,3,false)</f>
        <v>#N/A</v>
      </c>
      <c r="N16" s="5" t="str">
        <f>VLOOKUP($A16,Data!$A:$D,4,false)</f>
        <v>#N/A</v>
      </c>
      <c r="O16" s="5" t="str">
        <f>VLOOKUP($B16,Data!$A:$E,5,false)</f>
        <v>#N/A</v>
      </c>
      <c r="P16" s="5" t="str">
        <f>VLOOKUP($B16,Data!$A:$F,6,false)</f>
        <v>#N/A</v>
      </c>
      <c r="Q16" s="5" t="str">
        <f>VLOOKUP($B16,Data!$A:$G,7,false)</f>
        <v>#N/A</v>
      </c>
      <c r="R16" s="5" t="str">
        <f>VLOOKUP($B16,Data!$A:$H,8,false)</f>
        <v>#N/A</v>
      </c>
      <c r="S16" s="6" t="str">
        <f t="shared" si="2"/>
        <v>#N/A</v>
      </c>
      <c r="T16" s="7" t="str">
        <f t="shared" si="3"/>
        <v>#N/A</v>
      </c>
      <c r="U16" s="5" t="str">
        <f>VLOOKUP(C16,odds!A:L,12,false)</f>
        <v>#N/A</v>
      </c>
      <c r="V16" s="5" t="str">
        <f t="shared" si="4"/>
        <v>#N/A</v>
      </c>
      <c r="W16" s="5" t="str">
        <f t="shared" si="5"/>
        <v>#N/A</v>
      </c>
      <c r="X16" s="8" t="str">
        <f t="shared" si="6"/>
        <v>#N/A</v>
      </c>
      <c r="Y16" s="9" t="str">
        <f>VLOOKUP(D16,spread!I:L,4,false)</f>
        <v>#N/A</v>
      </c>
      <c r="Z16" s="10" t="str">
        <f t="shared" si="7"/>
        <v>#N/A</v>
      </c>
      <c r="AA16" s="11" t="str">
        <f t="shared" si="8"/>
        <v>#N/A</v>
      </c>
    </row>
    <row r="17">
      <c r="T17" s="7"/>
    </row>
    <row r="18">
      <c r="T18" s="7"/>
    </row>
    <row r="19">
      <c r="T19" s="7"/>
    </row>
    <row r="20">
      <c r="T20" s="7"/>
    </row>
    <row r="21">
      <c r="T21" s="7"/>
    </row>
    <row r="22">
      <c r="T22" s="7"/>
    </row>
    <row r="23">
      <c r="T23" s="7"/>
    </row>
    <row r="24">
      <c r="T24" s="7"/>
    </row>
    <row r="25">
      <c r="T25" s="7"/>
    </row>
    <row r="26">
      <c r="T26" s="7"/>
    </row>
    <row r="27">
      <c r="T27" s="7"/>
    </row>
    <row r="28">
      <c r="T28" s="7"/>
    </row>
    <row r="29">
      <c r="T29" s="7"/>
    </row>
    <row r="30">
      <c r="T30" s="7"/>
    </row>
    <row r="31">
      <c r="T31" s="7"/>
    </row>
    <row r="32">
      <c r="T32" s="7"/>
    </row>
    <row r="33">
      <c r="T33" s="7"/>
    </row>
    <row r="34">
      <c r="T34" s="7"/>
    </row>
    <row r="35">
      <c r="T35" s="7"/>
    </row>
    <row r="36">
      <c r="T36" s="7"/>
    </row>
    <row r="37">
      <c r="T37" s="7"/>
    </row>
    <row r="38">
      <c r="T38" s="7"/>
    </row>
    <row r="39">
      <c r="T39" s="7"/>
    </row>
    <row r="40">
      <c r="T40" s="7"/>
    </row>
    <row r="41">
      <c r="T41" s="7"/>
    </row>
    <row r="42">
      <c r="T42" s="7"/>
    </row>
    <row r="43">
      <c r="T43" s="7"/>
    </row>
    <row r="44">
      <c r="T44" s="7"/>
    </row>
    <row r="45">
      <c r="T45" s="7"/>
    </row>
    <row r="46">
      <c r="T46" s="7"/>
    </row>
    <row r="47">
      <c r="T47" s="7"/>
    </row>
    <row r="48">
      <c r="T48" s="7"/>
    </row>
    <row r="49">
      <c r="T49" s="7"/>
    </row>
    <row r="50">
      <c r="T50" s="7"/>
    </row>
    <row r="51">
      <c r="T51" s="7"/>
    </row>
    <row r="52">
      <c r="T52" s="7"/>
    </row>
    <row r="53">
      <c r="T53" s="7"/>
    </row>
    <row r="54">
      <c r="T54" s="7"/>
    </row>
    <row r="55">
      <c r="T55" s="7"/>
    </row>
    <row r="56">
      <c r="T56" s="7"/>
    </row>
    <row r="57">
      <c r="T57" s="7"/>
    </row>
    <row r="58">
      <c r="T58" s="7"/>
    </row>
    <row r="59">
      <c r="T59" s="7"/>
    </row>
    <row r="60">
      <c r="T60" s="7"/>
    </row>
    <row r="61">
      <c r="T61" s="7"/>
    </row>
    <row r="62">
      <c r="T62" s="7"/>
    </row>
    <row r="63">
      <c r="T63" s="7"/>
    </row>
    <row r="64">
      <c r="T64" s="7"/>
    </row>
    <row r="65">
      <c r="T65" s="7"/>
    </row>
    <row r="66">
      <c r="T66" s="7"/>
    </row>
    <row r="67">
      <c r="T67" s="7"/>
    </row>
    <row r="68">
      <c r="T68" s="7"/>
    </row>
    <row r="69">
      <c r="T69" s="7"/>
    </row>
    <row r="70">
      <c r="T70" s="7"/>
    </row>
    <row r="71">
      <c r="T71" s="7"/>
    </row>
    <row r="72">
      <c r="T72" s="7"/>
    </row>
    <row r="73">
      <c r="T73" s="7"/>
    </row>
    <row r="74">
      <c r="T74" s="7"/>
    </row>
    <row r="75">
      <c r="T75" s="7"/>
    </row>
    <row r="76">
      <c r="T76" s="7"/>
    </row>
    <row r="77">
      <c r="T77" s="7"/>
    </row>
    <row r="78">
      <c r="T78" s="7"/>
    </row>
    <row r="79">
      <c r="T79" s="7"/>
    </row>
    <row r="80">
      <c r="T80" s="7"/>
    </row>
    <row r="81">
      <c r="T81" s="7"/>
    </row>
    <row r="82">
      <c r="T82" s="7"/>
    </row>
    <row r="83">
      <c r="T83" s="7"/>
    </row>
    <row r="84">
      <c r="T84" s="7"/>
    </row>
    <row r="85">
      <c r="T85" s="7"/>
    </row>
    <row r="86">
      <c r="T86" s="7"/>
    </row>
    <row r="87">
      <c r="T87" s="7"/>
    </row>
    <row r="88">
      <c r="T88" s="7"/>
    </row>
    <row r="89">
      <c r="T89" s="7"/>
    </row>
    <row r="90">
      <c r="T90" s="7"/>
    </row>
    <row r="91">
      <c r="T91" s="7"/>
    </row>
    <row r="92">
      <c r="T92" s="7"/>
    </row>
    <row r="93">
      <c r="T93" s="7"/>
    </row>
    <row r="94">
      <c r="T94" s="7"/>
    </row>
    <row r="95">
      <c r="T95" s="7"/>
    </row>
    <row r="96">
      <c r="T96" s="7"/>
    </row>
    <row r="97">
      <c r="T97" s="7"/>
    </row>
    <row r="98">
      <c r="T98" s="7"/>
    </row>
    <row r="99">
      <c r="T99" s="7"/>
    </row>
    <row r="100">
      <c r="T100" s="7"/>
    </row>
    <row r="101">
      <c r="T101" s="7"/>
    </row>
    <row r="102">
      <c r="T102" s="7"/>
    </row>
    <row r="103">
      <c r="T103" s="7"/>
    </row>
    <row r="104">
      <c r="T104" s="7"/>
    </row>
    <row r="105">
      <c r="T105" s="7"/>
    </row>
    <row r="106">
      <c r="T106" s="7"/>
    </row>
    <row r="107">
      <c r="T107" s="7"/>
    </row>
    <row r="108">
      <c r="T108" s="7"/>
    </row>
    <row r="109">
      <c r="T109" s="7"/>
    </row>
    <row r="110">
      <c r="T110" s="7"/>
    </row>
    <row r="111">
      <c r="T111" s="7"/>
    </row>
    <row r="112">
      <c r="T112" s="7"/>
    </row>
    <row r="113">
      <c r="T113" s="7"/>
    </row>
    <row r="114">
      <c r="T114" s="7"/>
    </row>
    <row r="115">
      <c r="T115" s="7"/>
    </row>
    <row r="116">
      <c r="T116" s="7"/>
    </row>
    <row r="117">
      <c r="T117" s="7"/>
    </row>
    <row r="118">
      <c r="T118" s="7"/>
    </row>
    <row r="119">
      <c r="T119" s="7"/>
    </row>
    <row r="120">
      <c r="T120" s="7"/>
    </row>
    <row r="121">
      <c r="T121" s="7"/>
    </row>
    <row r="122">
      <c r="T122" s="7"/>
    </row>
    <row r="123">
      <c r="T123" s="7"/>
    </row>
    <row r="124">
      <c r="T124" s="7"/>
    </row>
    <row r="125">
      <c r="T125" s="7"/>
    </row>
    <row r="126">
      <c r="T126" s="7"/>
    </row>
    <row r="127">
      <c r="T127" s="7"/>
    </row>
    <row r="128">
      <c r="T128" s="7"/>
    </row>
    <row r="129">
      <c r="T129" s="7"/>
    </row>
    <row r="130">
      <c r="T130" s="7"/>
    </row>
    <row r="131">
      <c r="T131" s="7"/>
    </row>
    <row r="132">
      <c r="T132" s="7"/>
    </row>
    <row r="133">
      <c r="T133" s="7"/>
    </row>
    <row r="134">
      <c r="T134" s="7"/>
    </row>
    <row r="135">
      <c r="T135" s="7"/>
    </row>
    <row r="136">
      <c r="T136" s="7"/>
    </row>
    <row r="137">
      <c r="T137" s="7"/>
    </row>
    <row r="138">
      <c r="T138" s="7"/>
    </row>
    <row r="139">
      <c r="T139" s="7"/>
    </row>
    <row r="140">
      <c r="T140" s="7"/>
    </row>
    <row r="141">
      <c r="T141" s="7"/>
    </row>
    <row r="142">
      <c r="T142" s="7"/>
    </row>
    <row r="143">
      <c r="T143" s="7"/>
    </row>
    <row r="144">
      <c r="T144" s="7"/>
    </row>
    <row r="145">
      <c r="T145" s="7"/>
    </row>
    <row r="146">
      <c r="T146" s="7"/>
    </row>
    <row r="147">
      <c r="T147" s="7"/>
    </row>
    <row r="148">
      <c r="T148" s="7"/>
    </row>
    <row r="149">
      <c r="T149" s="7"/>
    </row>
    <row r="150">
      <c r="T150" s="7"/>
    </row>
    <row r="151">
      <c r="T151" s="7"/>
    </row>
    <row r="152">
      <c r="T152" s="7"/>
    </row>
    <row r="153">
      <c r="T153" s="7"/>
    </row>
    <row r="154">
      <c r="T154" s="7"/>
    </row>
    <row r="155">
      <c r="T155" s="7"/>
    </row>
    <row r="156">
      <c r="T156" s="7"/>
    </row>
    <row r="157">
      <c r="T157" s="7"/>
    </row>
    <row r="158">
      <c r="T158" s="7"/>
    </row>
    <row r="159">
      <c r="T159" s="7"/>
    </row>
    <row r="160">
      <c r="T160" s="7"/>
    </row>
    <row r="161">
      <c r="T161" s="7"/>
    </row>
    <row r="162">
      <c r="T162" s="7"/>
    </row>
    <row r="163">
      <c r="T163" s="7"/>
    </row>
    <row r="164">
      <c r="T164" s="7"/>
    </row>
    <row r="165">
      <c r="T165" s="7"/>
    </row>
    <row r="166">
      <c r="T166" s="7"/>
    </row>
    <row r="167">
      <c r="T167" s="7"/>
    </row>
    <row r="168">
      <c r="T168" s="7"/>
    </row>
    <row r="169">
      <c r="T169" s="7"/>
    </row>
    <row r="170">
      <c r="T170" s="7"/>
    </row>
    <row r="171">
      <c r="T171" s="7"/>
    </row>
    <row r="172">
      <c r="T172" s="7"/>
    </row>
    <row r="173">
      <c r="T173" s="7"/>
    </row>
    <row r="174">
      <c r="T174" s="7"/>
    </row>
    <row r="175">
      <c r="T175" s="7"/>
    </row>
    <row r="176">
      <c r="T176" s="7"/>
    </row>
    <row r="177">
      <c r="T177" s="7"/>
    </row>
    <row r="178">
      <c r="T178" s="7"/>
    </row>
    <row r="179">
      <c r="T179" s="7"/>
    </row>
    <row r="180">
      <c r="T180" s="7"/>
    </row>
    <row r="181">
      <c r="T181" s="7"/>
    </row>
    <row r="182">
      <c r="T182" s="7"/>
    </row>
    <row r="183">
      <c r="T183" s="7"/>
    </row>
    <row r="184">
      <c r="T184" s="7"/>
    </row>
    <row r="185">
      <c r="T185" s="7"/>
    </row>
    <row r="186">
      <c r="T186" s="7"/>
    </row>
    <row r="187">
      <c r="T187" s="7"/>
    </row>
    <row r="188">
      <c r="T188" s="7"/>
    </row>
    <row r="189">
      <c r="T189" s="7"/>
    </row>
    <row r="190">
      <c r="T190" s="7"/>
    </row>
    <row r="191">
      <c r="T191" s="7"/>
    </row>
    <row r="192">
      <c r="T192" s="7"/>
    </row>
    <row r="193">
      <c r="T193" s="7"/>
    </row>
    <row r="194">
      <c r="T194" s="7"/>
    </row>
    <row r="195">
      <c r="T195" s="7"/>
    </row>
    <row r="196">
      <c r="T196" s="7"/>
    </row>
    <row r="197">
      <c r="T197" s="7"/>
    </row>
    <row r="198">
      <c r="T198" s="7"/>
    </row>
    <row r="199">
      <c r="T199" s="7"/>
    </row>
    <row r="200">
      <c r="T200" s="7"/>
    </row>
    <row r="201">
      <c r="T201" s="7"/>
    </row>
    <row r="202">
      <c r="T202" s="7"/>
    </row>
    <row r="203">
      <c r="T203" s="7"/>
    </row>
    <row r="204">
      <c r="T204" s="7"/>
    </row>
    <row r="205">
      <c r="T205" s="7"/>
    </row>
    <row r="206">
      <c r="T206" s="7"/>
    </row>
    <row r="207">
      <c r="T207" s="7"/>
    </row>
    <row r="208">
      <c r="T208" s="7"/>
    </row>
    <row r="209">
      <c r="T209" s="7"/>
    </row>
    <row r="210">
      <c r="T210" s="7"/>
    </row>
    <row r="211">
      <c r="T211" s="7"/>
    </row>
    <row r="212">
      <c r="T212" s="7"/>
    </row>
    <row r="213">
      <c r="T213" s="7"/>
    </row>
    <row r="214">
      <c r="T214" s="7"/>
    </row>
    <row r="215">
      <c r="T215" s="7"/>
    </row>
    <row r="216">
      <c r="T216" s="7"/>
    </row>
    <row r="217">
      <c r="T217" s="7"/>
    </row>
    <row r="218">
      <c r="T218" s="7"/>
    </row>
    <row r="219">
      <c r="T219" s="7"/>
    </row>
    <row r="220">
      <c r="T220" s="7"/>
    </row>
    <row r="221">
      <c r="T221" s="7"/>
    </row>
    <row r="222">
      <c r="T222" s="7"/>
    </row>
    <row r="223">
      <c r="T223" s="7"/>
    </row>
    <row r="224">
      <c r="T224" s="7"/>
    </row>
    <row r="225">
      <c r="T225" s="7"/>
    </row>
    <row r="226">
      <c r="T226" s="7"/>
    </row>
    <row r="227">
      <c r="T227" s="7"/>
    </row>
    <row r="228">
      <c r="T228" s="7"/>
    </row>
    <row r="229">
      <c r="T229" s="7"/>
    </row>
    <row r="230">
      <c r="T230" s="7"/>
    </row>
    <row r="231">
      <c r="T231" s="7"/>
    </row>
    <row r="232">
      <c r="T232" s="7"/>
    </row>
    <row r="233">
      <c r="T233" s="7"/>
    </row>
    <row r="234">
      <c r="T234" s="7"/>
    </row>
    <row r="235">
      <c r="T235" s="7"/>
    </row>
    <row r="236">
      <c r="T236" s="7"/>
    </row>
    <row r="237">
      <c r="T237" s="7"/>
    </row>
    <row r="238">
      <c r="T238" s="7"/>
    </row>
    <row r="239">
      <c r="T239" s="7"/>
    </row>
    <row r="240">
      <c r="T240" s="7"/>
    </row>
    <row r="241">
      <c r="T241" s="7"/>
    </row>
    <row r="242">
      <c r="T242" s="7"/>
    </row>
    <row r="243">
      <c r="T243" s="7"/>
    </row>
    <row r="244">
      <c r="T244" s="7"/>
    </row>
    <row r="245">
      <c r="T245" s="7"/>
    </row>
    <row r="246">
      <c r="T246" s="7"/>
    </row>
    <row r="247">
      <c r="T247" s="7"/>
    </row>
    <row r="248">
      <c r="T248" s="7"/>
    </row>
    <row r="249">
      <c r="T249" s="7"/>
    </row>
    <row r="250">
      <c r="T250" s="7"/>
    </row>
    <row r="251">
      <c r="T251" s="7"/>
    </row>
    <row r="252">
      <c r="T252" s="7"/>
    </row>
    <row r="253">
      <c r="T253" s="7"/>
    </row>
    <row r="254">
      <c r="T254" s="7"/>
    </row>
    <row r="255">
      <c r="T255" s="7"/>
    </row>
    <row r="256">
      <c r="T256" s="7"/>
    </row>
    <row r="257">
      <c r="T257" s="7"/>
    </row>
    <row r="258">
      <c r="T258" s="7"/>
    </row>
    <row r="259">
      <c r="T259" s="7"/>
    </row>
    <row r="260">
      <c r="T260" s="7"/>
    </row>
    <row r="261">
      <c r="T261" s="7"/>
    </row>
    <row r="262">
      <c r="T262" s="7"/>
    </row>
    <row r="263">
      <c r="T263" s="7"/>
    </row>
    <row r="264">
      <c r="T264" s="7"/>
    </row>
    <row r="265">
      <c r="T265" s="7"/>
    </row>
    <row r="266">
      <c r="T266" s="7"/>
    </row>
    <row r="267">
      <c r="T267" s="7"/>
    </row>
    <row r="268">
      <c r="T268" s="7"/>
    </row>
    <row r="269">
      <c r="T269" s="7"/>
    </row>
    <row r="270">
      <c r="T270" s="7"/>
    </row>
    <row r="271">
      <c r="T271" s="7"/>
    </row>
    <row r="272">
      <c r="T272" s="7"/>
    </row>
    <row r="273">
      <c r="T273" s="7"/>
    </row>
    <row r="274">
      <c r="T274" s="7"/>
    </row>
    <row r="275">
      <c r="T275" s="7"/>
    </row>
    <row r="276">
      <c r="T276" s="7"/>
    </row>
    <row r="277">
      <c r="T277" s="7"/>
    </row>
    <row r="278">
      <c r="T278" s="7"/>
    </row>
    <row r="279">
      <c r="T279" s="7"/>
    </row>
    <row r="280">
      <c r="T280" s="7"/>
    </row>
    <row r="281">
      <c r="T281" s="7"/>
    </row>
    <row r="282">
      <c r="T282" s="7"/>
    </row>
    <row r="283">
      <c r="T283" s="7"/>
    </row>
    <row r="284">
      <c r="T284" s="7"/>
    </row>
    <row r="285">
      <c r="T285" s="7"/>
    </row>
    <row r="286">
      <c r="T286" s="7"/>
    </row>
    <row r="287">
      <c r="T287" s="7"/>
    </row>
    <row r="288">
      <c r="T288" s="7"/>
    </row>
    <row r="289">
      <c r="T289" s="7"/>
    </row>
    <row r="290">
      <c r="T290" s="7"/>
    </row>
    <row r="291">
      <c r="T291" s="7"/>
    </row>
    <row r="292">
      <c r="T292" s="7"/>
    </row>
    <row r="293">
      <c r="T293" s="7"/>
    </row>
    <row r="294">
      <c r="T294" s="7"/>
    </row>
    <row r="295">
      <c r="T295" s="7"/>
    </row>
    <row r="296">
      <c r="T296" s="7"/>
    </row>
    <row r="297">
      <c r="T297" s="7"/>
    </row>
    <row r="298">
      <c r="T298" s="7"/>
    </row>
    <row r="299">
      <c r="T299" s="7"/>
    </row>
    <row r="300">
      <c r="T300" s="7"/>
    </row>
    <row r="301">
      <c r="T301" s="7"/>
    </row>
    <row r="302">
      <c r="T302" s="7"/>
    </row>
    <row r="303">
      <c r="T303" s="7"/>
    </row>
    <row r="304">
      <c r="T304" s="7"/>
    </row>
    <row r="305">
      <c r="T305" s="7"/>
    </row>
    <row r="306">
      <c r="T306" s="7"/>
    </row>
    <row r="307">
      <c r="T307" s="7"/>
    </row>
    <row r="308">
      <c r="T308" s="7"/>
    </row>
    <row r="309">
      <c r="T309" s="7"/>
    </row>
    <row r="310">
      <c r="T310" s="7"/>
    </row>
    <row r="311">
      <c r="T311" s="7"/>
    </row>
    <row r="312">
      <c r="T312" s="7"/>
    </row>
    <row r="313">
      <c r="T313" s="7"/>
    </row>
    <row r="314">
      <c r="T314" s="7"/>
    </row>
    <row r="315">
      <c r="T315" s="7"/>
    </row>
    <row r="316">
      <c r="T316" s="7"/>
    </row>
    <row r="317">
      <c r="T317" s="7"/>
    </row>
    <row r="318">
      <c r="T318" s="7"/>
    </row>
    <row r="319">
      <c r="T319" s="7"/>
    </row>
    <row r="320">
      <c r="T320" s="7"/>
    </row>
    <row r="321">
      <c r="T321" s="7"/>
    </row>
    <row r="322">
      <c r="T322" s="7"/>
    </row>
    <row r="323">
      <c r="T323" s="7"/>
    </row>
    <row r="324">
      <c r="T324" s="7"/>
    </row>
    <row r="325">
      <c r="T325" s="7"/>
    </row>
    <row r="326">
      <c r="T326" s="7"/>
    </row>
    <row r="327">
      <c r="T327" s="7"/>
    </row>
    <row r="328">
      <c r="T328" s="7"/>
    </row>
    <row r="329">
      <c r="T329" s="7"/>
    </row>
    <row r="330">
      <c r="T330" s="7"/>
    </row>
    <row r="331">
      <c r="T331" s="7"/>
    </row>
    <row r="332">
      <c r="T332" s="7"/>
    </row>
    <row r="333">
      <c r="T333" s="7"/>
    </row>
    <row r="334">
      <c r="T334" s="7"/>
    </row>
    <row r="335">
      <c r="T335" s="7"/>
    </row>
    <row r="336">
      <c r="T336" s="7"/>
    </row>
    <row r="337">
      <c r="T337" s="7"/>
    </row>
    <row r="338">
      <c r="T338" s="7"/>
    </row>
    <row r="339">
      <c r="T339" s="7"/>
    </row>
    <row r="340">
      <c r="T340" s="7"/>
    </row>
    <row r="341">
      <c r="T341" s="7"/>
    </row>
    <row r="342">
      <c r="T342" s="7"/>
    </row>
    <row r="343">
      <c r="T343" s="7"/>
    </row>
    <row r="344">
      <c r="T344" s="7"/>
    </row>
    <row r="345">
      <c r="T345" s="7"/>
    </row>
    <row r="346">
      <c r="T346" s="7"/>
    </row>
    <row r="347">
      <c r="T347" s="7"/>
    </row>
    <row r="348">
      <c r="T348" s="7"/>
    </row>
    <row r="349">
      <c r="T349" s="7"/>
    </row>
    <row r="350">
      <c r="T350" s="7"/>
    </row>
    <row r="351">
      <c r="T351" s="7"/>
    </row>
    <row r="352">
      <c r="T352" s="7"/>
    </row>
    <row r="353">
      <c r="T353" s="7"/>
    </row>
    <row r="354">
      <c r="T354" s="7"/>
    </row>
    <row r="355">
      <c r="T355" s="7"/>
    </row>
    <row r="356">
      <c r="T356" s="7"/>
    </row>
    <row r="357">
      <c r="T357" s="7"/>
    </row>
    <row r="358">
      <c r="T358" s="7"/>
    </row>
    <row r="359">
      <c r="T359" s="7"/>
    </row>
    <row r="360">
      <c r="T360" s="7"/>
    </row>
    <row r="361">
      <c r="T361" s="7"/>
    </row>
    <row r="362">
      <c r="T362" s="7"/>
    </row>
    <row r="363">
      <c r="T363" s="7"/>
    </row>
    <row r="364">
      <c r="T364" s="7"/>
    </row>
    <row r="365">
      <c r="T365" s="7"/>
    </row>
    <row r="366">
      <c r="T366" s="7"/>
    </row>
    <row r="367">
      <c r="T367" s="7"/>
    </row>
    <row r="368">
      <c r="T368" s="7"/>
    </row>
    <row r="369">
      <c r="T369" s="7"/>
    </row>
    <row r="370">
      <c r="T370" s="7"/>
    </row>
    <row r="371">
      <c r="T371" s="7"/>
    </row>
    <row r="372">
      <c r="T372" s="7"/>
    </row>
    <row r="373">
      <c r="T373" s="7"/>
    </row>
    <row r="374">
      <c r="T374" s="7"/>
    </row>
    <row r="375">
      <c r="T375" s="7"/>
    </row>
    <row r="376">
      <c r="T376" s="7"/>
    </row>
    <row r="377">
      <c r="T377" s="7"/>
    </row>
    <row r="378">
      <c r="T378" s="7"/>
    </row>
    <row r="379">
      <c r="T379" s="7"/>
    </row>
    <row r="380">
      <c r="T380" s="7"/>
    </row>
    <row r="381">
      <c r="T381" s="7"/>
    </row>
    <row r="382">
      <c r="T382" s="7"/>
    </row>
    <row r="383">
      <c r="T383" s="7"/>
    </row>
    <row r="384">
      <c r="T384" s="7"/>
    </row>
    <row r="385">
      <c r="T385" s="7"/>
    </row>
    <row r="386">
      <c r="T386" s="7"/>
    </row>
    <row r="387">
      <c r="T387" s="7"/>
    </row>
    <row r="388">
      <c r="T388" s="7"/>
    </row>
    <row r="389">
      <c r="T389" s="7"/>
    </row>
    <row r="390">
      <c r="T390" s="7"/>
    </row>
    <row r="391">
      <c r="T391" s="7"/>
    </row>
    <row r="392">
      <c r="T392" s="7"/>
    </row>
    <row r="393">
      <c r="T393" s="7"/>
    </row>
    <row r="394">
      <c r="T394" s="7"/>
    </row>
    <row r="395">
      <c r="T395" s="7"/>
    </row>
    <row r="396">
      <c r="T396" s="7"/>
    </row>
    <row r="397">
      <c r="T397" s="7"/>
    </row>
    <row r="398">
      <c r="T398" s="7"/>
    </row>
    <row r="399">
      <c r="T399" s="7"/>
    </row>
    <row r="400">
      <c r="T400" s="7"/>
    </row>
    <row r="401">
      <c r="T401" s="7"/>
    </row>
    <row r="402">
      <c r="T402" s="7"/>
    </row>
    <row r="403">
      <c r="T403" s="7"/>
    </row>
    <row r="404">
      <c r="T404" s="7"/>
    </row>
    <row r="405">
      <c r="T405" s="7"/>
    </row>
    <row r="406">
      <c r="T406" s="7"/>
    </row>
    <row r="407">
      <c r="T407" s="7"/>
    </row>
    <row r="408">
      <c r="T408" s="7"/>
    </row>
    <row r="409">
      <c r="T409" s="7"/>
    </row>
    <row r="410">
      <c r="T410" s="7"/>
    </row>
    <row r="411">
      <c r="T411" s="7"/>
    </row>
    <row r="412">
      <c r="T412" s="7"/>
    </row>
    <row r="413">
      <c r="T413" s="7"/>
    </row>
    <row r="414">
      <c r="T414" s="7"/>
    </row>
    <row r="415">
      <c r="T415" s="7"/>
    </row>
    <row r="416">
      <c r="T416" s="7"/>
    </row>
    <row r="417">
      <c r="T417" s="7"/>
    </row>
    <row r="418">
      <c r="T418" s="7"/>
    </row>
    <row r="419">
      <c r="T419" s="7"/>
    </row>
    <row r="420">
      <c r="T420" s="7"/>
    </row>
    <row r="421">
      <c r="T421" s="7"/>
    </row>
    <row r="422">
      <c r="T422" s="7"/>
    </row>
    <row r="423">
      <c r="T423" s="7"/>
    </row>
    <row r="424">
      <c r="T424" s="7"/>
    </row>
    <row r="425">
      <c r="T425" s="7"/>
    </row>
    <row r="426">
      <c r="T426" s="7"/>
    </row>
    <row r="427">
      <c r="T427" s="7"/>
    </row>
    <row r="428">
      <c r="T428" s="7"/>
    </row>
    <row r="429">
      <c r="T429" s="7"/>
    </row>
    <row r="430">
      <c r="T430" s="7"/>
    </row>
    <row r="431">
      <c r="T431" s="7"/>
    </row>
    <row r="432">
      <c r="T432" s="7"/>
    </row>
    <row r="433">
      <c r="T433" s="7"/>
    </row>
    <row r="434">
      <c r="T434" s="7"/>
    </row>
    <row r="435">
      <c r="T435" s="7"/>
    </row>
    <row r="436">
      <c r="T436" s="7"/>
    </row>
    <row r="437">
      <c r="T437" s="7"/>
    </row>
    <row r="438">
      <c r="T438" s="7"/>
    </row>
    <row r="439">
      <c r="T439" s="7"/>
    </row>
    <row r="440">
      <c r="T440" s="7"/>
    </row>
    <row r="441">
      <c r="T441" s="7"/>
    </row>
    <row r="442">
      <c r="T442" s="7"/>
    </row>
    <row r="443">
      <c r="T443" s="7"/>
    </row>
    <row r="444">
      <c r="T444" s="7"/>
    </row>
    <row r="445">
      <c r="T445" s="7"/>
    </row>
    <row r="446">
      <c r="T446" s="7"/>
    </row>
    <row r="447">
      <c r="T447" s="7"/>
    </row>
    <row r="448">
      <c r="T448" s="7"/>
    </row>
    <row r="449">
      <c r="T449" s="7"/>
    </row>
    <row r="450">
      <c r="T450" s="7"/>
    </row>
    <row r="451">
      <c r="T451" s="7"/>
    </row>
    <row r="452">
      <c r="T452" s="7"/>
    </row>
    <row r="453">
      <c r="T453" s="7"/>
    </row>
    <row r="454">
      <c r="T454" s="7"/>
    </row>
    <row r="455">
      <c r="T455" s="7"/>
    </row>
    <row r="456">
      <c r="T456" s="7"/>
    </row>
    <row r="457">
      <c r="T457" s="7"/>
    </row>
    <row r="458">
      <c r="T458" s="7"/>
    </row>
    <row r="459">
      <c r="T459" s="7"/>
    </row>
    <row r="460">
      <c r="T460" s="7"/>
    </row>
    <row r="461">
      <c r="T461" s="7"/>
    </row>
    <row r="462">
      <c r="T462" s="7"/>
    </row>
    <row r="463">
      <c r="T463" s="7"/>
    </row>
    <row r="464">
      <c r="T464" s="7"/>
    </row>
    <row r="465">
      <c r="T465" s="7"/>
    </row>
    <row r="466">
      <c r="T466" s="7"/>
    </row>
    <row r="467">
      <c r="T467" s="7"/>
    </row>
    <row r="468">
      <c r="T468" s="7"/>
    </row>
    <row r="469">
      <c r="T469" s="7"/>
    </row>
    <row r="470">
      <c r="T470" s="7"/>
    </row>
    <row r="471">
      <c r="T471" s="7"/>
    </row>
    <row r="472">
      <c r="T472" s="7"/>
    </row>
    <row r="473">
      <c r="T473" s="7"/>
    </row>
    <row r="474">
      <c r="T474" s="7"/>
    </row>
    <row r="475">
      <c r="T475" s="7"/>
    </row>
    <row r="476">
      <c r="T476" s="7"/>
    </row>
    <row r="477">
      <c r="T477" s="7"/>
    </row>
    <row r="478">
      <c r="T478" s="7"/>
    </row>
    <row r="479">
      <c r="T479" s="7"/>
    </row>
    <row r="480">
      <c r="T480" s="7"/>
    </row>
    <row r="481">
      <c r="T481" s="7"/>
    </row>
    <row r="482">
      <c r="T482" s="7"/>
    </row>
    <row r="483">
      <c r="T483" s="7"/>
    </row>
    <row r="484">
      <c r="T484" s="7"/>
    </row>
    <row r="485">
      <c r="T485" s="7"/>
    </row>
    <row r="486">
      <c r="T486" s="7"/>
    </row>
    <row r="487">
      <c r="T487" s="7"/>
    </row>
    <row r="488">
      <c r="T488" s="7"/>
    </row>
    <row r="489">
      <c r="T489" s="7"/>
    </row>
    <row r="490">
      <c r="T490" s="7"/>
    </row>
    <row r="491">
      <c r="T491" s="7"/>
    </row>
    <row r="492">
      <c r="T492" s="7"/>
    </row>
    <row r="493">
      <c r="T493" s="7"/>
    </row>
    <row r="494">
      <c r="T494" s="7"/>
    </row>
    <row r="495">
      <c r="T495" s="7"/>
    </row>
    <row r="496">
      <c r="T496" s="7"/>
    </row>
    <row r="497">
      <c r="T497" s="7"/>
    </row>
    <row r="498">
      <c r="T498" s="7"/>
    </row>
    <row r="499">
      <c r="T499" s="7"/>
    </row>
    <row r="500">
      <c r="T500" s="7"/>
    </row>
    <row r="501">
      <c r="T501" s="7"/>
    </row>
    <row r="502">
      <c r="T502" s="7"/>
    </row>
    <row r="503">
      <c r="T503" s="7"/>
    </row>
    <row r="504">
      <c r="T504" s="7"/>
    </row>
    <row r="505">
      <c r="T505" s="7"/>
    </row>
    <row r="506">
      <c r="T506" s="7"/>
    </row>
    <row r="507">
      <c r="T507" s="7"/>
    </row>
    <row r="508">
      <c r="T508" s="7"/>
    </row>
    <row r="509">
      <c r="T509" s="7"/>
    </row>
    <row r="510">
      <c r="T510" s="7"/>
    </row>
    <row r="511">
      <c r="T511" s="7"/>
    </row>
    <row r="512">
      <c r="T512" s="7"/>
    </row>
    <row r="513">
      <c r="T513" s="7"/>
    </row>
    <row r="514">
      <c r="T514" s="7"/>
    </row>
    <row r="515">
      <c r="T515" s="7"/>
    </row>
    <row r="516">
      <c r="T516" s="7"/>
    </row>
    <row r="517">
      <c r="T517" s="7"/>
    </row>
    <row r="518">
      <c r="T518" s="7"/>
    </row>
    <row r="519">
      <c r="T519" s="7"/>
    </row>
    <row r="520">
      <c r="T520" s="7"/>
    </row>
    <row r="521">
      <c r="T521" s="7"/>
    </row>
    <row r="522">
      <c r="T522" s="7"/>
    </row>
    <row r="523">
      <c r="T523" s="7"/>
    </row>
    <row r="524">
      <c r="T524" s="7"/>
    </row>
    <row r="525">
      <c r="T525" s="7"/>
    </row>
    <row r="526">
      <c r="T526" s="7"/>
    </row>
    <row r="527">
      <c r="T527" s="7"/>
    </row>
    <row r="528">
      <c r="T528" s="7"/>
    </row>
    <row r="529">
      <c r="T529" s="7"/>
    </row>
    <row r="530">
      <c r="T530" s="7"/>
    </row>
    <row r="531">
      <c r="T531" s="7"/>
    </row>
    <row r="532">
      <c r="T532" s="7"/>
    </row>
    <row r="533">
      <c r="T533" s="7"/>
    </row>
    <row r="534">
      <c r="T534" s="7"/>
    </row>
    <row r="535">
      <c r="T535" s="7"/>
    </row>
    <row r="536">
      <c r="T536" s="7"/>
    </row>
    <row r="537">
      <c r="T537" s="7"/>
    </row>
    <row r="538">
      <c r="T538" s="7"/>
    </row>
    <row r="539">
      <c r="T539" s="7"/>
    </row>
    <row r="540">
      <c r="T540" s="7"/>
    </row>
    <row r="541">
      <c r="T541" s="7"/>
    </row>
    <row r="542">
      <c r="T542" s="7"/>
    </row>
    <row r="543">
      <c r="T543" s="7"/>
    </row>
    <row r="544">
      <c r="T544" s="7"/>
    </row>
    <row r="545">
      <c r="T545" s="7"/>
    </row>
    <row r="546">
      <c r="T546" s="7"/>
    </row>
    <row r="547">
      <c r="T547" s="7"/>
    </row>
    <row r="548">
      <c r="T548" s="7"/>
    </row>
    <row r="549">
      <c r="T549" s="7"/>
    </row>
    <row r="550">
      <c r="T550" s="7"/>
    </row>
    <row r="551">
      <c r="T551" s="7"/>
    </row>
    <row r="552">
      <c r="T552" s="7"/>
    </row>
    <row r="553">
      <c r="T553" s="7"/>
    </row>
    <row r="554">
      <c r="T554" s="7"/>
    </row>
    <row r="555">
      <c r="T555" s="7"/>
    </row>
    <row r="556">
      <c r="T556" s="7"/>
    </row>
    <row r="557">
      <c r="T557" s="7"/>
    </row>
    <row r="558">
      <c r="T558" s="7"/>
    </row>
    <row r="559">
      <c r="T559" s="7"/>
    </row>
    <row r="560">
      <c r="T560" s="7"/>
    </row>
    <row r="561">
      <c r="T561" s="7"/>
    </row>
    <row r="562">
      <c r="T562" s="7"/>
    </row>
    <row r="563">
      <c r="T563" s="7"/>
    </row>
    <row r="564">
      <c r="T564" s="7"/>
    </row>
    <row r="565">
      <c r="T565" s="7"/>
    </row>
    <row r="566">
      <c r="T566" s="7"/>
    </row>
    <row r="567">
      <c r="T567" s="7"/>
    </row>
    <row r="568">
      <c r="T568" s="7"/>
    </row>
    <row r="569">
      <c r="T569" s="7"/>
    </row>
    <row r="570">
      <c r="T570" s="7"/>
    </row>
    <row r="571">
      <c r="T571" s="7"/>
    </row>
    <row r="572">
      <c r="T572" s="7"/>
    </row>
    <row r="573">
      <c r="T573" s="7"/>
    </row>
    <row r="574">
      <c r="T574" s="7"/>
    </row>
    <row r="575">
      <c r="T575" s="7"/>
    </row>
    <row r="576">
      <c r="T576" s="7"/>
    </row>
    <row r="577">
      <c r="T577" s="7"/>
    </row>
    <row r="578">
      <c r="T578" s="7"/>
    </row>
    <row r="579">
      <c r="T579" s="7"/>
    </row>
    <row r="580">
      <c r="T580" s="7"/>
    </row>
    <row r="581">
      <c r="T581" s="7"/>
    </row>
    <row r="582">
      <c r="T582" s="7"/>
    </row>
    <row r="583">
      <c r="T583" s="7"/>
    </row>
    <row r="584">
      <c r="T584" s="7"/>
    </row>
    <row r="585">
      <c r="T585" s="7"/>
    </row>
    <row r="586">
      <c r="T586" s="7"/>
    </row>
    <row r="587">
      <c r="T587" s="7"/>
    </row>
    <row r="588">
      <c r="T588" s="7"/>
    </row>
    <row r="589">
      <c r="T589" s="7"/>
    </row>
    <row r="590">
      <c r="T590" s="7"/>
    </row>
    <row r="591">
      <c r="T591" s="7"/>
    </row>
    <row r="592">
      <c r="T592" s="7"/>
    </row>
    <row r="593">
      <c r="T593" s="7"/>
    </row>
    <row r="594">
      <c r="T594" s="7"/>
    </row>
    <row r="595">
      <c r="T595" s="7"/>
    </row>
    <row r="596">
      <c r="T596" s="7"/>
    </row>
    <row r="597">
      <c r="T597" s="7"/>
    </row>
    <row r="598">
      <c r="T598" s="7"/>
    </row>
    <row r="599">
      <c r="T599" s="7"/>
    </row>
    <row r="600">
      <c r="T600" s="7"/>
    </row>
    <row r="601">
      <c r="T601" s="7"/>
    </row>
    <row r="602">
      <c r="T602" s="7"/>
    </row>
    <row r="603">
      <c r="T603" s="7"/>
    </row>
    <row r="604">
      <c r="T604" s="7"/>
    </row>
    <row r="605">
      <c r="T605" s="7"/>
    </row>
    <row r="606">
      <c r="T606" s="7"/>
    </row>
    <row r="607">
      <c r="T607" s="7"/>
    </row>
    <row r="608">
      <c r="T608" s="7"/>
    </row>
    <row r="609">
      <c r="T609" s="7"/>
    </row>
    <row r="610">
      <c r="T610" s="7"/>
    </row>
    <row r="611">
      <c r="T611" s="7"/>
    </row>
    <row r="612">
      <c r="T612" s="7"/>
    </row>
    <row r="613">
      <c r="T613" s="7"/>
    </row>
    <row r="614">
      <c r="T614" s="7"/>
    </row>
    <row r="615">
      <c r="T615" s="7"/>
    </row>
    <row r="616">
      <c r="T616" s="7"/>
    </row>
    <row r="617">
      <c r="T617" s="7"/>
    </row>
    <row r="618">
      <c r="T618" s="7"/>
    </row>
    <row r="619">
      <c r="T619" s="7"/>
    </row>
    <row r="620">
      <c r="T620" s="7"/>
    </row>
    <row r="621">
      <c r="T621" s="7"/>
    </row>
    <row r="622">
      <c r="T622" s="7"/>
    </row>
    <row r="623">
      <c r="T623" s="7"/>
    </row>
    <row r="624">
      <c r="T624" s="7"/>
    </row>
    <row r="625">
      <c r="T625" s="7"/>
    </row>
    <row r="626">
      <c r="T626" s="7"/>
    </row>
    <row r="627">
      <c r="T627" s="7"/>
    </row>
    <row r="628">
      <c r="T628" s="7"/>
    </row>
    <row r="629">
      <c r="T629" s="7"/>
    </row>
    <row r="630">
      <c r="T630" s="7"/>
    </row>
    <row r="631">
      <c r="T631" s="7"/>
    </row>
    <row r="632">
      <c r="T632" s="7"/>
    </row>
    <row r="633">
      <c r="T633" s="7"/>
    </row>
    <row r="634">
      <c r="T634" s="7"/>
    </row>
    <row r="635">
      <c r="T635" s="7"/>
    </row>
    <row r="636">
      <c r="T636" s="7"/>
    </row>
    <row r="637">
      <c r="T637" s="7"/>
    </row>
    <row r="638">
      <c r="T638" s="7"/>
    </row>
    <row r="639">
      <c r="T639" s="7"/>
    </row>
    <row r="640">
      <c r="T640" s="7"/>
    </row>
    <row r="641">
      <c r="T641" s="7"/>
    </row>
    <row r="642">
      <c r="T642" s="7"/>
    </row>
    <row r="643">
      <c r="T643" s="7"/>
    </row>
    <row r="644">
      <c r="T644" s="7"/>
    </row>
    <row r="645">
      <c r="T645" s="7"/>
    </row>
    <row r="646">
      <c r="T646" s="7"/>
    </row>
    <row r="647">
      <c r="T647" s="7"/>
    </row>
    <row r="648">
      <c r="T648" s="7"/>
    </row>
    <row r="649">
      <c r="T649" s="7"/>
    </row>
    <row r="650">
      <c r="T650" s="7"/>
    </row>
    <row r="651">
      <c r="T651" s="7"/>
    </row>
    <row r="652">
      <c r="T652" s="7"/>
    </row>
    <row r="653">
      <c r="T653" s="7"/>
    </row>
    <row r="654">
      <c r="T654" s="7"/>
    </row>
    <row r="655">
      <c r="T655" s="7"/>
    </row>
    <row r="656">
      <c r="T656" s="7"/>
    </row>
    <row r="657">
      <c r="T657" s="7"/>
    </row>
    <row r="658">
      <c r="T658" s="7"/>
    </row>
    <row r="659">
      <c r="T659" s="7"/>
    </row>
    <row r="660">
      <c r="T660" s="7"/>
    </row>
    <row r="661">
      <c r="T661" s="7"/>
    </row>
    <row r="662">
      <c r="T662" s="7"/>
    </row>
    <row r="663">
      <c r="T663" s="7"/>
    </row>
    <row r="664">
      <c r="T664" s="7"/>
    </row>
    <row r="665">
      <c r="T665" s="7"/>
    </row>
    <row r="666">
      <c r="T666" s="7"/>
    </row>
    <row r="667">
      <c r="T667" s="7"/>
    </row>
    <row r="668">
      <c r="T668" s="7"/>
    </row>
    <row r="669">
      <c r="T669" s="7"/>
    </row>
    <row r="670">
      <c r="T670" s="7"/>
    </row>
    <row r="671">
      <c r="T671" s="7"/>
    </row>
    <row r="672">
      <c r="T672" s="7"/>
    </row>
    <row r="673">
      <c r="T673" s="7"/>
    </row>
    <row r="674">
      <c r="T674" s="7"/>
    </row>
    <row r="675">
      <c r="T675" s="7"/>
    </row>
    <row r="676">
      <c r="T676" s="7"/>
    </row>
    <row r="677">
      <c r="T677" s="7"/>
    </row>
    <row r="678">
      <c r="T678" s="7"/>
    </row>
    <row r="679">
      <c r="T679" s="7"/>
    </row>
    <row r="680">
      <c r="T680" s="7"/>
    </row>
    <row r="681">
      <c r="T681" s="7"/>
    </row>
    <row r="682">
      <c r="T682" s="7"/>
    </row>
    <row r="683">
      <c r="T683" s="7"/>
    </row>
    <row r="684">
      <c r="T684" s="7"/>
    </row>
    <row r="685">
      <c r="T685" s="7"/>
    </row>
    <row r="686">
      <c r="T686" s="7"/>
    </row>
    <row r="687">
      <c r="T687" s="7"/>
    </row>
    <row r="688">
      <c r="T688" s="7"/>
    </row>
    <row r="689">
      <c r="T689" s="7"/>
    </row>
    <row r="690">
      <c r="T690" s="7"/>
    </row>
    <row r="691">
      <c r="T691" s="7"/>
    </row>
    <row r="692">
      <c r="T692" s="7"/>
    </row>
    <row r="693">
      <c r="T693" s="7"/>
    </row>
    <row r="694">
      <c r="T694" s="7"/>
    </row>
    <row r="695">
      <c r="T695" s="7"/>
    </row>
    <row r="696">
      <c r="T696" s="7"/>
    </row>
    <row r="697">
      <c r="T697" s="7"/>
    </row>
    <row r="698">
      <c r="T698" s="7"/>
    </row>
    <row r="699">
      <c r="T699" s="7"/>
    </row>
    <row r="700">
      <c r="T700" s="7"/>
    </row>
    <row r="701">
      <c r="T701" s="7"/>
    </row>
    <row r="702">
      <c r="T702" s="7"/>
    </row>
    <row r="703">
      <c r="T703" s="7"/>
    </row>
    <row r="704">
      <c r="T704" s="7"/>
    </row>
    <row r="705">
      <c r="T705" s="7"/>
    </row>
    <row r="706">
      <c r="T706" s="7"/>
    </row>
    <row r="707">
      <c r="T707" s="7"/>
    </row>
    <row r="708">
      <c r="T708" s="7"/>
    </row>
    <row r="709">
      <c r="T709" s="7"/>
    </row>
    <row r="710">
      <c r="T710" s="7"/>
    </row>
    <row r="711">
      <c r="T711" s="7"/>
    </row>
    <row r="712">
      <c r="T712" s="7"/>
    </row>
    <row r="713">
      <c r="T713" s="7"/>
    </row>
    <row r="714">
      <c r="T714" s="7"/>
    </row>
    <row r="715">
      <c r="T715" s="7"/>
    </row>
    <row r="716">
      <c r="T716" s="7"/>
    </row>
    <row r="717">
      <c r="T717" s="7"/>
    </row>
    <row r="718">
      <c r="T718" s="7"/>
    </row>
    <row r="719">
      <c r="T719" s="7"/>
    </row>
    <row r="720">
      <c r="T720" s="7"/>
    </row>
    <row r="721">
      <c r="T721" s="7"/>
    </row>
    <row r="722">
      <c r="T722" s="7"/>
    </row>
    <row r="723">
      <c r="T723" s="7"/>
    </row>
    <row r="724">
      <c r="T724" s="7"/>
    </row>
    <row r="725">
      <c r="T725" s="7"/>
    </row>
    <row r="726">
      <c r="T726" s="7"/>
    </row>
    <row r="727">
      <c r="T727" s="7"/>
    </row>
    <row r="728">
      <c r="T728" s="7"/>
    </row>
    <row r="729">
      <c r="T729" s="7"/>
    </row>
    <row r="730">
      <c r="T730" s="7"/>
    </row>
    <row r="731">
      <c r="T731" s="7"/>
    </row>
    <row r="732">
      <c r="T732" s="7"/>
    </row>
    <row r="733">
      <c r="T733" s="7"/>
    </row>
    <row r="734">
      <c r="T734" s="7"/>
    </row>
    <row r="735">
      <c r="T735" s="7"/>
    </row>
    <row r="736">
      <c r="T736" s="7"/>
    </row>
    <row r="737">
      <c r="T737" s="7"/>
    </row>
    <row r="738">
      <c r="T738" s="7"/>
    </row>
    <row r="739">
      <c r="T739" s="7"/>
    </row>
    <row r="740">
      <c r="T740" s="7"/>
    </row>
    <row r="741">
      <c r="T741" s="7"/>
    </row>
    <row r="742">
      <c r="T742" s="7"/>
    </row>
    <row r="743">
      <c r="T743" s="7"/>
    </row>
    <row r="744">
      <c r="T744" s="7"/>
    </row>
    <row r="745">
      <c r="T745" s="7"/>
    </row>
    <row r="746">
      <c r="T746" s="7"/>
    </row>
    <row r="747">
      <c r="T747" s="7"/>
    </row>
    <row r="748">
      <c r="T748" s="7"/>
    </row>
    <row r="749">
      <c r="T749" s="7"/>
    </row>
    <row r="750">
      <c r="T750" s="7"/>
    </row>
    <row r="751">
      <c r="T751" s="7"/>
    </row>
    <row r="752">
      <c r="T752" s="7"/>
    </row>
    <row r="753">
      <c r="T753" s="7"/>
    </row>
    <row r="754">
      <c r="T754" s="7"/>
    </row>
    <row r="755">
      <c r="T755" s="7"/>
    </row>
    <row r="756">
      <c r="T756" s="7"/>
    </row>
    <row r="757">
      <c r="T757" s="7"/>
    </row>
    <row r="758">
      <c r="T758" s="7"/>
    </row>
    <row r="759">
      <c r="T759" s="7"/>
    </row>
    <row r="760">
      <c r="T760" s="7"/>
    </row>
    <row r="761">
      <c r="T761" s="7"/>
    </row>
    <row r="762">
      <c r="T762" s="7"/>
    </row>
    <row r="763">
      <c r="T763" s="7"/>
    </row>
    <row r="764">
      <c r="T764" s="7"/>
    </row>
    <row r="765">
      <c r="T765" s="7"/>
    </row>
    <row r="766">
      <c r="T766" s="7"/>
    </row>
    <row r="767">
      <c r="T767" s="7"/>
    </row>
    <row r="768">
      <c r="T768" s="7"/>
    </row>
    <row r="769">
      <c r="T769" s="7"/>
    </row>
    <row r="770">
      <c r="T770" s="7"/>
    </row>
    <row r="771">
      <c r="T771" s="7"/>
    </row>
    <row r="772">
      <c r="T772" s="7"/>
    </row>
    <row r="773">
      <c r="T773" s="7"/>
    </row>
    <row r="774">
      <c r="T774" s="7"/>
    </row>
    <row r="775">
      <c r="T775" s="7"/>
    </row>
    <row r="776">
      <c r="T776" s="7"/>
    </row>
    <row r="777">
      <c r="T777" s="7"/>
    </row>
    <row r="778">
      <c r="T778" s="7"/>
    </row>
    <row r="779">
      <c r="T779" s="7"/>
    </row>
    <row r="780">
      <c r="T780" s="7"/>
    </row>
    <row r="781">
      <c r="T781" s="7"/>
    </row>
    <row r="782">
      <c r="T782" s="7"/>
    </row>
    <row r="783">
      <c r="T783" s="7"/>
    </row>
    <row r="784">
      <c r="T784" s="7"/>
    </row>
    <row r="785">
      <c r="T785" s="7"/>
    </row>
    <row r="786">
      <c r="T786" s="7"/>
    </row>
    <row r="787">
      <c r="T787" s="7"/>
    </row>
    <row r="788">
      <c r="T788" s="7"/>
    </row>
    <row r="789">
      <c r="T789" s="7"/>
    </row>
    <row r="790">
      <c r="T790" s="7"/>
    </row>
    <row r="791">
      <c r="T791" s="7"/>
    </row>
    <row r="792">
      <c r="T792" s="7"/>
    </row>
    <row r="793">
      <c r="T793" s="7"/>
    </row>
    <row r="794">
      <c r="T794" s="7"/>
    </row>
    <row r="795">
      <c r="T795" s="7"/>
    </row>
    <row r="796">
      <c r="T796" s="7"/>
    </row>
    <row r="797">
      <c r="T797" s="7"/>
    </row>
    <row r="798">
      <c r="T798" s="7"/>
    </row>
    <row r="799">
      <c r="T799" s="7"/>
    </row>
    <row r="800">
      <c r="T800" s="7"/>
    </row>
    <row r="801">
      <c r="T801" s="7"/>
    </row>
    <row r="802">
      <c r="T802" s="7"/>
    </row>
    <row r="803">
      <c r="T803" s="7"/>
    </row>
    <row r="804">
      <c r="T804" s="7"/>
    </row>
    <row r="805">
      <c r="T805" s="7"/>
    </row>
    <row r="806">
      <c r="T806" s="7"/>
    </row>
    <row r="807">
      <c r="T807" s="7"/>
    </row>
    <row r="808">
      <c r="T808" s="7"/>
    </row>
    <row r="809">
      <c r="T809" s="7"/>
    </row>
    <row r="810">
      <c r="T810" s="7"/>
    </row>
    <row r="811">
      <c r="T811" s="7"/>
    </row>
    <row r="812">
      <c r="T812" s="7"/>
    </row>
    <row r="813">
      <c r="T813" s="7"/>
    </row>
    <row r="814">
      <c r="T814" s="7"/>
    </row>
    <row r="815">
      <c r="T815" s="7"/>
    </row>
    <row r="816">
      <c r="T816" s="7"/>
    </row>
    <row r="817">
      <c r="T817" s="7"/>
    </row>
    <row r="818">
      <c r="T818" s="7"/>
    </row>
    <row r="819">
      <c r="T819" s="7"/>
    </row>
    <row r="820">
      <c r="T820" s="7"/>
    </row>
    <row r="821">
      <c r="T821" s="7"/>
    </row>
    <row r="822">
      <c r="T822" s="7"/>
    </row>
    <row r="823">
      <c r="T823" s="7"/>
    </row>
    <row r="824">
      <c r="T824" s="7"/>
    </row>
    <row r="825">
      <c r="T825" s="7"/>
    </row>
    <row r="826">
      <c r="T826" s="7"/>
    </row>
    <row r="827">
      <c r="T827" s="7"/>
    </row>
    <row r="828">
      <c r="T828" s="7"/>
    </row>
    <row r="829">
      <c r="T829" s="7"/>
    </row>
    <row r="830">
      <c r="T830" s="7"/>
    </row>
    <row r="831">
      <c r="T831" s="7"/>
    </row>
    <row r="832">
      <c r="T832" s="7"/>
    </row>
    <row r="833">
      <c r="T833" s="7"/>
    </row>
    <row r="834">
      <c r="T834" s="7"/>
    </row>
    <row r="835">
      <c r="T835" s="7"/>
    </row>
    <row r="836">
      <c r="T836" s="7"/>
    </row>
    <row r="837">
      <c r="T837" s="7"/>
    </row>
    <row r="838">
      <c r="T838" s="7"/>
    </row>
    <row r="839">
      <c r="T839" s="7"/>
    </row>
    <row r="840">
      <c r="T840" s="7"/>
    </row>
    <row r="841">
      <c r="T841" s="7"/>
    </row>
    <row r="842">
      <c r="T842" s="7"/>
    </row>
    <row r="843">
      <c r="T843" s="7"/>
    </row>
    <row r="844">
      <c r="T844" s="7"/>
    </row>
    <row r="845">
      <c r="T845" s="7"/>
    </row>
    <row r="846">
      <c r="T846" s="7"/>
    </row>
    <row r="847">
      <c r="T847" s="7"/>
    </row>
    <row r="848">
      <c r="T848" s="7"/>
    </row>
    <row r="849">
      <c r="T849" s="7"/>
    </row>
    <row r="850">
      <c r="T850" s="7"/>
    </row>
    <row r="851">
      <c r="T851" s="7"/>
    </row>
    <row r="852">
      <c r="T852" s="7"/>
    </row>
    <row r="853">
      <c r="T853" s="7"/>
    </row>
    <row r="854">
      <c r="T854" s="7"/>
    </row>
    <row r="855">
      <c r="T855" s="7"/>
    </row>
    <row r="856">
      <c r="T856" s="7"/>
    </row>
    <row r="857">
      <c r="T857" s="7"/>
    </row>
    <row r="858">
      <c r="T858" s="7"/>
    </row>
    <row r="859">
      <c r="T859" s="7"/>
    </row>
    <row r="860">
      <c r="T860" s="7"/>
    </row>
    <row r="861">
      <c r="T861" s="7"/>
    </row>
    <row r="862">
      <c r="T862" s="7"/>
    </row>
    <row r="863">
      <c r="T863" s="7"/>
    </row>
    <row r="864">
      <c r="T864" s="7"/>
    </row>
    <row r="865">
      <c r="T865" s="7"/>
    </row>
    <row r="866">
      <c r="T866" s="7"/>
    </row>
    <row r="867">
      <c r="T867" s="7"/>
    </row>
    <row r="868">
      <c r="T868" s="7"/>
    </row>
    <row r="869">
      <c r="T869" s="7"/>
    </row>
    <row r="870">
      <c r="T870" s="7"/>
    </row>
    <row r="871">
      <c r="T871" s="7"/>
    </row>
    <row r="872">
      <c r="T872" s="7"/>
    </row>
    <row r="873">
      <c r="T873" s="7"/>
    </row>
    <row r="874">
      <c r="T874" s="7"/>
    </row>
    <row r="875">
      <c r="T875" s="7"/>
    </row>
    <row r="876">
      <c r="T876" s="7"/>
    </row>
    <row r="877">
      <c r="T877" s="7"/>
    </row>
    <row r="878">
      <c r="T878" s="7"/>
    </row>
    <row r="879">
      <c r="T879" s="7"/>
    </row>
    <row r="880">
      <c r="T880" s="7"/>
    </row>
    <row r="881">
      <c r="T881" s="7"/>
    </row>
    <row r="882">
      <c r="T882" s="7"/>
    </row>
    <row r="883">
      <c r="T883" s="7"/>
    </row>
    <row r="884">
      <c r="T884" s="7"/>
    </row>
    <row r="885">
      <c r="T885" s="7"/>
    </row>
    <row r="886">
      <c r="T886" s="7"/>
    </row>
    <row r="887">
      <c r="T887" s="7"/>
    </row>
    <row r="888">
      <c r="T888" s="7"/>
    </row>
    <row r="889">
      <c r="T889" s="7"/>
    </row>
    <row r="890">
      <c r="T890" s="7"/>
    </row>
    <row r="891">
      <c r="T891" s="7"/>
    </row>
    <row r="892">
      <c r="T892" s="7"/>
    </row>
    <row r="893">
      <c r="T893" s="7"/>
    </row>
    <row r="894">
      <c r="T894" s="7"/>
    </row>
    <row r="895">
      <c r="T895" s="7"/>
    </row>
    <row r="896">
      <c r="T896" s="7"/>
    </row>
    <row r="897">
      <c r="T897" s="7"/>
    </row>
    <row r="898">
      <c r="T898" s="7"/>
    </row>
    <row r="899">
      <c r="T899" s="7"/>
    </row>
    <row r="900">
      <c r="T900" s="7"/>
    </row>
    <row r="901">
      <c r="T901" s="7"/>
    </row>
    <row r="902">
      <c r="T902" s="7"/>
    </row>
    <row r="903">
      <c r="T903" s="7"/>
    </row>
    <row r="904">
      <c r="T904" s="7"/>
    </row>
    <row r="905">
      <c r="T905" s="7"/>
    </row>
    <row r="906">
      <c r="T906" s="7"/>
    </row>
    <row r="907">
      <c r="T907" s="7"/>
    </row>
    <row r="908">
      <c r="T908" s="7"/>
    </row>
    <row r="909">
      <c r="T909" s="7"/>
    </row>
    <row r="910">
      <c r="T910" s="7"/>
    </row>
    <row r="911">
      <c r="T911" s="7"/>
    </row>
    <row r="912">
      <c r="T912" s="7"/>
    </row>
    <row r="913">
      <c r="T913" s="7"/>
    </row>
    <row r="914">
      <c r="T914" s="7"/>
    </row>
    <row r="915">
      <c r="T915" s="7"/>
    </row>
    <row r="916">
      <c r="T916" s="7"/>
    </row>
    <row r="917">
      <c r="T917" s="7"/>
    </row>
    <row r="918">
      <c r="T918" s="7"/>
    </row>
    <row r="919">
      <c r="T919" s="7"/>
    </row>
    <row r="920">
      <c r="T920" s="7"/>
    </row>
    <row r="921">
      <c r="T921" s="7"/>
    </row>
    <row r="922">
      <c r="T922" s="7"/>
    </row>
    <row r="923">
      <c r="T923" s="7"/>
    </row>
    <row r="924">
      <c r="T924" s="7"/>
    </row>
    <row r="925">
      <c r="T925" s="7"/>
    </row>
    <row r="926">
      <c r="T926" s="7"/>
    </row>
    <row r="927">
      <c r="T927" s="7"/>
    </row>
    <row r="928">
      <c r="T928" s="7"/>
    </row>
    <row r="929">
      <c r="T929" s="7"/>
    </row>
    <row r="930">
      <c r="T930" s="7"/>
    </row>
    <row r="931">
      <c r="T931" s="7"/>
    </row>
    <row r="932">
      <c r="T932" s="7"/>
    </row>
    <row r="933">
      <c r="T933" s="7"/>
    </row>
    <row r="934">
      <c r="T934" s="7"/>
    </row>
    <row r="935">
      <c r="T935" s="7"/>
    </row>
    <row r="936">
      <c r="T936" s="7"/>
    </row>
    <row r="937">
      <c r="T937" s="7"/>
    </row>
    <row r="938">
      <c r="T938" s="7"/>
    </row>
    <row r="939">
      <c r="T939" s="7"/>
    </row>
    <row r="940">
      <c r="T940" s="7"/>
    </row>
    <row r="941">
      <c r="T941" s="7"/>
    </row>
    <row r="942">
      <c r="T942" s="7"/>
    </row>
    <row r="943">
      <c r="T943" s="7"/>
    </row>
    <row r="944">
      <c r="T944" s="7"/>
    </row>
    <row r="945">
      <c r="T945" s="7"/>
    </row>
    <row r="946">
      <c r="T946" s="7"/>
    </row>
    <row r="947">
      <c r="T947" s="7"/>
    </row>
    <row r="948">
      <c r="T948" s="7"/>
    </row>
    <row r="949">
      <c r="T949" s="7"/>
    </row>
    <row r="950">
      <c r="T950" s="7"/>
    </row>
    <row r="951">
      <c r="T951" s="7"/>
    </row>
    <row r="952">
      <c r="T952" s="7"/>
    </row>
    <row r="953">
      <c r="T953" s="7"/>
    </row>
    <row r="954">
      <c r="T954" s="7"/>
    </row>
    <row r="955">
      <c r="T955" s="7"/>
    </row>
    <row r="956">
      <c r="T956" s="7"/>
    </row>
    <row r="957">
      <c r="T957" s="7"/>
    </row>
    <row r="958">
      <c r="T958" s="7"/>
    </row>
    <row r="959">
      <c r="T959" s="7"/>
    </row>
    <row r="960">
      <c r="T960" s="7"/>
    </row>
    <row r="961">
      <c r="T961" s="7"/>
    </row>
    <row r="962">
      <c r="T962" s="7"/>
    </row>
    <row r="963">
      <c r="T963" s="7"/>
    </row>
    <row r="964">
      <c r="T964" s="7"/>
    </row>
    <row r="965">
      <c r="T965" s="7"/>
    </row>
    <row r="966">
      <c r="T966" s="7"/>
    </row>
    <row r="967">
      <c r="T967" s="7"/>
    </row>
    <row r="968">
      <c r="T968" s="7"/>
    </row>
    <row r="969">
      <c r="T969" s="7"/>
    </row>
    <row r="970">
      <c r="T970" s="7"/>
    </row>
    <row r="971">
      <c r="T971" s="7"/>
    </row>
    <row r="972">
      <c r="T972" s="7"/>
    </row>
    <row r="973">
      <c r="T973" s="7"/>
    </row>
    <row r="974">
      <c r="T974" s="7"/>
    </row>
    <row r="975">
      <c r="T975" s="7"/>
    </row>
    <row r="976">
      <c r="T976" s="7"/>
    </row>
    <row r="977">
      <c r="T977" s="7"/>
    </row>
    <row r="978">
      <c r="T978" s="7"/>
    </row>
    <row r="979">
      <c r="T979" s="7"/>
    </row>
    <row r="980">
      <c r="T980" s="7"/>
    </row>
    <row r="981">
      <c r="T981" s="7"/>
    </row>
    <row r="982">
      <c r="T982" s="7"/>
    </row>
    <row r="983">
      <c r="T983" s="7"/>
    </row>
    <row r="984">
      <c r="T984" s="7"/>
    </row>
    <row r="985">
      <c r="T985" s="7"/>
    </row>
    <row r="986">
      <c r="T986" s="7"/>
    </row>
    <row r="987">
      <c r="T987" s="7"/>
    </row>
    <row r="988">
      <c r="T988" s="7"/>
    </row>
    <row r="989">
      <c r="T989" s="7"/>
    </row>
    <row r="990">
      <c r="T990" s="7"/>
    </row>
    <row r="991">
      <c r="T991" s="7"/>
    </row>
    <row r="992">
      <c r="T992" s="7"/>
    </row>
    <row r="993">
      <c r="T993" s="7"/>
    </row>
    <row r="994">
      <c r="T994" s="7"/>
    </row>
    <row r="995">
      <c r="T995" s="7"/>
    </row>
    <row r="996">
      <c r="T996" s="7"/>
    </row>
    <row r="997">
      <c r="T997" s="7"/>
    </row>
    <row r="998">
      <c r="T998" s="7"/>
    </row>
    <row r="999">
      <c r="T999" s="7"/>
    </row>
    <row r="1000">
      <c r="T1000" s="7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7"/>
      <c r="B1" s="21" t="str">
        <f>IFERROR(__xludf.DUMMYFUNCTION("QUERY(IMPORTHTML(""https://www.teamrankings.com/nfl/stat/yards-per-point?date="" &amp; TEXT(TODAY(),""yyyy-mm-dd""), ""table"", 1, ""en_US""), ""SELECT Col2, Col3, Col4, Col5, Col6, Col7, Col8"")
"),"Team")</f>
        <v>Team</v>
      </c>
      <c r="C1" s="22" t="str">
        <f>IFERROR(__xludf.DUMMYFUNCTION("""COMPUTED_VALUE"""),"2024")</f>
        <v>2024</v>
      </c>
      <c r="D1" s="23" t="str">
        <f>IFERROR(__xludf.DUMMYFUNCTION("""COMPUTED_VALUE"""),"Last 3")</f>
        <v>Last 3</v>
      </c>
      <c r="E1" s="23" t="str">
        <f>IFERROR(__xludf.DUMMYFUNCTION("""COMPUTED_VALUE"""),"Last 1")</f>
        <v>Last 1</v>
      </c>
      <c r="F1" s="22" t="str">
        <f>IFERROR(__xludf.DUMMYFUNCTION("""COMPUTED_VALUE"""),"Home")</f>
        <v>Home</v>
      </c>
      <c r="G1" s="22" t="str">
        <f>IFERROR(__xludf.DUMMYFUNCTION("""COMPUTED_VALUE"""),"Away")</f>
        <v>Away</v>
      </c>
      <c r="H1" s="22" t="str">
        <f>IFERROR(__xludf.DUMMYFUNCTION("""COMPUTED_VALUE"""),"2023")</f>
        <v>2023</v>
      </c>
    </row>
    <row r="2">
      <c r="A2" s="24">
        <f>VLOOKUP(B2,map!B:C,2,false)</f>
        <v>5</v>
      </c>
      <c r="B2" s="25" t="str">
        <f>IFERROR(__xludf.DUMMYFUNCTION("""COMPUTED_VALUE"""),"Detroit")</f>
        <v>Detroit</v>
      </c>
      <c r="C2" s="26">
        <f>IFERROR(__xludf.DUMMYFUNCTION("""COMPUTED_VALUE"""),11.5)</f>
        <v>11.5</v>
      </c>
      <c r="D2" s="26">
        <f>IFERROR(__xludf.DUMMYFUNCTION("""COMPUTED_VALUE"""),8.5)</f>
        <v>8.5</v>
      </c>
      <c r="E2" s="26">
        <f>IFERROR(__xludf.DUMMYFUNCTION("""COMPUTED_VALUE"""),4.3)</f>
        <v>4.3</v>
      </c>
      <c r="F2" s="26">
        <f>IFERROR(__xludf.DUMMYFUNCTION("""COMPUTED_VALUE"""),10.6)</f>
        <v>10.6</v>
      </c>
      <c r="G2" s="26">
        <f>IFERROR(__xludf.DUMMYFUNCTION("""COMPUTED_VALUE"""),12.8)</f>
        <v>12.8</v>
      </c>
      <c r="H2" s="26">
        <f>IFERROR(__xludf.DUMMYFUNCTION("""COMPUTED_VALUE"""),14.4)</f>
        <v>14.4</v>
      </c>
    </row>
    <row r="3">
      <c r="A3" s="24">
        <f>VLOOKUP(B3,map!B:C,2,false)</f>
        <v>11</v>
      </c>
      <c r="B3" s="25" t="str">
        <f>IFERROR(__xludf.DUMMYFUNCTION("""COMPUTED_VALUE"""),"Buffalo")</f>
        <v>Buffalo</v>
      </c>
      <c r="C3" s="26">
        <f>IFERROR(__xludf.DUMMYFUNCTION("""COMPUTED_VALUE"""),11.7)</f>
        <v>11.7</v>
      </c>
      <c r="D3" s="26">
        <f>IFERROR(__xludf.DUMMYFUNCTION("""COMPUTED_VALUE"""),13.6)</f>
        <v>13.6</v>
      </c>
      <c r="E3" s="26">
        <f>IFERROR(__xludf.DUMMYFUNCTION("""COMPUTED_VALUE"""),14.4)</f>
        <v>14.4</v>
      </c>
      <c r="F3" s="26">
        <f>IFERROR(__xludf.DUMMYFUNCTION("""COMPUTED_VALUE"""),9.8)</f>
        <v>9.8</v>
      </c>
      <c r="G3" s="26">
        <f>IFERROR(__xludf.DUMMYFUNCTION("""COMPUTED_VALUE"""),13.6)</f>
        <v>13.6</v>
      </c>
      <c r="H3" s="26">
        <f>IFERROR(__xludf.DUMMYFUNCTION("""COMPUTED_VALUE"""),14.0)</f>
        <v>14</v>
      </c>
    </row>
    <row r="4">
      <c r="A4" s="24">
        <f>VLOOKUP(B4,map!B:C,2,false)</f>
        <v>3</v>
      </c>
      <c r="B4" s="25" t="str">
        <f>IFERROR(__xludf.DUMMYFUNCTION("""COMPUTED_VALUE"""),"Minnesota")</f>
        <v>Minnesota</v>
      </c>
      <c r="C4" s="26">
        <f>IFERROR(__xludf.DUMMYFUNCTION("""COMPUTED_VALUE"""),12.1)</f>
        <v>12.1</v>
      </c>
      <c r="D4" s="26">
        <f>IFERROR(__xludf.DUMMYFUNCTION("""COMPUTED_VALUE"""),12.7)</f>
        <v>12.7</v>
      </c>
      <c r="E4" s="26">
        <f>IFERROR(__xludf.DUMMYFUNCTION("""COMPUTED_VALUE"""),13.8)</f>
        <v>13.8</v>
      </c>
      <c r="F4" s="26">
        <f>IFERROR(__xludf.DUMMYFUNCTION("""COMPUTED_VALUE"""),12.3)</f>
        <v>12.3</v>
      </c>
      <c r="G4" s="26">
        <f>IFERROR(__xludf.DUMMYFUNCTION("""COMPUTED_VALUE"""),11.9)</f>
        <v>11.9</v>
      </c>
      <c r="H4" s="26">
        <f>IFERROR(__xludf.DUMMYFUNCTION("""COMPUTED_VALUE"""),17.2)</f>
        <v>17.2</v>
      </c>
    </row>
    <row r="5">
      <c r="A5" s="24">
        <f>VLOOKUP(B5,map!B:C,2,false)</f>
        <v>31</v>
      </c>
      <c r="B5" s="25" t="str">
        <f>IFERROR(__xludf.DUMMYFUNCTION("""COMPUTED_VALUE"""),"Chicago")</f>
        <v>Chicago</v>
      </c>
      <c r="C5" s="26">
        <f>IFERROR(__xludf.DUMMYFUNCTION("""COMPUTED_VALUE"""),13.0)</f>
        <v>13</v>
      </c>
      <c r="D5" s="26">
        <f>IFERROR(__xludf.DUMMYFUNCTION("""COMPUTED_VALUE"""),12.8)</f>
        <v>12.8</v>
      </c>
      <c r="E5" s="26">
        <f>IFERROR(__xludf.DUMMYFUNCTION("""COMPUTED_VALUE"""),20.5)</f>
        <v>20.5</v>
      </c>
      <c r="F5" s="26">
        <f>IFERROR(__xludf.DUMMYFUNCTION("""COMPUTED_VALUE"""),10.0)</f>
        <v>10</v>
      </c>
      <c r="G5" s="26">
        <f>IFERROR(__xludf.DUMMYFUNCTION("""COMPUTED_VALUE"""),16.2)</f>
        <v>16.2</v>
      </c>
      <c r="H5" s="26">
        <f>IFERROR(__xludf.DUMMYFUNCTION("""COMPUTED_VALUE"""),15.3)</f>
        <v>15.3</v>
      </c>
    </row>
    <row r="6">
      <c r="A6" s="24">
        <f>VLOOKUP(B6,map!B:C,2,false)</f>
        <v>14</v>
      </c>
      <c r="B6" s="25" t="str">
        <f>IFERROR(__xludf.DUMMYFUNCTION("""COMPUTED_VALUE"""),"Tampa Bay")</f>
        <v>Tampa Bay</v>
      </c>
      <c r="C6" s="26">
        <f>IFERROR(__xludf.DUMMYFUNCTION("""COMPUTED_VALUE"""),13.3)</f>
        <v>13.3</v>
      </c>
      <c r="D6" s="26">
        <f>IFERROR(__xludf.DUMMYFUNCTION("""COMPUTED_VALUE"""),14.0)</f>
        <v>14</v>
      </c>
      <c r="E6" s="26">
        <f>IFERROR(__xludf.DUMMYFUNCTION("""COMPUTED_VALUE"""),16.6)</f>
        <v>16.6</v>
      </c>
      <c r="F6" s="26">
        <f>IFERROR(__xludf.DUMMYFUNCTION("""COMPUTED_VALUE"""),14.7)</f>
        <v>14.7</v>
      </c>
      <c r="G6" s="26">
        <f>IFERROR(__xludf.DUMMYFUNCTION("""COMPUTED_VALUE"""),11.3)</f>
        <v>11.3</v>
      </c>
      <c r="H6" s="26">
        <f>IFERROR(__xludf.DUMMYFUNCTION("""COMPUTED_VALUE"""),15.3)</f>
        <v>15.3</v>
      </c>
    </row>
    <row r="7">
      <c r="A7" s="24">
        <f>VLOOKUP(B7,map!B:C,2,false)</f>
        <v>4</v>
      </c>
      <c r="B7" s="25" t="str">
        <f>IFERROR(__xludf.DUMMYFUNCTION("""COMPUTED_VALUE"""),"Cincinnati")</f>
        <v>Cincinnati</v>
      </c>
      <c r="C7" s="26">
        <f>IFERROR(__xludf.DUMMYFUNCTION("""COMPUTED_VALUE"""),13.3)</f>
        <v>13.3</v>
      </c>
      <c r="D7" s="26">
        <f>IFERROR(__xludf.DUMMYFUNCTION("""COMPUTED_VALUE"""),14.7)</f>
        <v>14.7</v>
      </c>
      <c r="E7" s="26">
        <f>IFERROR(__xludf.DUMMYFUNCTION("""COMPUTED_VALUE"""),16.5)</f>
        <v>16.5</v>
      </c>
      <c r="F7" s="26">
        <f>IFERROR(__xludf.DUMMYFUNCTION("""COMPUTED_VALUE"""),14.1)</f>
        <v>14.1</v>
      </c>
      <c r="G7" s="26">
        <f>IFERROR(__xludf.DUMMYFUNCTION("""COMPUTED_VALUE"""),12.6)</f>
        <v>12.6</v>
      </c>
      <c r="H7" s="26">
        <f>IFERROR(__xludf.DUMMYFUNCTION("""COMPUTED_VALUE"""),14.8)</f>
        <v>14.8</v>
      </c>
    </row>
    <row r="8">
      <c r="A8" s="24">
        <f>VLOOKUP(B8,map!B:C,2,false)</f>
        <v>8</v>
      </c>
      <c r="B8" s="25" t="str">
        <f>IFERROR(__xludf.DUMMYFUNCTION("""COMPUTED_VALUE"""),"Washington")</f>
        <v>Washington</v>
      </c>
      <c r="C8" s="26">
        <f>IFERROR(__xludf.DUMMYFUNCTION("""COMPUTED_VALUE"""),13.4)</f>
        <v>13.4</v>
      </c>
      <c r="D8" s="26">
        <f>IFERROR(__xludf.DUMMYFUNCTION("""COMPUTED_VALUE"""),14.9)</f>
        <v>14.9</v>
      </c>
      <c r="E8" s="26">
        <f>IFERROR(__xludf.DUMMYFUNCTION("""COMPUTED_VALUE"""),26.7)</f>
        <v>26.7</v>
      </c>
      <c r="F8" s="26">
        <f>IFERROR(__xludf.DUMMYFUNCTION("""COMPUTED_VALUE"""),15.6)</f>
        <v>15.6</v>
      </c>
      <c r="G8" s="26">
        <f>IFERROR(__xludf.DUMMYFUNCTION("""COMPUTED_VALUE"""),11.5)</f>
        <v>11.5</v>
      </c>
      <c r="H8" s="26">
        <f>IFERROR(__xludf.DUMMYFUNCTION("""COMPUTED_VALUE"""),16.2)</f>
        <v>16.2</v>
      </c>
    </row>
    <row r="9">
      <c r="A9" s="24">
        <f>VLOOKUP(B9,map!B:C,2,false)</f>
        <v>29</v>
      </c>
      <c r="B9" s="25" t="str">
        <f>IFERROR(__xludf.DUMMYFUNCTION("""COMPUTED_VALUE"""),"Pittsburgh")</f>
        <v>Pittsburgh</v>
      </c>
      <c r="C9" s="26">
        <f>IFERROR(__xludf.DUMMYFUNCTION("""COMPUTED_VALUE"""),13.7)</f>
        <v>13.7</v>
      </c>
      <c r="D9" s="26">
        <f>IFERROR(__xludf.DUMMYFUNCTION("""COMPUTED_VALUE"""),10.8)</f>
        <v>10.8</v>
      </c>
      <c r="E9" s="26">
        <f>IFERROR(__xludf.DUMMYFUNCTION("""COMPUTED_VALUE"""),11.1)</f>
        <v>11.1</v>
      </c>
      <c r="F9" s="26">
        <f>IFERROR(__xludf.DUMMYFUNCTION("""COMPUTED_VALUE"""),13.3)</f>
        <v>13.3</v>
      </c>
      <c r="G9" s="26">
        <f>IFERROR(__xludf.DUMMYFUNCTION("""COMPUTED_VALUE"""),14.0)</f>
        <v>14</v>
      </c>
      <c r="H9" s="26">
        <f>IFERROR(__xludf.DUMMYFUNCTION("""COMPUTED_VALUE"""),17.1)</f>
        <v>17.1</v>
      </c>
    </row>
    <row r="10">
      <c r="A10" s="24">
        <f>VLOOKUP(B10,map!B:C,2,false)</f>
        <v>9</v>
      </c>
      <c r="B10" s="25" t="str">
        <f>IFERROR(__xludf.DUMMYFUNCTION("""COMPUTED_VALUE"""),"New Orleans")</f>
        <v>New Orleans</v>
      </c>
      <c r="C10" s="26">
        <f>IFERROR(__xludf.DUMMYFUNCTION("""COMPUTED_VALUE"""),13.8)</f>
        <v>13.8</v>
      </c>
      <c r="D10" s="26">
        <f>IFERROR(__xludf.DUMMYFUNCTION("""COMPUTED_VALUE"""),20.9)</f>
        <v>20.9</v>
      </c>
      <c r="E10" s="26">
        <f>IFERROR(__xludf.DUMMYFUNCTION("""COMPUTED_VALUE"""),45.8)</f>
        <v>45.8</v>
      </c>
      <c r="F10" s="26">
        <f>IFERROR(__xludf.DUMMYFUNCTION("""COMPUTED_VALUE"""),12.2)</f>
        <v>12.2</v>
      </c>
      <c r="G10" s="26">
        <f>IFERROR(__xludf.DUMMYFUNCTION("""COMPUTED_VALUE"""),15.6)</f>
        <v>15.6</v>
      </c>
      <c r="H10" s="26">
        <f>IFERROR(__xludf.DUMMYFUNCTION("""COMPUTED_VALUE"""),14.3)</f>
        <v>14.3</v>
      </c>
    </row>
    <row r="11">
      <c r="A11" s="24">
        <f>VLOOKUP(B11,map!B:C,2,false)</f>
        <v>2</v>
      </c>
      <c r="B11" s="25" t="str">
        <f>IFERROR(__xludf.DUMMYFUNCTION("""COMPUTED_VALUE"""),"Kansas City")</f>
        <v>Kansas City</v>
      </c>
      <c r="C11" s="26">
        <f>IFERROR(__xludf.DUMMYFUNCTION("""COMPUTED_VALUE"""),14.1)</f>
        <v>14.1</v>
      </c>
      <c r="D11" s="26">
        <f>IFERROR(__xludf.DUMMYFUNCTION("""COMPUTED_VALUE"""),13.9)</f>
        <v>13.9</v>
      </c>
      <c r="E11" s="26">
        <f>IFERROR(__xludf.DUMMYFUNCTION("""COMPUTED_VALUE"""),12.4)</f>
        <v>12.4</v>
      </c>
      <c r="F11" s="26">
        <f>IFERROR(__xludf.DUMMYFUNCTION("""COMPUTED_VALUE"""),13.9)</f>
        <v>13.9</v>
      </c>
      <c r="G11" s="26">
        <f>IFERROR(__xludf.DUMMYFUNCTION("""COMPUTED_VALUE"""),14.2)</f>
        <v>14.2</v>
      </c>
      <c r="H11" s="26">
        <f>IFERROR(__xludf.DUMMYFUNCTION("""COMPUTED_VALUE"""),16.1)</f>
        <v>16.1</v>
      </c>
    </row>
    <row r="12">
      <c r="A12" s="24">
        <f>VLOOKUP(B12,map!B:C,2,false)</f>
        <v>27</v>
      </c>
      <c r="B12" s="25" t="str">
        <f>IFERROR(__xludf.DUMMYFUNCTION("""COMPUTED_VALUE"""),"Denver")</f>
        <v>Denver</v>
      </c>
      <c r="C12" s="26">
        <f>IFERROR(__xludf.DUMMYFUNCTION("""COMPUTED_VALUE"""),14.2)</f>
        <v>14.2</v>
      </c>
      <c r="D12" s="26">
        <f>IFERROR(__xludf.DUMMYFUNCTION("""COMPUTED_VALUE"""),14.4)</f>
        <v>14.4</v>
      </c>
      <c r="E12" s="26">
        <f>IFERROR(__xludf.DUMMYFUNCTION("""COMPUTED_VALUE"""),14.3)</f>
        <v>14.3</v>
      </c>
      <c r="F12" s="26">
        <f>IFERROR(__xludf.DUMMYFUNCTION("""COMPUTED_VALUE"""),15.5)</f>
        <v>15.5</v>
      </c>
      <c r="G12" s="26">
        <f>IFERROR(__xludf.DUMMYFUNCTION("""COMPUTED_VALUE"""),13.0)</f>
        <v>13</v>
      </c>
      <c r="H12" s="26">
        <f>IFERROR(__xludf.DUMMYFUNCTION("""COMPUTED_VALUE"""),14.2)</f>
        <v>14.2</v>
      </c>
    </row>
    <row r="13">
      <c r="A13" s="24">
        <f>VLOOKUP(B13,map!B:C,2,false)</f>
        <v>15</v>
      </c>
      <c r="B13" s="25" t="str">
        <f>IFERROR(__xludf.DUMMYFUNCTION("""COMPUTED_VALUE"""),"Green Bay")</f>
        <v>Green Bay</v>
      </c>
      <c r="C13" s="26">
        <f>IFERROR(__xludf.DUMMYFUNCTION("""COMPUTED_VALUE"""),14.3)</f>
        <v>14.3</v>
      </c>
      <c r="D13" s="26">
        <f>IFERROR(__xludf.DUMMYFUNCTION("""COMPUTED_VALUE"""),12.9)</f>
        <v>12.9</v>
      </c>
      <c r="E13" s="26">
        <f>IFERROR(__xludf.DUMMYFUNCTION("""COMPUTED_VALUE"""),14.1)</f>
        <v>14.1</v>
      </c>
      <c r="F13" s="26">
        <f>IFERROR(__xludf.DUMMYFUNCTION("""COMPUTED_VALUE"""),15.2)</f>
        <v>15.2</v>
      </c>
      <c r="G13" s="26">
        <f>IFERROR(__xludf.DUMMYFUNCTION("""COMPUTED_VALUE"""),13.6)</f>
        <v>13.6</v>
      </c>
      <c r="H13" s="26">
        <f>IFERROR(__xludf.DUMMYFUNCTION("""COMPUTED_VALUE"""),14.6)</f>
        <v>14.6</v>
      </c>
    </row>
    <row r="14">
      <c r="A14" s="24">
        <f>VLOOKUP(B14,map!B:C,2,false)</f>
        <v>13</v>
      </c>
      <c r="B14" s="25" t="str">
        <f>IFERROR(__xludf.DUMMYFUNCTION("""COMPUTED_VALUE"""),"Seattle")</f>
        <v>Seattle</v>
      </c>
      <c r="C14" s="26">
        <f>IFERROR(__xludf.DUMMYFUNCTION("""COMPUTED_VALUE"""),14.8)</f>
        <v>14.8</v>
      </c>
      <c r="D14" s="26">
        <f>IFERROR(__xludf.DUMMYFUNCTION("""COMPUTED_VALUE"""),13.7)</f>
        <v>13.7</v>
      </c>
      <c r="E14" s="26">
        <f>IFERROR(__xludf.DUMMYFUNCTION("""COMPUTED_VALUE"""),23.3)</f>
        <v>23.3</v>
      </c>
      <c r="F14" s="26">
        <f>IFERROR(__xludf.DUMMYFUNCTION("""COMPUTED_VALUE"""),15.4)</f>
        <v>15.4</v>
      </c>
      <c r="G14" s="26">
        <f>IFERROR(__xludf.DUMMYFUNCTION("""COMPUTED_VALUE"""),14.1)</f>
        <v>14.1</v>
      </c>
      <c r="H14" s="26">
        <f>IFERROR(__xludf.DUMMYFUNCTION("""COMPUTED_VALUE"""),15.1)</f>
        <v>15.1</v>
      </c>
    </row>
    <row r="15">
      <c r="A15" s="24">
        <f>VLOOKUP(B15,map!B:C,2,false)</f>
        <v>20</v>
      </c>
      <c r="B15" s="25" t="str">
        <f>IFERROR(__xludf.DUMMYFUNCTION("""COMPUTED_VALUE"""),"Indianapolis")</f>
        <v>Indianapolis</v>
      </c>
      <c r="C15" s="26">
        <f>IFERROR(__xludf.DUMMYFUNCTION("""COMPUTED_VALUE"""),14.9)</f>
        <v>14.9</v>
      </c>
      <c r="D15" s="26">
        <f>IFERROR(__xludf.DUMMYFUNCTION("""COMPUTED_VALUE"""),15.3)</f>
        <v>15.3</v>
      </c>
      <c r="E15" s="26">
        <f>IFERROR(__xludf.DUMMYFUNCTION("""COMPUTED_VALUE"""),15.2)</f>
        <v>15.2</v>
      </c>
      <c r="F15" s="26">
        <f>IFERROR(__xludf.DUMMYFUNCTION("""COMPUTED_VALUE"""),13.7)</f>
        <v>13.7</v>
      </c>
      <c r="G15" s="26">
        <f>IFERROR(__xludf.DUMMYFUNCTION("""COMPUTED_VALUE"""),16.2)</f>
        <v>16.2</v>
      </c>
      <c r="H15" s="26">
        <f>IFERROR(__xludf.DUMMYFUNCTION("""COMPUTED_VALUE"""),14.5)</f>
        <v>14.5</v>
      </c>
    </row>
    <row r="16">
      <c r="A16" s="24">
        <f>VLOOKUP(B16,map!B:C,2,false)</f>
        <v>30</v>
      </c>
      <c r="B16" s="25" t="str">
        <f>IFERROR(__xludf.DUMMYFUNCTION("""COMPUTED_VALUE"""),"Baltimore")</f>
        <v>Baltimore</v>
      </c>
      <c r="C16" s="26">
        <f>IFERROR(__xludf.DUMMYFUNCTION("""COMPUTED_VALUE"""),14.9)</f>
        <v>14.9</v>
      </c>
      <c r="D16" s="26">
        <f>IFERROR(__xludf.DUMMYFUNCTION("""COMPUTED_VALUE"""),14.5)</f>
        <v>14.5</v>
      </c>
      <c r="E16" s="26">
        <f>IFERROR(__xludf.DUMMYFUNCTION("""COMPUTED_VALUE"""),16.1)</f>
        <v>16.1</v>
      </c>
      <c r="F16" s="26">
        <f>IFERROR(__xludf.DUMMYFUNCTION("""COMPUTED_VALUE"""),14.7)</f>
        <v>14.7</v>
      </c>
      <c r="G16" s="26">
        <f>IFERROR(__xludf.DUMMYFUNCTION("""COMPUTED_VALUE"""),15.1)</f>
        <v>15.1</v>
      </c>
      <c r="H16" s="26">
        <f>IFERROR(__xludf.DUMMYFUNCTION("""COMPUTED_VALUE"""),13.3)</f>
        <v>13.3</v>
      </c>
    </row>
    <row r="17">
      <c r="A17" s="24">
        <f>VLOOKUP(B17,map!B:C,2,false)</f>
        <v>17</v>
      </c>
      <c r="B17" s="25" t="str">
        <f>IFERROR(__xludf.DUMMYFUNCTION("""COMPUTED_VALUE"""),"Houston")</f>
        <v>Houston</v>
      </c>
      <c r="C17" s="26">
        <f>IFERROR(__xludf.DUMMYFUNCTION("""COMPUTED_VALUE"""),15.0)</f>
        <v>15</v>
      </c>
      <c r="D17" s="26">
        <f>IFERROR(__xludf.DUMMYFUNCTION("""COMPUTED_VALUE"""),10.8)</f>
        <v>10.8</v>
      </c>
      <c r="E17" s="26">
        <f>IFERROR(__xludf.DUMMYFUNCTION("""COMPUTED_VALUE"""),15.8)</f>
        <v>15.8</v>
      </c>
      <c r="F17" s="26">
        <f>IFERROR(__xludf.DUMMYFUNCTION("""COMPUTED_VALUE"""),17.2)</f>
        <v>17.2</v>
      </c>
      <c r="G17" s="26">
        <f>IFERROR(__xludf.DUMMYFUNCTION("""COMPUTED_VALUE"""),12.9)</f>
        <v>12.9</v>
      </c>
      <c r="H17" s="26">
        <f>IFERROR(__xludf.DUMMYFUNCTION("""COMPUTED_VALUE"""),14.8)</f>
        <v>14.8</v>
      </c>
    </row>
    <row r="18">
      <c r="A18" s="24">
        <f>VLOOKUP(B18,map!B:C,2,false)</f>
        <v>12</v>
      </c>
      <c r="B18" s="25" t="str">
        <f>IFERROR(__xludf.DUMMYFUNCTION("""COMPUTED_VALUE"""),"Philadelphia")</f>
        <v>Philadelphia</v>
      </c>
      <c r="C18" s="26">
        <f>IFERROR(__xludf.DUMMYFUNCTION("""COMPUTED_VALUE"""),15.0)</f>
        <v>15</v>
      </c>
      <c r="D18" s="26">
        <f>IFERROR(__xludf.DUMMYFUNCTION("""COMPUTED_VALUE"""),13.0)</f>
        <v>13</v>
      </c>
      <c r="E18" s="26">
        <f>IFERROR(__xludf.DUMMYFUNCTION("""COMPUTED_VALUE"""),10.7)</f>
        <v>10.7</v>
      </c>
      <c r="F18" s="26">
        <f>IFERROR(__xludf.DUMMYFUNCTION("""COMPUTED_VALUE"""),18.0)</f>
        <v>18</v>
      </c>
      <c r="G18" s="26">
        <f>IFERROR(__xludf.DUMMYFUNCTION("""COMPUTED_VALUE"""),14.1)</f>
        <v>14.1</v>
      </c>
      <c r="H18" s="26">
        <f>IFERROR(__xludf.DUMMYFUNCTION("""COMPUTED_VALUE"""),14.3)</f>
        <v>14.3</v>
      </c>
    </row>
    <row r="19">
      <c r="A19" s="24">
        <f>VLOOKUP(B19,map!B:C,2,false)</f>
        <v>21</v>
      </c>
      <c r="B19" s="25" t="str">
        <f>IFERROR(__xludf.DUMMYFUNCTION("""COMPUTED_VALUE"""),"Arizona")</f>
        <v>Arizona</v>
      </c>
      <c r="C19" s="26">
        <f>IFERROR(__xludf.DUMMYFUNCTION("""COMPUTED_VALUE"""),15.2)</f>
        <v>15.2</v>
      </c>
      <c r="D19" s="26">
        <f>IFERROR(__xludf.DUMMYFUNCTION("""COMPUTED_VALUE"""),17.6)</f>
        <v>17.6</v>
      </c>
      <c r="E19" s="26">
        <f>IFERROR(__xludf.DUMMYFUNCTION("""COMPUTED_VALUE"""),13.9)</f>
        <v>13.9</v>
      </c>
      <c r="F19" s="26">
        <f>IFERROR(__xludf.DUMMYFUNCTION("""COMPUTED_VALUE"""),16.3)</f>
        <v>16.3</v>
      </c>
      <c r="G19" s="26">
        <f>IFERROR(__xludf.DUMMYFUNCTION("""COMPUTED_VALUE"""),14.2)</f>
        <v>14.2</v>
      </c>
      <c r="H19" s="26">
        <f>IFERROR(__xludf.DUMMYFUNCTION("""COMPUTED_VALUE"""),16.7)</f>
        <v>16.7</v>
      </c>
    </row>
    <row r="20">
      <c r="A20" s="24">
        <f>VLOOKUP(B20,map!B:C,2,false)</f>
        <v>28</v>
      </c>
      <c r="B20" s="25" t="str">
        <f>IFERROR(__xludf.DUMMYFUNCTION("""COMPUTED_VALUE"""),"Atlanta")</f>
        <v>Atlanta</v>
      </c>
      <c r="C20" s="26">
        <f>IFERROR(__xludf.DUMMYFUNCTION("""COMPUTED_VALUE"""),15.3)</f>
        <v>15.3</v>
      </c>
      <c r="D20" s="26">
        <f>IFERROR(__xludf.DUMMYFUNCTION("""COMPUTED_VALUE"""),14.3)</f>
        <v>14.3</v>
      </c>
      <c r="E20" s="26">
        <f>IFERROR(__xludf.DUMMYFUNCTION("""COMPUTED_VALUE"""),12.7)</f>
        <v>12.7</v>
      </c>
      <c r="F20" s="26">
        <f>IFERROR(__xludf.DUMMYFUNCTION("""COMPUTED_VALUE"""),17.2)</f>
        <v>17.2</v>
      </c>
      <c r="G20" s="26">
        <f>IFERROR(__xludf.DUMMYFUNCTION("""COMPUTED_VALUE"""),13.2)</f>
        <v>13.2</v>
      </c>
      <c r="H20" s="26">
        <f>IFERROR(__xludf.DUMMYFUNCTION("""COMPUTED_VALUE"""),17.7)</f>
        <v>17.7</v>
      </c>
    </row>
    <row r="21">
      <c r="A21" s="24">
        <f>VLOOKUP(B21,map!B:C,2,false)</f>
        <v>1</v>
      </c>
      <c r="B21" s="25" t="str">
        <f>IFERROR(__xludf.DUMMYFUNCTION("""COMPUTED_VALUE"""),"Dallas")</f>
        <v>Dallas</v>
      </c>
      <c r="C21" s="26">
        <f>IFERROR(__xludf.DUMMYFUNCTION("""COMPUTED_VALUE"""),15.4)</f>
        <v>15.4</v>
      </c>
      <c r="D21" s="26">
        <f>IFERROR(__xludf.DUMMYFUNCTION("""COMPUTED_VALUE"""),18.6)</f>
        <v>18.6</v>
      </c>
      <c r="E21" s="26">
        <f>IFERROR(__xludf.DUMMYFUNCTION("""COMPUTED_VALUE"""),12.2)</f>
        <v>12.2</v>
      </c>
      <c r="F21" s="26">
        <f>IFERROR(__xludf.DUMMYFUNCTION("""COMPUTED_VALUE"""),19.2)</f>
        <v>19.2</v>
      </c>
      <c r="G21" s="26">
        <f>IFERROR(__xludf.DUMMYFUNCTION("""COMPUTED_VALUE"""),13.4)</f>
        <v>13.4</v>
      </c>
      <c r="H21" s="26">
        <f>IFERROR(__xludf.DUMMYFUNCTION("""COMPUTED_VALUE"""),12.6)</f>
        <v>12.6</v>
      </c>
    </row>
    <row r="22">
      <c r="A22" s="24">
        <f>VLOOKUP(B22,map!B:C,2,false)</f>
        <v>6</v>
      </c>
      <c r="B22" s="25" t="str">
        <f>IFERROR(__xludf.DUMMYFUNCTION("""COMPUTED_VALUE"""),"Jacksonville")</f>
        <v>Jacksonville</v>
      </c>
      <c r="C22" s="26">
        <f>IFERROR(__xludf.DUMMYFUNCTION("""COMPUTED_VALUE"""),15.5)</f>
        <v>15.5</v>
      </c>
      <c r="D22" s="26">
        <f>IFERROR(__xludf.DUMMYFUNCTION("""COMPUTED_VALUE"""),13.8)</f>
        <v>13.8</v>
      </c>
      <c r="E22" s="26">
        <f>IFERROR(__xludf.DUMMYFUNCTION("""COMPUTED_VALUE"""),14.4)</f>
        <v>14.4</v>
      </c>
      <c r="F22" s="26">
        <f>IFERROR(__xludf.DUMMYFUNCTION("""COMPUTED_VALUE"""),15.7)</f>
        <v>15.7</v>
      </c>
      <c r="G22" s="26">
        <f>IFERROR(__xludf.DUMMYFUNCTION("""COMPUTED_VALUE"""),15.4)</f>
        <v>15.4</v>
      </c>
      <c r="H22" s="26">
        <f>IFERROR(__xludf.DUMMYFUNCTION("""COMPUTED_VALUE"""),15.3)</f>
        <v>15.3</v>
      </c>
    </row>
    <row r="23">
      <c r="A23" s="24">
        <f>VLOOKUP(B23,map!B:C,2,false)</f>
        <v>25</v>
      </c>
      <c r="B23" s="25" t="str">
        <f>IFERROR(__xludf.DUMMYFUNCTION("""COMPUTED_VALUE"""),"San Francisco")</f>
        <v>San Francisco</v>
      </c>
      <c r="C23" s="26">
        <f>IFERROR(__xludf.DUMMYFUNCTION("""COMPUTED_VALUE"""),15.7)</f>
        <v>15.7</v>
      </c>
      <c r="D23" s="26">
        <f>IFERROR(__xludf.DUMMYFUNCTION("""COMPUTED_VALUE"""),15.0)</f>
        <v>15</v>
      </c>
      <c r="E23" s="26">
        <f>IFERROR(__xludf.DUMMYFUNCTION("""COMPUTED_VALUE"""),15.6)</f>
        <v>15.6</v>
      </c>
      <c r="F23" s="26">
        <f>IFERROR(__xludf.DUMMYFUNCTION("""COMPUTED_VALUE"""),15.0)</f>
        <v>15</v>
      </c>
      <c r="G23" s="26">
        <f>IFERROR(__xludf.DUMMYFUNCTION("""COMPUTED_VALUE"""),16.9)</f>
        <v>16.9</v>
      </c>
      <c r="H23" s="26">
        <f>IFERROR(__xludf.DUMMYFUNCTION("""COMPUTED_VALUE"""),13.9)</f>
        <v>13.9</v>
      </c>
    </row>
    <row r="24">
      <c r="A24" s="24">
        <f>VLOOKUP(B24,map!B:C,2,false)</f>
        <v>18</v>
      </c>
      <c r="B24" s="25" t="str">
        <f>IFERROR(__xludf.DUMMYFUNCTION("""COMPUTED_VALUE"""),"LA Rams")</f>
        <v>LA Rams</v>
      </c>
      <c r="C24" s="26">
        <f>IFERROR(__xludf.DUMMYFUNCTION("""COMPUTED_VALUE"""),15.7)</f>
        <v>15.7</v>
      </c>
      <c r="D24" s="26">
        <f>IFERROR(__xludf.DUMMYFUNCTION("""COMPUTED_VALUE"""),14.7)</f>
        <v>14.7</v>
      </c>
      <c r="E24" s="26">
        <f>IFERROR(__xludf.DUMMYFUNCTION("""COMPUTED_VALUE"""),12.9)</f>
        <v>12.9</v>
      </c>
      <c r="F24" s="26">
        <f>IFERROR(__xludf.DUMMYFUNCTION("""COMPUTED_VALUE"""),13.7)</f>
        <v>13.7</v>
      </c>
      <c r="G24" s="26">
        <f>IFERROR(__xludf.DUMMYFUNCTION("""COMPUTED_VALUE"""),19.9)</f>
        <v>19.9</v>
      </c>
      <c r="H24" s="26">
        <f>IFERROR(__xludf.DUMMYFUNCTION("""COMPUTED_VALUE"""),15.3)</f>
        <v>15.3</v>
      </c>
    </row>
    <row r="25">
      <c r="A25" s="24">
        <f>VLOOKUP(B25,map!B:C,2,false)</f>
        <v>16</v>
      </c>
      <c r="B25" s="25" t="str">
        <f>IFERROR(__xludf.DUMMYFUNCTION("""COMPUTED_VALUE"""),"Cleveland")</f>
        <v>Cleveland</v>
      </c>
      <c r="C25" s="26">
        <f>IFERROR(__xludf.DUMMYFUNCTION("""COMPUTED_VALUE"""),15.8)</f>
        <v>15.8</v>
      </c>
      <c r="D25" s="26">
        <f>IFERROR(__xludf.DUMMYFUNCTION("""COMPUTED_VALUE"""),16.6)</f>
        <v>16.6</v>
      </c>
      <c r="E25" s="26">
        <f>IFERROR(__xludf.DUMMYFUNCTION("""COMPUTED_VALUE"""),13.8)</f>
        <v>13.8</v>
      </c>
      <c r="F25" s="26">
        <f>IFERROR(__xludf.DUMMYFUNCTION("""COMPUTED_VALUE"""),15.8)</f>
        <v>15.8</v>
      </c>
      <c r="G25" s="26">
        <f>IFERROR(__xludf.DUMMYFUNCTION("""COMPUTED_VALUE"""),15.8)</f>
        <v>15.8</v>
      </c>
      <c r="H25" s="26">
        <f>IFERROR(__xludf.DUMMYFUNCTION("""COMPUTED_VALUE"""),14.7)</f>
        <v>14.7</v>
      </c>
    </row>
    <row r="26">
      <c r="A26" s="24">
        <f>VLOOKUP(B26,map!B:C,2,false)</f>
        <v>24</v>
      </c>
      <c r="B26" s="25" t="str">
        <f>IFERROR(__xludf.DUMMYFUNCTION("""COMPUTED_VALUE"""),"Las Vegas")</f>
        <v>Las Vegas</v>
      </c>
      <c r="C26" s="26">
        <f>IFERROR(__xludf.DUMMYFUNCTION("""COMPUTED_VALUE"""),16.0)</f>
        <v>16</v>
      </c>
      <c r="D26" s="26">
        <f>IFERROR(__xludf.DUMMYFUNCTION("""COMPUTED_VALUE"""),17.1)</f>
        <v>17.1</v>
      </c>
      <c r="E26" s="26">
        <f>IFERROR(__xludf.DUMMYFUNCTION("""COMPUTED_VALUE"""),11.4)</f>
        <v>11.4</v>
      </c>
      <c r="F26" s="26">
        <f>IFERROR(__xludf.DUMMYFUNCTION("""COMPUTED_VALUE"""),14.7)</f>
        <v>14.7</v>
      </c>
      <c r="G26" s="26">
        <f>IFERROR(__xludf.DUMMYFUNCTION("""COMPUTED_VALUE"""),17.4)</f>
        <v>17.4</v>
      </c>
      <c r="H26" s="26">
        <f>IFERROR(__xludf.DUMMYFUNCTION("""COMPUTED_VALUE"""),14.8)</f>
        <v>14.8</v>
      </c>
    </row>
    <row r="27">
      <c r="A27" s="24">
        <f>VLOOKUP(B27,map!B:C,2,false)</f>
        <v>32</v>
      </c>
      <c r="B27" s="25" t="str">
        <f>IFERROR(__xludf.DUMMYFUNCTION("""COMPUTED_VALUE"""),"Tennessee")</f>
        <v>Tennessee</v>
      </c>
      <c r="C27" s="26">
        <f>IFERROR(__xludf.DUMMYFUNCTION("""COMPUTED_VALUE"""),16.4)</f>
        <v>16.4</v>
      </c>
      <c r="D27" s="26">
        <f>IFERROR(__xludf.DUMMYFUNCTION("""COMPUTED_VALUE"""),23.1)</f>
        <v>23.1</v>
      </c>
      <c r="E27" s="26">
        <f>IFERROR(__xludf.DUMMYFUNCTION("""COMPUTED_VALUE"""),29.7)</f>
        <v>29.7</v>
      </c>
      <c r="F27" s="26">
        <f>IFERROR(__xludf.DUMMYFUNCTION("""COMPUTED_VALUE"""),16.2)</f>
        <v>16.2</v>
      </c>
      <c r="G27" s="26">
        <f>IFERROR(__xludf.DUMMYFUNCTION("""COMPUTED_VALUE"""),16.6)</f>
        <v>16.6</v>
      </c>
      <c r="H27" s="26">
        <f>IFERROR(__xludf.DUMMYFUNCTION("""COMPUTED_VALUE"""),16.1)</f>
        <v>16.1</v>
      </c>
    </row>
    <row r="28">
      <c r="A28" s="24">
        <f>VLOOKUP(B28,map!B:C,2,false)</f>
        <v>7</v>
      </c>
      <c r="B28" s="25" t="str">
        <f>IFERROR(__xludf.DUMMYFUNCTION("""COMPUTED_VALUE"""),"LA Chargers")</f>
        <v>LA Chargers</v>
      </c>
      <c r="C28" s="26">
        <f>IFERROR(__xludf.DUMMYFUNCTION("""COMPUTED_VALUE"""),16.5)</f>
        <v>16.5</v>
      </c>
      <c r="D28" s="26">
        <f>IFERROR(__xludf.DUMMYFUNCTION("""COMPUTED_VALUE"""),17.5)</f>
        <v>17.5</v>
      </c>
      <c r="E28" s="26">
        <f>IFERROR(__xludf.DUMMYFUNCTION("""COMPUTED_VALUE"""),14.5)</f>
        <v>14.5</v>
      </c>
      <c r="F28" s="26">
        <f>IFERROR(__xludf.DUMMYFUNCTION("""COMPUTED_VALUE"""),15.8)</f>
        <v>15.8</v>
      </c>
      <c r="G28" s="26">
        <f>IFERROR(__xludf.DUMMYFUNCTION("""COMPUTED_VALUE"""),17.0)</f>
        <v>17</v>
      </c>
      <c r="H28" s="26">
        <f>IFERROR(__xludf.DUMMYFUNCTION("""COMPUTED_VALUE"""),16.2)</f>
        <v>16.2</v>
      </c>
    </row>
    <row r="29">
      <c r="A29" s="24">
        <f>VLOOKUP(B29,map!B:C,2,false)</f>
        <v>19</v>
      </c>
      <c r="B29" s="25" t="str">
        <f>IFERROR(__xludf.DUMMYFUNCTION("""COMPUTED_VALUE"""),"NY Jets")</f>
        <v>NY Jets</v>
      </c>
      <c r="C29" s="26">
        <f>IFERROR(__xludf.DUMMYFUNCTION("""COMPUTED_VALUE"""),16.6)</f>
        <v>16.6</v>
      </c>
      <c r="D29" s="26">
        <f>IFERROR(__xludf.DUMMYFUNCTION("""COMPUTED_VALUE"""),18.5)</f>
        <v>18.5</v>
      </c>
      <c r="E29" s="26">
        <f>IFERROR(__xludf.DUMMYFUNCTION("""COMPUTED_VALUE"""),15.3)</f>
        <v>15.3</v>
      </c>
      <c r="F29" s="26">
        <f>IFERROR(__xludf.DUMMYFUNCTION("""COMPUTED_VALUE"""),19.6)</f>
        <v>19.6</v>
      </c>
      <c r="G29" s="26">
        <f>IFERROR(__xludf.DUMMYFUNCTION("""COMPUTED_VALUE"""),14.9)</f>
        <v>14.9</v>
      </c>
      <c r="H29" s="26">
        <f>IFERROR(__xludf.DUMMYFUNCTION("""COMPUTED_VALUE"""),17.0)</f>
        <v>17</v>
      </c>
    </row>
    <row r="30">
      <c r="A30" s="24">
        <f>VLOOKUP(B30,map!B:C,2,false)</f>
        <v>22</v>
      </c>
      <c r="B30" s="25" t="str">
        <f>IFERROR(__xludf.DUMMYFUNCTION("""COMPUTED_VALUE"""),"New England")</f>
        <v>New England</v>
      </c>
      <c r="C30" s="26">
        <f>IFERROR(__xludf.DUMMYFUNCTION("""COMPUTED_VALUE"""),16.8)</f>
        <v>16.8</v>
      </c>
      <c r="D30" s="26">
        <f>IFERROR(__xludf.DUMMYFUNCTION("""COMPUTED_VALUE"""),13.4)</f>
        <v>13.4</v>
      </c>
      <c r="E30" s="26">
        <f>IFERROR(__xludf.DUMMYFUNCTION("""COMPUTED_VALUE"""),9.9)</f>
        <v>9.9</v>
      </c>
      <c r="F30" s="26">
        <f>IFERROR(__xludf.DUMMYFUNCTION("""COMPUTED_VALUE"""),15.1)</f>
        <v>15.1</v>
      </c>
      <c r="G30" s="26">
        <f>IFERROR(__xludf.DUMMYFUNCTION("""COMPUTED_VALUE"""),19.6)</f>
        <v>19.6</v>
      </c>
      <c r="H30" s="26">
        <f>IFERROR(__xludf.DUMMYFUNCTION("""COMPUTED_VALUE"""),19.9)</f>
        <v>19.9</v>
      </c>
    </row>
    <row r="31">
      <c r="A31" s="24">
        <f>VLOOKUP(B31,map!B:C,2,false)</f>
        <v>23</v>
      </c>
      <c r="B31" s="25" t="str">
        <f>IFERROR(__xludf.DUMMYFUNCTION("""COMPUTED_VALUE"""),"Carolina")</f>
        <v>Carolina</v>
      </c>
      <c r="C31" s="26">
        <f>IFERROR(__xludf.DUMMYFUNCTION("""COMPUTED_VALUE"""),18.2)</f>
        <v>18.2</v>
      </c>
      <c r="D31" s="26">
        <f>IFERROR(__xludf.DUMMYFUNCTION("""COMPUTED_VALUE"""),19.5)</f>
        <v>19.5</v>
      </c>
      <c r="E31" s="26">
        <f>IFERROR(__xludf.DUMMYFUNCTION("""COMPUTED_VALUE"""),20.3)</f>
        <v>20.3</v>
      </c>
      <c r="F31" s="26">
        <f>IFERROR(__xludf.DUMMYFUNCTION("""COMPUTED_VALUE"""),18.5)</f>
        <v>18.5</v>
      </c>
      <c r="G31" s="26">
        <f>IFERROR(__xludf.DUMMYFUNCTION("""COMPUTED_VALUE"""),18.0)</f>
        <v>18</v>
      </c>
      <c r="H31" s="26">
        <f>IFERROR(__xludf.DUMMYFUNCTION("""COMPUTED_VALUE"""),19.1)</f>
        <v>19.1</v>
      </c>
    </row>
    <row r="32">
      <c r="A32" s="24">
        <f>VLOOKUP(B32,map!B:C,2,false)</f>
        <v>26</v>
      </c>
      <c r="B32" s="25" t="str">
        <f>IFERROR(__xludf.DUMMYFUNCTION("""COMPUTED_VALUE"""),"NY Giants")</f>
        <v>NY Giants</v>
      </c>
      <c r="C32" s="26">
        <f>IFERROR(__xludf.DUMMYFUNCTION("""COMPUTED_VALUE"""),20.6)</f>
        <v>20.6</v>
      </c>
      <c r="D32" s="26">
        <f>IFERROR(__xludf.DUMMYFUNCTION("""COMPUTED_VALUE"""),21.7)</f>
        <v>21.7</v>
      </c>
      <c r="E32" s="26">
        <f>IFERROR(__xludf.DUMMYFUNCTION("""COMPUTED_VALUE"""),39.7)</f>
        <v>39.7</v>
      </c>
      <c r="F32" s="26">
        <f>IFERROR(__xludf.DUMMYFUNCTION("""COMPUTED_VALUE"""),31.3)</f>
        <v>31.3</v>
      </c>
      <c r="G32" s="26">
        <f>IFERROR(__xludf.DUMMYFUNCTION("""COMPUTED_VALUE"""),15.6)</f>
        <v>15.6</v>
      </c>
      <c r="H32" s="26">
        <f>IFERROR(__xludf.DUMMYFUNCTION("""COMPUTED_VALUE"""),17.9)</f>
        <v>17.9</v>
      </c>
    </row>
    <row r="33">
      <c r="A33" s="24">
        <f>VLOOKUP(B33,map!B:C,2,false)</f>
        <v>10</v>
      </c>
      <c r="B33" s="25" t="str">
        <f>IFERROR(__xludf.DUMMYFUNCTION("""COMPUTED_VALUE"""),"Miami")</f>
        <v>Miami</v>
      </c>
      <c r="C33" s="26">
        <f>IFERROR(__xludf.DUMMYFUNCTION("""COMPUTED_VALUE"""),22.9)</f>
        <v>22.9</v>
      </c>
      <c r="D33" s="26">
        <f>IFERROR(__xludf.DUMMYFUNCTION("""COMPUTED_VALUE"""),20.9)</f>
        <v>20.9</v>
      </c>
      <c r="E33" s="26">
        <f>IFERROR(__xludf.DUMMYFUNCTION("""COMPUTED_VALUE"""),14.0)</f>
        <v>14</v>
      </c>
      <c r="F33" s="26">
        <f>IFERROR(__xludf.DUMMYFUNCTION("""COMPUTED_VALUE"""),19.0)</f>
        <v>19</v>
      </c>
      <c r="G33" s="26">
        <f>IFERROR(__xludf.DUMMYFUNCTION("""COMPUTED_VALUE"""),32.6)</f>
        <v>32.6</v>
      </c>
      <c r="H33" s="26">
        <f>IFERROR(__xludf.DUMMYFUNCTION("""COMPUTED_VALUE"""),14.1)</f>
        <v>14.1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7"/>
      <c r="B1" s="21" t="str">
        <f>IFERROR(__xludf.DUMMYFUNCTION("QUERY(IMPORTHTML(""https://www.teamrankings.com/nfl/stat/points-per-play?date="" &amp; TEXT(TODAY(),""yyyy-mm-dd""), ""table"", 1, ""en_US""), ""SELECT Col2, Col3, Col4, Col5, Col6, Col7, Col8"")
"),"Team")</f>
        <v>Team</v>
      </c>
      <c r="C1" s="22" t="str">
        <f>IFERROR(__xludf.DUMMYFUNCTION("""COMPUTED_VALUE"""),"2024")</f>
        <v>2024</v>
      </c>
      <c r="D1" s="23" t="str">
        <f>IFERROR(__xludf.DUMMYFUNCTION("""COMPUTED_VALUE"""),"Last 3")</f>
        <v>Last 3</v>
      </c>
      <c r="E1" s="23" t="str">
        <f>IFERROR(__xludf.DUMMYFUNCTION("""COMPUTED_VALUE"""),"Last 1")</f>
        <v>Last 1</v>
      </c>
      <c r="F1" s="22" t="str">
        <f>IFERROR(__xludf.DUMMYFUNCTION("""COMPUTED_VALUE"""),"Home")</f>
        <v>Home</v>
      </c>
      <c r="G1" s="22" t="str">
        <f>IFERROR(__xludf.DUMMYFUNCTION("""COMPUTED_VALUE"""),"Away")</f>
        <v>Away</v>
      </c>
      <c r="H1" s="22" t="str">
        <f>IFERROR(__xludf.DUMMYFUNCTION("""COMPUTED_VALUE"""),"2023")</f>
        <v>2023</v>
      </c>
    </row>
    <row r="2">
      <c r="A2" s="24">
        <f>VLOOKUP(B2,map!B:C,2,false)</f>
        <v>5</v>
      </c>
      <c r="B2" s="25" t="str">
        <f>IFERROR(__xludf.DUMMYFUNCTION("""COMPUTED_VALUE"""),"Detroit")</f>
        <v>Detroit</v>
      </c>
      <c r="C2" s="26">
        <f>IFERROR(__xludf.DUMMYFUNCTION("""COMPUTED_VALUE"""),0.543)</f>
        <v>0.543</v>
      </c>
      <c r="D2" s="26">
        <f>IFERROR(__xludf.DUMMYFUNCTION("""COMPUTED_VALUE"""),0.769)</f>
        <v>0.769</v>
      </c>
      <c r="E2" s="26">
        <f>IFERROR(__xludf.DUMMYFUNCTION("""COMPUTED_VALUE"""),1.106)</f>
        <v>1.106</v>
      </c>
      <c r="F2" s="26">
        <f>IFERROR(__xludf.DUMMYFUNCTION("""COMPUTED_VALUE"""),0.564)</f>
        <v>0.564</v>
      </c>
      <c r="G2" s="26">
        <f>IFERROR(__xludf.DUMMYFUNCTION("""COMPUTED_VALUE"""),0.516)</f>
        <v>0.516</v>
      </c>
      <c r="H2" s="26">
        <f>IFERROR(__xludf.DUMMYFUNCTION("""COMPUTED_VALUE"""),0.41)</f>
        <v>0.41</v>
      </c>
    </row>
    <row r="3">
      <c r="A3" s="24">
        <f>VLOOKUP(B3,map!B:C,2,false)</f>
        <v>11</v>
      </c>
      <c r="B3" s="25" t="str">
        <f>IFERROR(__xludf.DUMMYFUNCTION("""COMPUTED_VALUE"""),"Buffalo")</f>
        <v>Buffalo</v>
      </c>
      <c r="C3" s="26">
        <f>IFERROR(__xludf.DUMMYFUNCTION("""COMPUTED_VALUE"""),0.498)</f>
        <v>0.498</v>
      </c>
      <c r="D3" s="26">
        <f>IFERROR(__xludf.DUMMYFUNCTION("""COMPUTED_VALUE"""),0.481)</f>
        <v>0.481</v>
      </c>
      <c r="E3" s="26">
        <f>IFERROR(__xludf.DUMMYFUNCTION("""COMPUTED_VALUE"""),0.449)</f>
        <v>0.449</v>
      </c>
      <c r="F3" s="26">
        <f>IFERROR(__xludf.DUMMYFUNCTION("""COMPUTED_VALUE"""),0.669)</f>
        <v>0.669</v>
      </c>
      <c r="G3" s="26">
        <f>IFERROR(__xludf.DUMMYFUNCTION("""COMPUTED_VALUE"""),0.397)</f>
        <v>0.397</v>
      </c>
      <c r="H3" s="26">
        <f>IFERROR(__xludf.DUMMYFUNCTION("""COMPUTED_VALUE"""),0.402)</f>
        <v>0.402</v>
      </c>
    </row>
    <row r="4">
      <c r="A4" s="24">
        <f>VLOOKUP(B4,map!B:C,2,false)</f>
        <v>30</v>
      </c>
      <c r="B4" s="25" t="str">
        <f>IFERROR(__xludf.DUMMYFUNCTION("""COMPUTED_VALUE"""),"Baltimore")</f>
        <v>Baltimore</v>
      </c>
      <c r="C4" s="26">
        <f>IFERROR(__xludf.DUMMYFUNCTION("""COMPUTED_VALUE"""),0.475)</f>
        <v>0.475</v>
      </c>
      <c r="D4" s="26">
        <f>IFERROR(__xludf.DUMMYFUNCTION("""COMPUTED_VALUE"""),0.525)</f>
        <v>0.525</v>
      </c>
      <c r="E4" s="26">
        <f>IFERROR(__xludf.DUMMYFUNCTION("""COMPUTED_VALUE"""),0.387)</f>
        <v>0.387</v>
      </c>
      <c r="F4" s="26">
        <f>IFERROR(__xludf.DUMMYFUNCTION("""COMPUTED_VALUE"""),0.484)</f>
        <v>0.484</v>
      </c>
      <c r="G4" s="26">
        <f>IFERROR(__xludf.DUMMYFUNCTION("""COMPUTED_VALUE"""),0.471)</f>
        <v>0.471</v>
      </c>
      <c r="H4" s="26">
        <f>IFERROR(__xludf.DUMMYFUNCTION("""COMPUTED_VALUE"""),0.439)</f>
        <v>0.439</v>
      </c>
    </row>
    <row r="5">
      <c r="A5" s="24">
        <f>VLOOKUP(B5,map!B:C,2,false)</f>
        <v>3</v>
      </c>
      <c r="B5" s="25" t="str">
        <f>IFERROR(__xludf.DUMMYFUNCTION("""COMPUTED_VALUE"""),"Minnesota")</f>
        <v>Minnesota</v>
      </c>
      <c r="C5" s="26">
        <f>IFERROR(__xludf.DUMMYFUNCTION("""COMPUTED_VALUE"""),0.474)</f>
        <v>0.474</v>
      </c>
      <c r="D5" s="26">
        <f>IFERROR(__xludf.DUMMYFUNCTION("""COMPUTED_VALUE"""),0.429)</f>
        <v>0.429</v>
      </c>
      <c r="E5" s="26">
        <f>IFERROR(__xludf.DUMMYFUNCTION("""COMPUTED_VALUE"""),0.4)</f>
        <v>0.4</v>
      </c>
      <c r="F5" s="26">
        <f>IFERROR(__xludf.DUMMYFUNCTION("""COMPUTED_VALUE"""),0.518)</f>
        <v>0.518</v>
      </c>
      <c r="G5" s="26">
        <f>IFERROR(__xludf.DUMMYFUNCTION("""COMPUTED_VALUE"""),0.442)</f>
        <v>0.442</v>
      </c>
      <c r="H5" s="26">
        <f>IFERROR(__xludf.DUMMYFUNCTION("""COMPUTED_VALUE"""),0.321)</f>
        <v>0.321</v>
      </c>
    </row>
    <row r="6">
      <c r="A6" s="24">
        <f>VLOOKUP(B6,map!B:C,2,false)</f>
        <v>8</v>
      </c>
      <c r="B6" s="25" t="str">
        <f>IFERROR(__xludf.DUMMYFUNCTION("""COMPUTED_VALUE"""),"Washington")</f>
        <v>Washington</v>
      </c>
      <c r="C6" s="26">
        <f>IFERROR(__xludf.DUMMYFUNCTION("""COMPUTED_VALUE"""),0.467)</f>
        <v>0.467</v>
      </c>
      <c r="D6" s="26">
        <f>IFERROR(__xludf.DUMMYFUNCTION("""COMPUTED_VALUE"""),0.424)</f>
        <v>0.424</v>
      </c>
      <c r="E6" s="26">
        <f>IFERROR(__xludf.DUMMYFUNCTION("""COMPUTED_VALUE"""),0.25)</f>
        <v>0.25</v>
      </c>
      <c r="F6" s="26">
        <f>IFERROR(__xludf.DUMMYFUNCTION("""COMPUTED_VALUE"""),0.42)</f>
        <v>0.42</v>
      </c>
      <c r="G6" s="26">
        <f>IFERROR(__xludf.DUMMYFUNCTION("""COMPUTED_VALUE"""),0.521)</f>
        <v>0.521</v>
      </c>
      <c r="H6" s="26">
        <f>IFERROR(__xludf.DUMMYFUNCTION("""COMPUTED_VALUE"""),0.31)</f>
        <v>0.31</v>
      </c>
    </row>
    <row r="7">
      <c r="A7" s="24">
        <f>VLOOKUP(B7,map!B:C,2,false)</f>
        <v>14</v>
      </c>
      <c r="B7" s="25" t="str">
        <f>IFERROR(__xludf.DUMMYFUNCTION("""COMPUTED_VALUE"""),"Tampa Bay")</f>
        <v>Tampa Bay</v>
      </c>
      <c r="C7" s="26">
        <f>IFERROR(__xludf.DUMMYFUNCTION("""COMPUTED_VALUE"""),0.46)</f>
        <v>0.46</v>
      </c>
      <c r="D7" s="26">
        <f>IFERROR(__xludf.DUMMYFUNCTION("""COMPUTED_VALUE"""),0.486)</f>
        <v>0.486</v>
      </c>
      <c r="E7" s="26">
        <f>IFERROR(__xludf.DUMMYFUNCTION("""COMPUTED_VALUE"""),0.361)</f>
        <v>0.361</v>
      </c>
      <c r="F7" s="26">
        <f>IFERROR(__xludf.DUMMYFUNCTION("""COMPUTED_VALUE"""),0.393)</f>
        <v>0.393</v>
      </c>
      <c r="G7" s="26">
        <f>IFERROR(__xludf.DUMMYFUNCTION("""COMPUTED_VALUE"""),0.594)</f>
        <v>0.594</v>
      </c>
      <c r="H7" s="26">
        <f>IFERROR(__xludf.DUMMYFUNCTION("""COMPUTED_VALUE"""),0.343)</f>
        <v>0.343</v>
      </c>
    </row>
    <row r="8">
      <c r="A8" s="24">
        <f>VLOOKUP(B8,map!B:C,2,false)</f>
        <v>4</v>
      </c>
      <c r="B8" s="25" t="str">
        <f>IFERROR(__xludf.DUMMYFUNCTION("""COMPUTED_VALUE"""),"Cincinnati")</f>
        <v>Cincinnati</v>
      </c>
      <c r="C8" s="26">
        <f>IFERROR(__xludf.DUMMYFUNCTION("""COMPUTED_VALUE"""),0.425)</f>
        <v>0.425</v>
      </c>
      <c r="D8" s="26">
        <f>IFERROR(__xludf.DUMMYFUNCTION("""COMPUTED_VALUE"""),0.337)</f>
        <v>0.337</v>
      </c>
      <c r="E8" s="26">
        <f>IFERROR(__xludf.DUMMYFUNCTION("""COMPUTED_VALUE"""),0.293)</f>
        <v>0.293</v>
      </c>
      <c r="F8" s="26">
        <f>IFERROR(__xludf.DUMMYFUNCTION("""COMPUTED_VALUE"""),0.424)</f>
        <v>0.424</v>
      </c>
      <c r="G8" s="26">
        <f>IFERROR(__xludf.DUMMYFUNCTION("""COMPUTED_VALUE"""),0.425)</f>
        <v>0.425</v>
      </c>
      <c r="H8" s="26">
        <f>IFERROR(__xludf.DUMMYFUNCTION("""COMPUTED_VALUE"""),0.349)</f>
        <v>0.349</v>
      </c>
    </row>
    <row r="9">
      <c r="A9" s="24">
        <f>VLOOKUP(B9,map!B:C,2,false)</f>
        <v>15</v>
      </c>
      <c r="B9" s="25" t="str">
        <f>IFERROR(__xludf.DUMMYFUNCTION("""COMPUTED_VALUE"""),"Green Bay")</f>
        <v>Green Bay</v>
      </c>
      <c r="C9" s="26">
        <f>IFERROR(__xludf.DUMMYFUNCTION("""COMPUTED_VALUE"""),0.424)</f>
        <v>0.424</v>
      </c>
      <c r="D9" s="26">
        <f>IFERROR(__xludf.DUMMYFUNCTION("""COMPUTED_VALUE"""),0.456)</f>
        <v>0.456</v>
      </c>
      <c r="E9" s="26">
        <f>IFERROR(__xludf.DUMMYFUNCTION("""COMPUTED_VALUE"""),0.448)</f>
        <v>0.448</v>
      </c>
      <c r="F9" s="26">
        <f>IFERROR(__xludf.DUMMYFUNCTION("""COMPUTED_VALUE"""),0.386)</f>
        <v>0.386</v>
      </c>
      <c r="G9" s="26">
        <f>IFERROR(__xludf.DUMMYFUNCTION("""COMPUTED_VALUE"""),0.467)</f>
        <v>0.467</v>
      </c>
      <c r="H9" s="26">
        <f>IFERROR(__xludf.DUMMYFUNCTION("""COMPUTED_VALUE"""),0.387)</f>
        <v>0.387</v>
      </c>
    </row>
    <row r="10">
      <c r="A10" s="24">
        <f>VLOOKUP(B10,map!B:C,2,false)</f>
        <v>25</v>
      </c>
      <c r="B10" s="25" t="str">
        <f>IFERROR(__xludf.DUMMYFUNCTION("""COMPUTED_VALUE"""),"San Francisco")</f>
        <v>San Francisco</v>
      </c>
      <c r="C10" s="26">
        <f>IFERROR(__xludf.DUMMYFUNCTION("""COMPUTED_VALUE"""),0.415)</f>
        <v>0.415</v>
      </c>
      <c r="D10" s="26">
        <f>IFERROR(__xludf.DUMMYFUNCTION("""COMPUTED_VALUE"""),0.464)</f>
        <v>0.464</v>
      </c>
      <c r="E10" s="26">
        <f>IFERROR(__xludf.DUMMYFUNCTION("""COMPUTED_VALUE"""),0.469)</f>
        <v>0.469</v>
      </c>
      <c r="F10" s="26">
        <f>IFERROR(__xludf.DUMMYFUNCTION("""COMPUTED_VALUE"""),0.425)</f>
        <v>0.425</v>
      </c>
      <c r="G10" s="26">
        <f>IFERROR(__xludf.DUMMYFUNCTION("""COMPUTED_VALUE"""),0.399)</f>
        <v>0.399</v>
      </c>
      <c r="H10" s="26">
        <f>IFERROR(__xludf.DUMMYFUNCTION("""COMPUTED_VALUE"""),0.466)</f>
        <v>0.466</v>
      </c>
    </row>
    <row r="11">
      <c r="A11" s="24">
        <f>VLOOKUP(B11,map!B:C,2,false)</f>
        <v>28</v>
      </c>
      <c r="B11" s="25" t="str">
        <f>IFERROR(__xludf.DUMMYFUNCTION("""COMPUTED_VALUE"""),"Atlanta")</f>
        <v>Atlanta</v>
      </c>
      <c r="C11" s="26">
        <f>IFERROR(__xludf.DUMMYFUNCTION("""COMPUTED_VALUE"""),0.392)</f>
        <v>0.392</v>
      </c>
      <c r="D11" s="26">
        <f>IFERROR(__xludf.DUMMYFUNCTION("""COMPUTED_VALUE"""),0.417)</f>
        <v>0.417</v>
      </c>
      <c r="E11" s="26">
        <f>IFERROR(__xludf.DUMMYFUNCTION("""COMPUTED_VALUE"""),0.517)</f>
        <v>0.517</v>
      </c>
      <c r="F11" s="26">
        <f>IFERROR(__xludf.DUMMYFUNCTION("""COMPUTED_VALUE"""),0.333)</f>
        <v>0.333</v>
      </c>
      <c r="G11" s="26">
        <f>IFERROR(__xludf.DUMMYFUNCTION("""COMPUTED_VALUE"""),0.489)</f>
        <v>0.489</v>
      </c>
      <c r="H11" s="26">
        <f>IFERROR(__xludf.DUMMYFUNCTION("""COMPUTED_VALUE"""),0.294)</f>
        <v>0.294</v>
      </c>
    </row>
    <row r="12">
      <c r="A12" s="24">
        <f>VLOOKUP(B12,map!B:C,2,false)</f>
        <v>21</v>
      </c>
      <c r="B12" s="25" t="str">
        <f>IFERROR(__xludf.DUMMYFUNCTION("""COMPUTED_VALUE"""),"Arizona")</f>
        <v>Arizona</v>
      </c>
      <c r="C12" s="26">
        <f>IFERROR(__xludf.DUMMYFUNCTION("""COMPUTED_VALUE"""),0.385)</f>
        <v>0.385</v>
      </c>
      <c r="D12" s="26">
        <f>IFERROR(__xludf.DUMMYFUNCTION("""COMPUTED_VALUE"""),0.337)</f>
        <v>0.337</v>
      </c>
      <c r="E12" s="26">
        <f>IFERROR(__xludf.DUMMYFUNCTION("""COMPUTED_VALUE"""),0.452)</f>
        <v>0.452</v>
      </c>
      <c r="F12" s="26">
        <f>IFERROR(__xludf.DUMMYFUNCTION("""COMPUTED_VALUE"""),0.373)</f>
        <v>0.373</v>
      </c>
      <c r="G12" s="26">
        <f>IFERROR(__xludf.DUMMYFUNCTION("""COMPUTED_VALUE"""),0.397)</f>
        <v>0.397</v>
      </c>
      <c r="H12" s="26">
        <f>IFERROR(__xludf.DUMMYFUNCTION("""COMPUTED_VALUE"""),0.309)</f>
        <v>0.309</v>
      </c>
    </row>
    <row r="13">
      <c r="A13" s="24">
        <f>VLOOKUP(B13,map!B:C,2,false)</f>
        <v>13</v>
      </c>
      <c r="B13" s="25" t="str">
        <f>IFERROR(__xludf.DUMMYFUNCTION("""COMPUTED_VALUE"""),"Seattle")</f>
        <v>Seattle</v>
      </c>
      <c r="C13" s="26">
        <f>IFERROR(__xludf.DUMMYFUNCTION("""COMPUTED_VALUE"""),0.382)</f>
        <v>0.382</v>
      </c>
      <c r="D13" s="26">
        <f>IFERROR(__xludf.DUMMYFUNCTION("""COMPUTED_VALUE"""),0.386)</f>
        <v>0.386</v>
      </c>
      <c r="E13" s="26">
        <f>IFERROR(__xludf.DUMMYFUNCTION("""COMPUTED_VALUE"""),0.213)</f>
        <v>0.213</v>
      </c>
      <c r="F13" s="26">
        <f>IFERROR(__xludf.DUMMYFUNCTION("""COMPUTED_VALUE"""),0.349)</f>
        <v>0.349</v>
      </c>
      <c r="G13" s="26">
        <f>IFERROR(__xludf.DUMMYFUNCTION("""COMPUTED_VALUE"""),0.43)</f>
        <v>0.43</v>
      </c>
      <c r="H13" s="26">
        <f>IFERROR(__xludf.DUMMYFUNCTION("""COMPUTED_VALUE"""),0.366)</f>
        <v>0.366</v>
      </c>
    </row>
    <row r="14">
      <c r="A14" s="24">
        <f>VLOOKUP(B14,map!B:C,2,false)</f>
        <v>2</v>
      </c>
      <c r="B14" s="25" t="str">
        <f>IFERROR(__xludf.DUMMYFUNCTION("""COMPUTED_VALUE"""),"Kansas City")</f>
        <v>Kansas City</v>
      </c>
      <c r="C14" s="26">
        <f>IFERROR(__xludf.DUMMYFUNCTION("""COMPUTED_VALUE"""),0.38)</f>
        <v>0.38</v>
      </c>
      <c r="D14" s="26">
        <f>IFERROR(__xludf.DUMMYFUNCTION("""COMPUTED_VALUE"""),0.375)</f>
        <v>0.375</v>
      </c>
      <c r="E14" s="26">
        <f>IFERROR(__xludf.DUMMYFUNCTION("""COMPUTED_VALUE"""),0.397)</f>
        <v>0.397</v>
      </c>
      <c r="F14" s="26">
        <f>IFERROR(__xludf.DUMMYFUNCTION("""COMPUTED_VALUE"""),0.418)</f>
        <v>0.418</v>
      </c>
      <c r="G14" s="26">
        <f>IFERROR(__xludf.DUMMYFUNCTION("""COMPUTED_VALUE"""),0.353)</f>
        <v>0.353</v>
      </c>
      <c r="H14" s="26">
        <f>IFERROR(__xludf.DUMMYFUNCTION("""COMPUTED_VALUE"""),0.344)</f>
        <v>0.344</v>
      </c>
    </row>
    <row r="15">
      <c r="A15" s="24">
        <f>VLOOKUP(B15,map!B:C,2,false)</f>
        <v>12</v>
      </c>
      <c r="B15" s="25" t="str">
        <f>IFERROR(__xludf.DUMMYFUNCTION("""COMPUTED_VALUE"""),"Philadelphia")</f>
        <v>Philadelphia</v>
      </c>
      <c r="C15" s="26">
        <f>IFERROR(__xludf.DUMMYFUNCTION("""COMPUTED_VALUE"""),0.379)</f>
        <v>0.379</v>
      </c>
      <c r="D15" s="26">
        <f>IFERROR(__xludf.DUMMYFUNCTION("""COMPUTED_VALUE"""),0.457)</f>
        <v>0.457</v>
      </c>
      <c r="E15" s="26">
        <f>IFERROR(__xludf.DUMMYFUNCTION("""COMPUTED_VALUE"""),0.627)</f>
        <v>0.627</v>
      </c>
      <c r="F15" s="26">
        <f>IFERROR(__xludf.DUMMYFUNCTION("""COMPUTED_VALUE"""),0.315)</f>
        <v>0.315</v>
      </c>
      <c r="G15" s="26">
        <f>IFERROR(__xludf.DUMMYFUNCTION("""COMPUTED_VALUE"""),0.405)</f>
        <v>0.405</v>
      </c>
      <c r="H15" s="26">
        <f>IFERROR(__xludf.DUMMYFUNCTION("""COMPUTED_VALUE"""),0.379)</f>
        <v>0.379</v>
      </c>
    </row>
    <row r="16">
      <c r="A16" s="24">
        <f>VLOOKUP(B16,map!B:C,2,false)</f>
        <v>9</v>
      </c>
      <c r="B16" s="25" t="str">
        <f>IFERROR(__xludf.DUMMYFUNCTION("""COMPUTED_VALUE"""),"New Orleans")</f>
        <v>New Orleans</v>
      </c>
      <c r="C16" s="26">
        <f>IFERROR(__xludf.DUMMYFUNCTION("""COMPUTED_VALUE"""),0.374)</f>
        <v>0.374</v>
      </c>
      <c r="D16" s="26">
        <f>IFERROR(__xludf.DUMMYFUNCTION("""COMPUTED_VALUE"""),0.225)</f>
        <v>0.225</v>
      </c>
      <c r="E16" s="26">
        <f>IFERROR(__xludf.DUMMYFUNCTION("""COMPUTED_VALUE"""),0.118)</f>
        <v>0.118</v>
      </c>
      <c r="F16" s="26">
        <f>IFERROR(__xludf.DUMMYFUNCTION("""COMPUTED_VALUE"""),0.386)</f>
        <v>0.386</v>
      </c>
      <c r="G16" s="26">
        <f>IFERROR(__xludf.DUMMYFUNCTION("""COMPUTED_VALUE"""),0.363)</f>
        <v>0.363</v>
      </c>
      <c r="H16" s="26">
        <f>IFERROR(__xludf.DUMMYFUNCTION("""COMPUTED_VALUE"""),0.359)</f>
        <v>0.359</v>
      </c>
    </row>
    <row r="17">
      <c r="A17" s="24">
        <f>VLOOKUP(B17,map!B:C,2,false)</f>
        <v>6</v>
      </c>
      <c r="B17" s="25" t="str">
        <f>IFERROR(__xludf.DUMMYFUNCTION("""COMPUTED_VALUE"""),"Jacksonville")</f>
        <v>Jacksonville</v>
      </c>
      <c r="C17" s="26">
        <f>IFERROR(__xludf.DUMMYFUNCTION("""COMPUTED_VALUE"""),0.371)</f>
        <v>0.371</v>
      </c>
      <c r="D17" s="26">
        <f>IFERROR(__xludf.DUMMYFUNCTION("""COMPUTED_VALUE"""),0.429)</f>
        <v>0.429</v>
      </c>
      <c r="E17" s="26">
        <f>IFERROR(__xludf.DUMMYFUNCTION("""COMPUTED_VALUE"""),0.482)</f>
        <v>0.482</v>
      </c>
      <c r="F17" s="26">
        <f>IFERROR(__xludf.DUMMYFUNCTION("""COMPUTED_VALUE"""),0.458)</f>
        <v>0.458</v>
      </c>
      <c r="G17" s="26">
        <f>IFERROR(__xludf.DUMMYFUNCTION("""COMPUTED_VALUE"""),0.322)</f>
        <v>0.322</v>
      </c>
      <c r="H17" s="26">
        <f>IFERROR(__xludf.DUMMYFUNCTION("""COMPUTED_VALUE"""),0.338)</f>
        <v>0.338</v>
      </c>
    </row>
    <row r="18">
      <c r="A18" s="24">
        <f>VLOOKUP(B18,map!B:C,2,false)</f>
        <v>20</v>
      </c>
      <c r="B18" s="25" t="str">
        <f>IFERROR(__xludf.DUMMYFUNCTION("""COMPUTED_VALUE"""),"Indianapolis")</f>
        <v>Indianapolis</v>
      </c>
      <c r="C18" s="26">
        <f>IFERROR(__xludf.DUMMYFUNCTION("""COMPUTED_VALUE"""),0.37)</f>
        <v>0.37</v>
      </c>
      <c r="D18" s="26">
        <f>IFERROR(__xludf.DUMMYFUNCTION("""COMPUTED_VALUE"""),0.295)</f>
        <v>0.295</v>
      </c>
      <c r="E18" s="26">
        <f>IFERROR(__xludf.DUMMYFUNCTION("""COMPUTED_VALUE"""),0.317)</f>
        <v>0.317</v>
      </c>
      <c r="F18" s="26">
        <f>IFERROR(__xludf.DUMMYFUNCTION("""COMPUTED_VALUE"""),0.41)</f>
        <v>0.41</v>
      </c>
      <c r="G18" s="26">
        <f>IFERROR(__xludf.DUMMYFUNCTION("""COMPUTED_VALUE"""),0.335)</f>
        <v>0.335</v>
      </c>
      <c r="H18" s="26">
        <f>IFERROR(__xludf.DUMMYFUNCTION("""COMPUTED_VALUE"""),0.362)</f>
        <v>0.362</v>
      </c>
    </row>
    <row r="19">
      <c r="A19" s="24">
        <f>VLOOKUP(B19,map!B:C,2,false)</f>
        <v>31</v>
      </c>
      <c r="B19" s="25" t="str">
        <f>IFERROR(__xludf.DUMMYFUNCTION("""COMPUTED_VALUE"""),"Chicago")</f>
        <v>Chicago</v>
      </c>
      <c r="C19" s="26">
        <f>IFERROR(__xludf.DUMMYFUNCTION("""COMPUTED_VALUE"""),0.365)</f>
        <v>0.365</v>
      </c>
      <c r="D19" s="26">
        <f>IFERROR(__xludf.DUMMYFUNCTION("""COMPUTED_VALUE"""),0.453)</f>
        <v>0.453</v>
      </c>
      <c r="E19" s="26">
        <f>IFERROR(__xludf.DUMMYFUNCTION("""COMPUTED_VALUE"""),0.25)</f>
        <v>0.25</v>
      </c>
      <c r="F19" s="26">
        <f>IFERROR(__xludf.DUMMYFUNCTION("""COMPUTED_VALUE"""),0.477)</f>
        <v>0.477</v>
      </c>
      <c r="G19" s="26">
        <f>IFERROR(__xludf.DUMMYFUNCTION("""COMPUTED_VALUE"""),0.292)</f>
        <v>0.292</v>
      </c>
      <c r="H19" s="26">
        <f>IFERROR(__xludf.DUMMYFUNCTION("""COMPUTED_VALUE"""),0.328)</f>
        <v>0.328</v>
      </c>
    </row>
    <row r="20">
      <c r="A20" s="24">
        <f>VLOOKUP(B20,map!B:C,2,false)</f>
        <v>29</v>
      </c>
      <c r="B20" s="25" t="str">
        <f>IFERROR(__xludf.DUMMYFUNCTION("""COMPUTED_VALUE"""),"Pittsburgh")</f>
        <v>Pittsburgh</v>
      </c>
      <c r="C20" s="26">
        <f>IFERROR(__xludf.DUMMYFUNCTION("""COMPUTED_VALUE"""),0.364)</f>
        <v>0.364</v>
      </c>
      <c r="D20" s="26">
        <f>IFERROR(__xludf.DUMMYFUNCTION("""COMPUTED_VALUE"""),0.465)</f>
        <v>0.465</v>
      </c>
      <c r="E20" s="26">
        <f>IFERROR(__xludf.DUMMYFUNCTION("""COMPUTED_VALUE"""),0.561)</f>
        <v>0.561</v>
      </c>
      <c r="F20" s="26">
        <f>IFERROR(__xludf.DUMMYFUNCTION("""COMPUTED_VALUE"""),0.394)</f>
        <v>0.394</v>
      </c>
      <c r="G20" s="26">
        <f>IFERROR(__xludf.DUMMYFUNCTION("""COMPUTED_VALUE"""),0.343)</f>
        <v>0.343</v>
      </c>
      <c r="H20" s="26">
        <f>IFERROR(__xludf.DUMMYFUNCTION("""COMPUTED_VALUE"""),0.294)</f>
        <v>0.294</v>
      </c>
    </row>
    <row r="21">
      <c r="A21" s="24">
        <f>VLOOKUP(B21,map!B:C,2,false)</f>
        <v>17</v>
      </c>
      <c r="B21" s="25" t="str">
        <f>IFERROR(__xludf.DUMMYFUNCTION("""COMPUTED_VALUE"""),"Houston")</f>
        <v>Houston</v>
      </c>
      <c r="C21" s="26">
        <f>IFERROR(__xludf.DUMMYFUNCTION("""COMPUTED_VALUE"""),0.359)</f>
        <v>0.359</v>
      </c>
      <c r="D21" s="26">
        <f>IFERROR(__xludf.DUMMYFUNCTION("""COMPUTED_VALUE"""),0.457)</f>
        <v>0.457</v>
      </c>
      <c r="E21" s="26">
        <f>IFERROR(__xludf.DUMMYFUNCTION("""COMPUTED_VALUE"""),0.338)</f>
        <v>0.338</v>
      </c>
      <c r="F21" s="26">
        <f>IFERROR(__xludf.DUMMYFUNCTION("""COMPUTED_VALUE"""),0.337)</f>
        <v>0.337</v>
      </c>
      <c r="G21" s="26">
        <f>IFERROR(__xludf.DUMMYFUNCTION("""COMPUTED_VALUE"""),0.382)</f>
        <v>0.382</v>
      </c>
      <c r="H21" s="26">
        <f>IFERROR(__xludf.DUMMYFUNCTION("""COMPUTED_VALUE"""),0.368)</f>
        <v>0.368</v>
      </c>
    </row>
    <row r="22">
      <c r="A22" s="24">
        <f>VLOOKUP(B22,map!B:C,2,false)</f>
        <v>27</v>
      </c>
      <c r="B22" s="25" t="str">
        <f>IFERROR(__xludf.DUMMYFUNCTION("""COMPUTED_VALUE"""),"Denver")</f>
        <v>Denver</v>
      </c>
      <c r="C22" s="26">
        <f>IFERROR(__xludf.DUMMYFUNCTION("""COMPUTED_VALUE"""),0.353)</f>
        <v>0.353</v>
      </c>
      <c r="D22" s="26">
        <f>IFERROR(__xludf.DUMMYFUNCTION("""COMPUTED_VALUE"""),0.412)</f>
        <v>0.412</v>
      </c>
      <c r="E22" s="26">
        <f>IFERROR(__xludf.DUMMYFUNCTION("""COMPUTED_VALUE"""),0.384)</f>
        <v>0.384</v>
      </c>
      <c r="F22" s="26">
        <f>IFERROR(__xludf.DUMMYFUNCTION("""COMPUTED_VALUE"""),0.35)</f>
        <v>0.35</v>
      </c>
      <c r="G22" s="26">
        <f>IFERROR(__xludf.DUMMYFUNCTION("""COMPUTED_VALUE"""),0.356)</f>
        <v>0.356</v>
      </c>
      <c r="H22" s="26">
        <f>IFERROR(__xludf.DUMMYFUNCTION("""COMPUTED_VALUE"""),0.351)</f>
        <v>0.351</v>
      </c>
    </row>
    <row r="23">
      <c r="A23" s="24">
        <f>VLOOKUP(B23,map!B:C,2,false)</f>
        <v>1</v>
      </c>
      <c r="B23" s="25" t="str">
        <f>IFERROR(__xludf.DUMMYFUNCTION("""COMPUTED_VALUE"""),"Dallas")</f>
        <v>Dallas</v>
      </c>
      <c r="C23" s="26">
        <f>IFERROR(__xludf.DUMMYFUNCTION("""COMPUTED_VALUE"""),0.336)</f>
        <v>0.336</v>
      </c>
      <c r="D23" s="26">
        <f>IFERROR(__xludf.DUMMYFUNCTION("""COMPUTED_VALUE"""),0.266)</f>
        <v>0.266</v>
      </c>
      <c r="E23" s="26">
        <f>IFERROR(__xludf.DUMMYFUNCTION("""COMPUTED_VALUE"""),0.407)</f>
        <v>0.407</v>
      </c>
      <c r="F23" s="26">
        <f>IFERROR(__xludf.DUMMYFUNCTION("""COMPUTED_VALUE"""),0.264)</f>
        <v>0.264</v>
      </c>
      <c r="G23" s="26">
        <f>IFERROR(__xludf.DUMMYFUNCTION("""COMPUTED_VALUE"""),0.396)</f>
        <v>0.396</v>
      </c>
      <c r="H23" s="26">
        <f>IFERROR(__xludf.DUMMYFUNCTION("""COMPUTED_VALUE"""),0.447)</f>
        <v>0.447</v>
      </c>
    </row>
    <row r="24">
      <c r="A24" s="24">
        <f>VLOOKUP(B24,map!B:C,2,false)</f>
        <v>18</v>
      </c>
      <c r="B24" s="25" t="str">
        <f>IFERROR(__xludf.DUMMYFUNCTION("""COMPUTED_VALUE"""),"LA Rams")</f>
        <v>LA Rams</v>
      </c>
      <c r="C24" s="26">
        <f>IFERROR(__xludf.DUMMYFUNCTION("""COMPUTED_VALUE"""),0.333)</f>
        <v>0.333</v>
      </c>
      <c r="D24" s="26">
        <f>IFERROR(__xludf.DUMMYFUNCTION("""COMPUTED_VALUE"""),0.356)</f>
        <v>0.356</v>
      </c>
      <c r="E24" s="26">
        <f>IFERROR(__xludf.DUMMYFUNCTION("""COMPUTED_VALUE"""),0.455)</f>
        <v>0.455</v>
      </c>
      <c r="F24" s="26">
        <f>IFERROR(__xludf.DUMMYFUNCTION("""COMPUTED_VALUE"""),0.386)</f>
        <v>0.386</v>
      </c>
      <c r="G24" s="26">
        <f>IFERROR(__xludf.DUMMYFUNCTION("""COMPUTED_VALUE"""),0.261)</f>
        <v>0.261</v>
      </c>
      <c r="H24" s="26">
        <f>IFERROR(__xludf.DUMMYFUNCTION("""COMPUTED_VALUE"""),0.372)</f>
        <v>0.372</v>
      </c>
    </row>
    <row r="25">
      <c r="A25" s="24">
        <f>VLOOKUP(B25,map!B:C,2,false)</f>
        <v>7</v>
      </c>
      <c r="B25" s="25" t="str">
        <f>IFERROR(__xludf.DUMMYFUNCTION("""COMPUTED_VALUE"""),"LA Chargers")</f>
        <v>LA Chargers</v>
      </c>
      <c r="C25" s="26">
        <f>IFERROR(__xludf.DUMMYFUNCTION("""COMPUTED_VALUE"""),0.314)</f>
        <v>0.314</v>
      </c>
      <c r="D25" s="26">
        <f>IFERROR(__xludf.DUMMYFUNCTION("""COMPUTED_VALUE"""),0.315)</f>
        <v>0.315</v>
      </c>
      <c r="E25" s="26">
        <f>IFERROR(__xludf.DUMMYFUNCTION("""COMPUTED_VALUE"""),0.406)</f>
        <v>0.406</v>
      </c>
      <c r="F25" s="26">
        <f>IFERROR(__xludf.DUMMYFUNCTION("""COMPUTED_VALUE"""),0.339)</f>
        <v>0.339</v>
      </c>
      <c r="G25" s="26">
        <f>IFERROR(__xludf.DUMMYFUNCTION("""COMPUTED_VALUE"""),0.297)</f>
        <v>0.297</v>
      </c>
      <c r="H25" s="26">
        <f>IFERROR(__xludf.DUMMYFUNCTION("""COMPUTED_VALUE"""),0.313)</f>
        <v>0.313</v>
      </c>
    </row>
    <row r="26">
      <c r="A26" s="24">
        <f>VLOOKUP(B26,map!B:C,2,false)</f>
        <v>19</v>
      </c>
      <c r="B26" s="25" t="str">
        <f>IFERROR(__xludf.DUMMYFUNCTION("""COMPUTED_VALUE"""),"NY Jets")</f>
        <v>NY Jets</v>
      </c>
      <c r="C26" s="26">
        <f>IFERROR(__xludf.DUMMYFUNCTION("""COMPUTED_VALUE"""),0.308)</f>
        <v>0.308</v>
      </c>
      <c r="D26" s="26">
        <f>IFERROR(__xludf.DUMMYFUNCTION("""COMPUTED_VALUE"""),0.333)</f>
        <v>0.333</v>
      </c>
      <c r="E26" s="26">
        <f>IFERROR(__xludf.DUMMYFUNCTION("""COMPUTED_VALUE"""),0.386)</f>
        <v>0.386</v>
      </c>
      <c r="F26" s="26">
        <f>IFERROR(__xludf.DUMMYFUNCTION("""COMPUTED_VALUE"""),0.266)</f>
        <v>0.266</v>
      </c>
      <c r="G26" s="26">
        <f>IFERROR(__xludf.DUMMYFUNCTION("""COMPUTED_VALUE"""),0.337)</f>
        <v>0.337</v>
      </c>
      <c r="H26" s="26">
        <f>IFERROR(__xludf.DUMMYFUNCTION("""COMPUTED_VALUE"""),0.255)</f>
        <v>0.255</v>
      </c>
    </row>
    <row r="27">
      <c r="A27" s="24">
        <f>VLOOKUP(B27,map!B:C,2,false)</f>
        <v>24</v>
      </c>
      <c r="B27" s="25" t="str">
        <f>IFERROR(__xludf.DUMMYFUNCTION("""COMPUTED_VALUE"""),"Las Vegas")</f>
        <v>Las Vegas</v>
      </c>
      <c r="C27" s="26">
        <f>IFERROR(__xludf.DUMMYFUNCTION("""COMPUTED_VALUE"""),0.294)</f>
        <v>0.294</v>
      </c>
      <c r="D27" s="26">
        <f>IFERROR(__xludf.DUMMYFUNCTION("""COMPUTED_VALUE"""),0.251)</f>
        <v>0.251</v>
      </c>
      <c r="E27" s="26">
        <f>IFERROR(__xludf.DUMMYFUNCTION("""COMPUTED_VALUE"""),0.357)</f>
        <v>0.357</v>
      </c>
      <c r="F27" s="26">
        <f>IFERROR(__xludf.DUMMYFUNCTION("""COMPUTED_VALUE"""),0.326)</f>
        <v>0.326</v>
      </c>
      <c r="G27" s="26">
        <f>IFERROR(__xludf.DUMMYFUNCTION("""COMPUTED_VALUE"""),0.266)</f>
        <v>0.266</v>
      </c>
      <c r="H27" s="26">
        <f>IFERROR(__xludf.DUMMYFUNCTION("""COMPUTED_VALUE"""),0.329)</f>
        <v>0.329</v>
      </c>
    </row>
    <row r="28">
      <c r="A28" s="24">
        <f>VLOOKUP(B28,map!B:C,2,false)</f>
        <v>32</v>
      </c>
      <c r="B28" s="25" t="str">
        <f>IFERROR(__xludf.DUMMYFUNCTION("""COMPUTED_VALUE"""),"Tennessee")</f>
        <v>Tennessee</v>
      </c>
      <c r="C28" s="26">
        <f>IFERROR(__xludf.DUMMYFUNCTION("""COMPUTED_VALUE"""),0.28)</f>
        <v>0.28</v>
      </c>
      <c r="D28" s="26">
        <f>IFERROR(__xludf.DUMMYFUNCTION("""COMPUTED_VALUE"""),0.212)</f>
        <v>0.212</v>
      </c>
      <c r="E28" s="26">
        <f>IFERROR(__xludf.DUMMYFUNCTION("""COMPUTED_VALUE"""),0.197)</f>
        <v>0.197</v>
      </c>
      <c r="F28" s="26">
        <f>IFERROR(__xludf.DUMMYFUNCTION("""COMPUTED_VALUE"""),0.286)</f>
        <v>0.286</v>
      </c>
      <c r="G28" s="26">
        <f>IFERROR(__xludf.DUMMYFUNCTION("""COMPUTED_VALUE"""),0.276)</f>
        <v>0.276</v>
      </c>
      <c r="H28" s="26">
        <f>IFERROR(__xludf.DUMMYFUNCTION("""COMPUTED_VALUE"""),0.304)</f>
        <v>0.304</v>
      </c>
    </row>
    <row r="29">
      <c r="A29" s="24">
        <f>VLOOKUP(B29,map!B:C,2,false)</f>
        <v>16</v>
      </c>
      <c r="B29" s="25" t="str">
        <f>IFERROR(__xludf.DUMMYFUNCTION("""COMPUTED_VALUE"""),"Cleveland")</f>
        <v>Cleveland</v>
      </c>
      <c r="C29" s="26">
        <f>IFERROR(__xludf.DUMMYFUNCTION("""COMPUTED_VALUE"""),0.271)</f>
        <v>0.271</v>
      </c>
      <c r="D29" s="26">
        <f>IFERROR(__xludf.DUMMYFUNCTION("""COMPUTED_VALUE"""),0.301)</f>
        <v>0.301</v>
      </c>
      <c r="E29" s="26">
        <f>IFERROR(__xludf.DUMMYFUNCTION("""COMPUTED_VALUE"""),0.439)</f>
        <v>0.439</v>
      </c>
      <c r="F29" s="26">
        <f>IFERROR(__xludf.DUMMYFUNCTION("""COMPUTED_VALUE"""),0.272)</f>
        <v>0.272</v>
      </c>
      <c r="G29" s="26">
        <f>IFERROR(__xludf.DUMMYFUNCTION("""COMPUTED_VALUE"""),0.269)</f>
        <v>0.269</v>
      </c>
      <c r="H29" s="26">
        <f>IFERROR(__xludf.DUMMYFUNCTION("""COMPUTED_VALUE"""),0.326)</f>
        <v>0.326</v>
      </c>
    </row>
    <row r="30">
      <c r="A30" s="24">
        <f>VLOOKUP(B30,map!B:C,2,false)</f>
        <v>23</v>
      </c>
      <c r="B30" s="25" t="str">
        <f>IFERROR(__xludf.DUMMYFUNCTION("""COMPUTED_VALUE"""),"Carolina")</f>
        <v>Carolina</v>
      </c>
      <c r="C30" s="26">
        <f>IFERROR(__xludf.DUMMYFUNCTION("""COMPUTED_VALUE"""),0.267)</f>
        <v>0.267</v>
      </c>
      <c r="D30" s="26">
        <f>IFERROR(__xludf.DUMMYFUNCTION("""COMPUTED_VALUE"""),0.248)</f>
        <v>0.248</v>
      </c>
      <c r="E30" s="26">
        <f>IFERROR(__xludf.DUMMYFUNCTION("""COMPUTED_VALUE"""),0.233)</f>
        <v>0.233</v>
      </c>
      <c r="F30" s="26">
        <f>IFERROR(__xludf.DUMMYFUNCTION("""COMPUTED_VALUE"""),0.264)</f>
        <v>0.264</v>
      </c>
      <c r="G30" s="26">
        <f>IFERROR(__xludf.DUMMYFUNCTION("""COMPUTED_VALUE"""),0.269)</f>
        <v>0.269</v>
      </c>
      <c r="H30" s="26">
        <f>IFERROR(__xludf.DUMMYFUNCTION("""COMPUTED_VALUE"""),0.215)</f>
        <v>0.215</v>
      </c>
    </row>
    <row r="31">
      <c r="A31" s="24">
        <f>VLOOKUP(B31,map!B:C,2,false)</f>
        <v>22</v>
      </c>
      <c r="B31" s="25" t="str">
        <f>IFERROR(__xludf.DUMMYFUNCTION("""COMPUTED_VALUE"""),"New England")</f>
        <v>New England</v>
      </c>
      <c r="C31" s="26">
        <f>IFERROR(__xludf.DUMMYFUNCTION("""COMPUTED_VALUE"""),0.261)</f>
        <v>0.261</v>
      </c>
      <c r="D31" s="26">
        <f>IFERROR(__xludf.DUMMYFUNCTION("""COMPUTED_VALUE"""),0.344)</f>
        <v>0.344</v>
      </c>
      <c r="E31" s="26">
        <f>IFERROR(__xludf.DUMMYFUNCTION("""COMPUTED_VALUE"""),0.397)</f>
        <v>0.397</v>
      </c>
      <c r="F31" s="26">
        <f>IFERROR(__xludf.DUMMYFUNCTION("""COMPUTED_VALUE"""),0.308)</f>
        <v>0.308</v>
      </c>
      <c r="G31" s="26">
        <f>IFERROR(__xludf.DUMMYFUNCTION("""COMPUTED_VALUE"""),0.211)</f>
        <v>0.211</v>
      </c>
      <c r="H31" s="26">
        <f>IFERROR(__xludf.DUMMYFUNCTION("""COMPUTED_VALUE"""),0.231)</f>
        <v>0.231</v>
      </c>
    </row>
    <row r="32">
      <c r="A32" s="24">
        <f>VLOOKUP(B32,map!B:C,2,false)</f>
        <v>26</v>
      </c>
      <c r="B32" s="25" t="str">
        <f>IFERROR(__xludf.DUMMYFUNCTION("""COMPUTED_VALUE"""),"NY Giants")</f>
        <v>NY Giants</v>
      </c>
      <c r="C32" s="26">
        <f>IFERROR(__xludf.DUMMYFUNCTION("""COMPUTED_VALUE"""),0.219)</f>
        <v>0.219</v>
      </c>
      <c r="D32" s="26">
        <f>IFERROR(__xludf.DUMMYFUNCTION("""COMPUTED_VALUE"""),0.195)</f>
        <v>0.195</v>
      </c>
      <c r="E32" s="26">
        <f>IFERROR(__xludf.DUMMYFUNCTION("""COMPUTED_VALUE"""),0.055)</f>
        <v>0.055</v>
      </c>
      <c r="F32" s="26">
        <f>IFERROR(__xludf.DUMMYFUNCTION("""COMPUTED_VALUE"""),0.118)</f>
        <v>0.118</v>
      </c>
      <c r="G32" s="26">
        <f>IFERROR(__xludf.DUMMYFUNCTION("""COMPUTED_VALUE"""),0.356)</f>
        <v>0.356</v>
      </c>
      <c r="H32" s="26">
        <f>IFERROR(__xludf.DUMMYFUNCTION("""COMPUTED_VALUE"""),0.252)</f>
        <v>0.252</v>
      </c>
    </row>
    <row r="33">
      <c r="A33" s="24">
        <f>VLOOKUP(B33,map!B:C,2,false)</f>
        <v>10</v>
      </c>
      <c r="B33" s="25" t="str">
        <f>IFERROR(__xludf.DUMMYFUNCTION("""COMPUTED_VALUE"""),"Miami")</f>
        <v>Miami</v>
      </c>
      <c r="C33" s="26">
        <f>IFERROR(__xludf.DUMMYFUNCTION("""COMPUTED_VALUE"""),0.212)</f>
        <v>0.212</v>
      </c>
      <c r="D33" s="26">
        <f>IFERROR(__xludf.DUMMYFUNCTION("""COMPUTED_VALUE"""),0.251)</f>
        <v>0.251</v>
      </c>
      <c r="E33" s="26">
        <f>IFERROR(__xludf.DUMMYFUNCTION("""COMPUTED_VALUE"""),0.422)</f>
        <v>0.422</v>
      </c>
      <c r="F33" s="26">
        <f>IFERROR(__xludf.DUMMYFUNCTION("""COMPUTED_VALUE"""),0.267)</f>
        <v>0.267</v>
      </c>
      <c r="G33" s="26">
        <f>IFERROR(__xludf.DUMMYFUNCTION("""COMPUTED_VALUE"""),0.141)</f>
        <v>0.141</v>
      </c>
      <c r="H33" s="26">
        <f>IFERROR(__xludf.DUMMYFUNCTION("""COMPUTED_VALUE"""),0.452)</f>
        <v>0.452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>
        <v>1.0</v>
      </c>
      <c r="B1" s="12" t="s">
        <v>27</v>
      </c>
      <c r="C1" s="9">
        <v>1.0</v>
      </c>
      <c r="D1" s="12" t="s">
        <v>28</v>
      </c>
      <c r="E1" s="9">
        <v>1.0</v>
      </c>
    </row>
    <row r="2">
      <c r="A2" s="9">
        <v>2.0</v>
      </c>
      <c r="B2" s="12" t="s">
        <v>29</v>
      </c>
      <c r="C2" s="9">
        <v>2.0</v>
      </c>
      <c r="D2" s="12" t="s">
        <v>30</v>
      </c>
      <c r="E2" s="9">
        <v>2.0</v>
      </c>
    </row>
    <row r="3">
      <c r="A3" s="9">
        <v>3.0</v>
      </c>
      <c r="B3" s="12" t="s">
        <v>31</v>
      </c>
      <c r="C3" s="9">
        <v>3.0</v>
      </c>
      <c r="D3" s="12" t="s">
        <v>32</v>
      </c>
      <c r="E3" s="9">
        <v>3.0</v>
      </c>
    </row>
    <row r="4">
      <c r="A4" s="9">
        <v>4.0</v>
      </c>
      <c r="B4" s="12" t="s">
        <v>33</v>
      </c>
      <c r="C4" s="9">
        <v>4.0</v>
      </c>
      <c r="D4" s="12" t="s">
        <v>34</v>
      </c>
      <c r="E4" s="9">
        <v>4.0</v>
      </c>
    </row>
    <row r="5">
      <c r="A5" s="9">
        <v>5.0</v>
      </c>
      <c r="B5" s="12" t="s">
        <v>35</v>
      </c>
      <c r="C5" s="9">
        <v>5.0</v>
      </c>
      <c r="D5" s="12" t="s">
        <v>36</v>
      </c>
      <c r="E5" s="9">
        <v>5.0</v>
      </c>
    </row>
    <row r="6">
      <c r="A6" s="9">
        <v>6.0</v>
      </c>
      <c r="B6" s="12" t="s">
        <v>37</v>
      </c>
      <c r="C6" s="9">
        <v>6.0</v>
      </c>
      <c r="D6" s="12" t="s">
        <v>38</v>
      </c>
      <c r="E6" s="9">
        <v>6.0</v>
      </c>
    </row>
    <row r="7">
      <c r="A7" s="9">
        <v>7.0</v>
      </c>
      <c r="B7" s="12" t="s">
        <v>39</v>
      </c>
      <c r="C7" s="9">
        <v>7.0</v>
      </c>
      <c r="D7" s="12" t="s">
        <v>40</v>
      </c>
      <c r="E7" s="9">
        <v>7.0</v>
      </c>
    </row>
    <row r="8">
      <c r="A8" s="9">
        <v>8.0</v>
      </c>
      <c r="B8" s="12" t="s">
        <v>41</v>
      </c>
      <c r="C8" s="9">
        <v>8.0</v>
      </c>
      <c r="D8" s="12" t="s">
        <v>42</v>
      </c>
      <c r="E8" s="9">
        <v>8.0</v>
      </c>
    </row>
    <row r="9">
      <c r="A9" s="9">
        <v>9.0</v>
      </c>
      <c r="B9" s="12" t="s">
        <v>43</v>
      </c>
      <c r="C9" s="9">
        <v>9.0</v>
      </c>
      <c r="D9" s="12" t="s">
        <v>44</v>
      </c>
      <c r="E9" s="9">
        <v>9.0</v>
      </c>
    </row>
    <row r="10">
      <c r="A10" s="9">
        <v>10.0</v>
      </c>
      <c r="B10" s="12" t="s">
        <v>45</v>
      </c>
      <c r="C10" s="9">
        <v>10.0</v>
      </c>
      <c r="D10" s="12" t="s">
        <v>46</v>
      </c>
      <c r="E10" s="9">
        <v>10.0</v>
      </c>
    </row>
    <row r="11">
      <c r="A11" s="9">
        <v>11.0</v>
      </c>
      <c r="B11" s="12" t="s">
        <v>47</v>
      </c>
      <c r="C11" s="9">
        <v>11.0</v>
      </c>
      <c r="D11" s="12" t="s">
        <v>48</v>
      </c>
      <c r="E11" s="9">
        <v>11.0</v>
      </c>
    </row>
    <row r="12">
      <c r="A12" s="9">
        <v>12.0</v>
      </c>
      <c r="B12" s="12" t="s">
        <v>49</v>
      </c>
      <c r="C12" s="9">
        <v>12.0</v>
      </c>
      <c r="D12" s="12" t="s">
        <v>50</v>
      </c>
      <c r="E12" s="9">
        <v>12.0</v>
      </c>
    </row>
    <row r="13">
      <c r="A13" s="9">
        <v>13.0</v>
      </c>
      <c r="B13" s="12" t="s">
        <v>51</v>
      </c>
      <c r="C13" s="9">
        <v>13.0</v>
      </c>
      <c r="D13" s="12" t="s">
        <v>52</v>
      </c>
      <c r="E13" s="9">
        <v>13.0</v>
      </c>
    </row>
    <row r="14">
      <c r="A14" s="9">
        <v>14.0</v>
      </c>
      <c r="B14" s="12" t="s">
        <v>53</v>
      </c>
      <c r="C14" s="9">
        <v>14.0</v>
      </c>
      <c r="D14" s="12" t="s">
        <v>54</v>
      </c>
      <c r="E14" s="9">
        <v>14.0</v>
      </c>
    </row>
    <row r="15">
      <c r="A15" s="9">
        <v>15.0</v>
      </c>
      <c r="B15" s="12" t="s">
        <v>55</v>
      </c>
      <c r="C15" s="9">
        <v>15.0</v>
      </c>
      <c r="D15" s="12" t="s">
        <v>56</v>
      </c>
      <c r="E15" s="9">
        <v>15.0</v>
      </c>
    </row>
    <row r="16">
      <c r="A16" s="9">
        <v>16.0</v>
      </c>
      <c r="B16" s="12" t="s">
        <v>57</v>
      </c>
      <c r="C16" s="9">
        <v>16.0</v>
      </c>
      <c r="D16" s="12" t="s">
        <v>58</v>
      </c>
      <c r="E16" s="9">
        <v>16.0</v>
      </c>
    </row>
    <row r="17">
      <c r="A17" s="9">
        <v>17.0</v>
      </c>
      <c r="B17" s="12" t="s">
        <v>59</v>
      </c>
      <c r="C17" s="9">
        <v>17.0</v>
      </c>
      <c r="D17" s="12" t="s">
        <v>60</v>
      </c>
      <c r="E17" s="9">
        <v>17.0</v>
      </c>
    </row>
    <row r="18">
      <c r="A18" s="9">
        <v>18.0</v>
      </c>
      <c r="B18" s="12" t="s">
        <v>61</v>
      </c>
      <c r="C18" s="9">
        <v>18.0</v>
      </c>
      <c r="D18" s="12" t="s">
        <v>62</v>
      </c>
      <c r="E18" s="9">
        <v>18.0</v>
      </c>
    </row>
    <row r="19">
      <c r="A19" s="9">
        <v>19.0</v>
      </c>
      <c r="B19" s="12" t="s">
        <v>63</v>
      </c>
      <c r="C19" s="9">
        <v>19.0</v>
      </c>
      <c r="D19" s="12" t="s">
        <v>64</v>
      </c>
      <c r="E19" s="9">
        <v>19.0</v>
      </c>
    </row>
    <row r="20">
      <c r="A20" s="9">
        <v>20.0</v>
      </c>
      <c r="B20" s="12" t="s">
        <v>65</v>
      </c>
      <c r="C20" s="9">
        <v>20.0</v>
      </c>
      <c r="D20" s="12" t="s">
        <v>66</v>
      </c>
      <c r="E20" s="9">
        <v>20.0</v>
      </c>
    </row>
    <row r="21">
      <c r="A21" s="9">
        <v>21.0</v>
      </c>
      <c r="B21" s="12" t="s">
        <v>67</v>
      </c>
      <c r="C21" s="9">
        <v>21.0</v>
      </c>
      <c r="D21" s="12" t="s">
        <v>68</v>
      </c>
      <c r="E21" s="9">
        <v>21.0</v>
      </c>
    </row>
    <row r="22">
      <c r="A22" s="9">
        <v>22.0</v>
      </c>
      <c r="B22" s="12" t="s">
        <v>69</v>
      </c>
      <c r="C22" s="9">
        <v>22.0</v>
      </c>
      <c r="D22" s="12" t="s">
        <v>70</v>
      </c>
      <c r="E22" s="9">
        <v>22.0</v>
      </c>
    </row>
    <row r="23">
      <c r="A23" s="9">
        <v>23.0</v>
      </c>
      <c r="B23" s="12" t="s">
        <v>71</v>
      </c>
      <c r="C23" s="9">
        <v>23.0</v>
      </c>
      <c r="D23" s="12" t="s">
        <v>72</v>
      </c>
      <c r="E23" s="9">
        <v>23.0</v>
      </c>
    </row>
    <row r="24">
      <c r="A24" s="9">
        <v>24.0</v>
      </c>
      <c r="B24" s="12" t="s">
        <v>73</v>
      </c>
      <c r="C24" s="9">
        <v>24.0</v>
      </c>
      <c r="D24" s="12" t="s">
        <v>74</v>
      </c>
      <c r="E24" s="9">
        <v>24.0</v>
      </c>
    </row>
    <row r="25">
      <c r="A25" s="9">
        <v>25.0</v>
      </c>
      <c r="B25" s="12" t="s">
        <v>75</v>
      </c>
      <c r="C25" s="9">
        <v>25.0</v>
      </c>
      <c r="D25" s="12" t="s">
        <v>76</v>
      </c>
      <c r="E25" s="9">
        <v>25.0</v>
      </c>
    </row>
    <row r="26">
      <c r="A26" s="9">
        <v>26.0</v>
      </c>
      <c r="B26" s="12" t="s">
        <v>77</v>
      </c>
      <c r="C26" s="9">
        <v>26.0</v>
      </c>
      <c r="D26" s="12" t="s">
        <v>78</v>
      </c>
      <c r="E26" s="9">
        <v>26.0</v>
      </c>
    </row>
    <row r="27">
      <c r="A27" s="9">
        <v>27.0</v>
      </c>
      <c r="B27" s="12" t="s">
        <v>79</v>
      </c>
      <c r="C27" s="9">
        <v>27.0</v>
      </c>
      <c r="D27" s="12" t="s">
        <v>80</v>
      </c>
      <c r="E27" s="9">
        <v>27.0</v>
      </c>
    </row>
    <row r="28">
      <c r="A28" s="9">
        <v>28.0</v>
      </c>
      <c r="B28" s="12" t="s">
        <v>81</v>
      </c>
      <c r="C28" s="9">
        <v>28.0</v>
      </c>
      <c r="D28" s="12" t="s">
        <v>82</v>
      </c>
      <c r="E28" s="9">
        <v>28.0</v>
      </c>
    </row>
    <row r="29">
      <c r="A29" s="9">
        <v>29.0</v>
      </c>
      <c r="B29" s="12" t="s">
        <v>83</v>
      </c>
      <c r="C29" s="9">
        <v>29.0</v>
      </c>
      <c r="D29" s="12" t="s">
        <v>84</v>
      </c>
      <c r="E29" s="9">
        <v>29.0</v>
      </c>
    </row>
    <row r="30">
      <c r="A30" s="9">
        <v>30.0</v>
      </c>
      <c r="B30" s="12" t="s">
        <v>85</v>
      </c>
      <c r="C30" s="9">
        <v>30.0</v>
      </c>
      <c r="D30" s="12" t="s">
        <v>86</v>
      </c>
      <c r="E30" s="9">
        <v>30.0</v>
      </c>
    </row>
    <row r="31">
      <c r="A31" s="9">
        <v>31.0</v>
      </c>
      <c r="B31" s="12" t="s">
        <v>87</v>
      </c>
      <c r="C31" s="9">
        <v>31.0</v>
      </c>
      <c r="D31" s="12" t="s">
        <v>88</v>
      </c>
      <c r="E31" s="9">
        <v>31.0</v>
      </c>
    </row>
    <row r="32">
      <c r="A32" s="9">
        <v>32.0</v>
      </c>
      <c r="B32" s="12" t="s">
        <v>89</v>
      </c>
      <c r="C32" s="9">
        <v>32.0</v>
      </c>
      <c r="D32" s="12" t="s">
        <v>90</v>
      </c>
      <c r="E32" s="9">
        <v>32.0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tr">
        <f>IFERROR(__xludf.DUMMYFUNCTION("IMPORTRANGE(""https://docs.google.com/spreadsheets/d/13MAhBT9K2M70JP2OISI4aettE0FK27CjAGHAew7TsAE/edit?gid=1671364351#gid=1671364351"",""odds!A1:L"")"),"game_id")</f>
        <v>game_id</v>
      </c>
      <c r="B1" s="14" t="str">
        <f>IFERROR(__xludf.DUMMYFUNCTION("""COMPUTED_VALUE"""),"commence_time")</f>
        <v>commence_time</v>
      </c>
      <c r="C1" s="14" t="str">
        <f>IFERROR(__xludf.DUMMYFUNCTION("""COMPUTED_VALUE"""),"in_play")</f>
        <v>in_play</v>
      </c>
      <c r="D1" s="14" t="str">
        <f>IFERROR(__xludf.DUMMYFUNCTION("""COMPUTED_VALUE"""),"bookmaker")</f>
        <v>bookmaker</v>
      </c>
      <c r="E1" s="14" t="str">
        <f>IFERROR(__xludf.DUMMYFUNCTION("""COMPUTED_VALUE"""),"last_update")</f>
        <v>last_update</v>
      </c>
      <c r="F1" s="14" t="str">
        <f>IFERROR(__xludf.DUMMYFUNCTION("""COMPUTED_VALUE"""),"home_team")</f>
        <v>home_team</v>
      </c>
      <c r="G1" s="14" t="str">
        <f>IFERROR(__xludf.DUMMYFUNCTION("""COMPUTED_VALUE"""),"away_team")</f>
        <v>away_team</v>
      </c>
      <c r="H1" s="14" t="str">
        <f>IFERROR(__xludf.DUMMYFUNCTION("""COMPUTED_VALUE"""),"market")</f>
        <v>market</v>
      </c>
      <c r="I1" s="14" t="str">
        <f>IFERROR(__xludf.DUMMYFUNCTION("""COMPUTED_VALUE"""),"label")</f>
        <v>label</v>
      </c>
      <c r="J1" s="14" t="str">
        <f>IFERROR(__xludf.DUMMYFUNCTION("""COMPUTED_VALUE"""),"description")</f>
        <v>description</v>
      </c>
      <c r="K1" s="14" t="str">
        <f>IFERROR(__xludf.DUMMYFUNCTION("""COMPUTED_VALUE"""),"price")</f>
        <v>price</v>
      </c>
      <c r="L1" s="14" t="str">
        <f>IFERROR(__xludf.DUMMYFUNCTION("""COMPUTED_VALUE"""),"point")</f>
        <v>point</v>
      </c>
    </row>
    <row r="2">
      <c r="A2" s="14" t="str">
        <f>IFERROR(__xludf.DUMMYFUNCTION("""COMPUTED_VALUE"""),"86278ec4bbdcadd945d79df6c695c2ec")</f>
        <v>86278ec4bbdcadd945d79df6c695c2ec</v>
      </c>
      <c r="B2" s="15">
        <f>IFERROR(__xludf.DUMMYFUNCTION("""COMPUTED_VALUE"""),45594.01041666667)</f>
        <v>45594.01042</v>
      </c>
      <c r="C2" s="16" t="b">
        <f>IFERROR(__xludf.DUMMYFUNCTION("""COMPUTED_VALUE"""),FALSE)</f>
        <v>0</v>
      </c>
      <c r="D2" s="14" t="str">
        <f>IFERROR(__xludf.DUMMYFUNCTION("""COMPUTED_VALUE"""),"DraftKings")</f>
        <v>DraftKings</v>
      </c>
      <c r="E2" s="15">
        <f>IFERROR(__xludf.DUMMYFUNCTION("""COMPUTED_VALUE"""),45593.91478009259)</f>
        <v>45593.91478</v>
      </c>
      <c r="F2" s="14" t="str">
        <f>IFERROR(__xludf.DUMMYFUNCTION("""COMPUTED_VALUE"""),"Pittsburgh Steelers")</f>
        <v>Pittsburgh Steelers</v>
      </c>
      <c r="G2" s="14" t="str">
        <f>IFERROR(__xludf.DUMMYFUNCTION("""COMPUTED_VALUE"""),"New York Giants")</f>
        <v>New York Giants</v>
      </c>
      <c r="H2" s="14" t="str">
        <f>IFERROR(__xludf.DUMMYFUNCTION("""COMPUTED_VALUE"""),"totals")</f>
        <v>totals</v>
      </c>
      <c r="I2" s="14" t="str">
        <f>IFERROR(__xludf.DUMMYFUNCTION("""COMPUTED_VALUE"""),"Over")</f>
        <v>Over</v>
      </c>
      <c r="J2" s="14"/>
      <c r="K2" s="17">
        <f>IFERROR(__xludf.DUMMYFUNCTION("""COMPUTED_VALUE"""),-108.0)</f>
        <v>-108</v>
      </c>
      <c r="L2" s="17">
        <f>IFERROR(__xludf.DUMMYFUNCTION("""COMPUTED_VALUE"""),37.5)</f>
        <v>37.5</v>
      </c>
    </row>
    <row r="3">
      <c r="A3" s="14" t="str">
        <f>IFERROR(__xludf.DUMMYFUNCTION("""COMPUTED_VALUE"""),"86278ec4bbdcadd945d79df6c695c2ec")</f>
        <v>86278ec4bbdcadd945d79df6c695c2ec</v>
      </c>
      <c r="B3" s="15">
        <f>IFERROR(__xludf.DUMMYFUNCTION("""COMPUTED_VALUE"""),45594.01041666667)</f>
        <v>45594.01042</v>
      </c>
      <c r="C3" s="16" t="b">
        <f>IFERROR(__xludf.DUMMYFUNCTION("""COMPUTED_VALUE"""),FALSE)</f>
        <v>0</v>
      </c>
      <c r="D3" s="14" t="str">
        <f>IFERROR(__xludf.DUMMYFUNCTION("""COMPUTED_VALUE"""),"DraftKings")</f>
        <v>DraftKings</v>
      </c>
      <c r="E3" s="15">
        <f>IFERROR(__xludf.DUMMYFUNCTION("""COMPUTED_VALUE"""),45593.91478009259)</f>
        <v>45593.91478</v>
      </c>
      <c r="F3" s="14" t="str">
        <f>IFERROR(__xludf.DUMMYFUNCTION("""COMPUTED_VALUE"""),"Pittsburgh Steelers")</f>
        <v>Pittsburgh Steelers</v>
      </c>
      <c r="G3" s="14" t="str">
        <f>IFERROR(__xludf.DUMMYFUNCTION("""COMPUTED_VALUE"""),"New York Giants")</f>
        <v>New York Giants</v>
      </c>
      <c r="H3" s="14" t="str">
        <f>IFERROR(__xludf.DUMMYFUNCTION("""COMPUTED_VALUE"""),"totals")</f>
        <v>totals</v>
      </c>
      <c r="I3" s="14" t="str">
        <f>IFERROR(__xludf.DUMMYFUNCTION("""COMPUTED_VALUE"""),"Under")</f>
        <v>Under</v>
      </c>
      <c r="J3" s="14"/>
      <c r="K3" s="17">
        <f>IFERROR(__xludf.DUMMYFUNCTION("""COMPUTED_VALUE"""),-112.0)</f>
        <v>-112</v>
      </c>
      <c r="L3" s="17">
        <f>IFERROR(__xludf.DUMMYFUNCTION("""COMPUTED_VALUE"""),37.5)</f>
        <v>37.5</v>
      </c>
    </row>
    <row r="4">
      <c r="A4" s="14" t="str">
        <f>IFERROR(__xludf.DUMMYFUNCTION("""COMPUTED_VALUE"""),"86278ec4bbdcadd945d79df6c695c2ec")</f>
        <v>86278ec4bbdcadd945d79df6c695c2ec</v>
      </c>
      <c r="B4" s="15">
        <f>IFERROR(__xludf.DUMMYFUNCTION("""COMPUTED_VALUE"""),45594.01041666667)</f>
        <v>45594.01042</v>
      </c>
      <c r="C4" s="16" t="b">
        <f>IFERROR(__xludf.DUMMYFUNCTION("""COMPUTED_VALUE"""),FALSE)</f>
        <v>0</v>
      </c>
      <c r="D4" s="14" t="str">
        <f>IFERROR(__xludf.DUMMYFUNCTION("""COMPUTED_VALUE"""),"BetUS")</f>
        <v>BetUS</v>
      </c>
      <c r="E4" s="15">
        <f>IFERROR(__xludf.DUMMYFUNCTION("""COMPUTED_VALUE"""),45593.91565972222)</f>
        <v>45593.91566</v>
      </c>
      <c r="F4" s="14" t="str">
        <f>IFERROR(__xludf.DUMMYFUNCTION("""COMPUTED_VALUE"""),"Pittsburgh Steelers")</f>
        <v>Pittsburgh Steelers</v>
      </c>
      <c r="G4" s="14" t="str">
        <f>IFERROR(__xludf.DUMMYFUNCTION("""COMPUTED_VALUE"""),"New York Giants")</f>
        <v>New York Giants</v>
      </c>
      <c r="H4" s="14" t="str">
        <f>IFERROR(__xludf.DUMMYFUNCTION("""COMPUTED_VALUE"""),"totals")</f>
        <v>totals</v>
      </c>
      <c r="I4" s="14" t="str">
        <f>IFERROR(__xludf.DUMMYFUNCTION("""COMPUTED_VALUE"""),"Over")</f>
        <v>Over</v>
      </c>
      <c r="J4" s="14"/>
      <c r="K4" s="17">
        <f>IFERROR(__xludf.DUMMYFUNCTION("""COMPUTED_VALUE"""),-115.0)</f>
        <v>-115</v>
      </c>
      <c r="L4" s="17">
        <f>IFERROR(__xludf.DUMMYFUNCTION("""COMPUTED_VALUE"""),37.0)</f>
        <v>37</v>
      </c>
    </row>
    <row r="5">
      <c r="A5" s="14" t="str">
        <f>IFERROR(__xludf.DUMMYFUNCTION("""COMPUTED_VALUE"""),"86278ec4bbdcadd945d79df6c695c2ec")</f>
        <v>86278ec4bbdcadd945d79df6c695c2ec</v>
      </c>
      <c r="B5" s="15">
        <f>IFERROR(__xludf.DUMMYFUNCTION("""COMPUTED_VALUE"""),45594.01041666667)</f>
        <v>45594.01042</v>
      </c>
      <c r="C5" s="16" t="b">
        <f>IFERROR(__xludf.DUMMYFUNCTION("""COMPUTED_VALUE"""),FALSE)</f>
        <v>0</v>
      </c>
      <c r="D5" s="14" t="str">
        <f>IFERROR(__xludf.DUMMYFUNCTION("""COMPUTED_VALUE"""),"BetUS")</f>
        <v>BetUS</v>
      </c>
      <c r="E5" s="15">
        <f>IFERROR(__xludf.DUMMYFUNCTION("""COMPUTED_VALUE"""),45593.91565972222)</f>
        <v>45593.91566</v>
      </c>
      <c r="F5" s="14" t="str">
        <f>IFERROR(__xludf.DUMMYFUNCTION("""COMPUTED_VALUE"""),"Pittsburgh Steelers")</f>
        <v>Pittsburgh Steelers</v>
      </c>
      <c r="G5" s="14" t="str">
        <f>IFERROR(__xludf.DUMMYFUNCTION("""COMPUTED_VALUE"""),"New York Giants")</f>
        <v>New York Giants</v>
      </c>
      <c r="H5" s="14" t="str">
        <f>IFERROR(__xludf.DUMMYFUNCTION("""COMPUTED_VALUE"""),"totals")</f>
        <v>totals</v>
      </c>
      <c r="I5" s="14" t="str">
        <f>IFERROR(__xludf.DUMMYFUNCTION("""COMPUTED_VALUE"""),"Under")</f>
        <v>Under</v>
      </c>
      <c r="J5" s="14"/>
      <c r="K5" s="17">
        <f>IFERROR(__xludf.DUMMYFUNCTION("""COMPUTED_VALUE"""),-105.0)</f>
        <v>-105</v>
      </c>
      <c r="L5" s="17">
        <f>IFERROR(__xludf.DUMMYFUNCTION("""COMPUTED_VALUE"""),37.0)</f>
        <v>37</v>
      </c>
    </row>
    <row r="6">
      <c r="A6" s="14" t="str">
        <f>IFERROR(__xludf.DUMMYFUNCTION("""COMPUTED_VALUE"""),"86278ec4bbdcadd945d79df6c695c2ec")</f>
        <v>86278ec4bbdcadd945d79df6c695c2ec</v>
      </c>
      <c r="B6" s="15">
        <f>IFERROR(__xludf.DUMMYFUNCTION("""COMPUTED_VALUE"""),45594.01041666667)</f>
        <v>45594.01042</v>
      </c>
      <c r="C6" s="16" t="b">
        <f>IFERROR(__xludf.DUMMYFUNCTION("""COMPUTED_VALUE"""),FALSE)</f>
        <v>0</v>
      </c>
      <c r="D6" s="14" t="str">
        <f>IFERROR(__xludf.DUMMYFUNCTION("""COMPUTED_VALUE"""),"FanDuel")</f>
        <v>FanDuel</v>
      </c>
      <c r="E6" s="15">
        <f>IFERROR(__xludf.DUMMYFUNCTION("""COMPUTED_VALUE"""),45593.91564814815)</f>
        <v>45593.91565</v>
      </c>
      <c r="F6" s="14" t="str">
        <f>IFERROR(__xludf.DUMMYFUNCTION("""COMPUTED_VALUE"""),"Pittsburgh Steelers")</f>
        <v>Pittsburgh Steelers</v>
      </c>
      <c r="G6" s="14" t="str">
        <f>IFERROR(__xludf.DUMMYFUNCTION("""COMPUTED_VALUE"""),"New York Giants")</f>
        <v>New York Giants</v>
      </c>
      <c r="H6" s="14" t="str">
        <f>IFERROR(__xludf.DUMMYFUNCTION("""COMPUTED_VALUE"""),"totals")</f>
        <v>totals</v>
      </c>
      <c r="I6" s="14" t="str">
        <f>IFERROR(__xludf.DUMMYFUNCTION("""COMPUTED_VALUE"""),"Over")</f>
        <v>Over</v>
      </c>
      <c r="J6" s="14"/>
      <c r="K6" s="17">
        <f>IFERROR(__xludf.DUMMYFUNCTION("""COMPUTED_VALUE"""),-112.0)</f>
        <v>-112</v>
      </c>
      <c r="L6" s="17">
        <f>IFERROR(__xludf.DUMMYFUNCTION("""COMPUTED_VALUE"""),36.5)</f>
        <v>36.5</v>
      </c>
    </row>
    <row r="7">
      <c r="A7" s="14" t="str">
        <f>IFERROR(__xludf.DUMMYFUNCTION("""COMPUTED_VALUE"""),"86278ec4bbdcadd945d79df6c695c2ec")</f>
        <v>86278ec4bbdcadd945d79df6c695c2ec</v>
      </c>
      <c r="B7" s="15">
        <f>IFERROR(__xludf.DUMMYFUNCTION("""COMPUTED_VALUE"""),45594.01041666667)</f>
        <v>45594.01042</v>
      </c>
      <c r="C7" s="16" t="b">
        <f>IFERROR(__xludf.DUMMYFUNCTION("""COMPUTED_VALUE"""),FALSE)</f>
        <v>0</v>
      </c>
      <c r="D7" s="14" t="str">
        <f>IFERROR(__xludf.DUMMYFUNCTION("""COMPUTED_VALUE"""),"FanDuel")</f>
        <v>FanDuel</v>
      </c>
      <c r="E7" s="15">
        <f>IFERROR(__xludf.DUMMYFUNCTION("""COMPUTED_VALUE"""),45593.91564814815)</f>
        <v>45593.91565</v>
      </c>
      <c r="F7" s="14" t="str">
        <f>IFERROR(__xludf.DUMMYFUNCTION("""COMPUTED_VALUE"""),"Pittsburgh Steelers")</f>
        <v>Pittsburgh Steelers</v>
      </c>
      <c r="G7" s="14" t="str">
        <f>IFERROR(__xludf.DUMMYFUNCTION("""COMPUTED_VALUE"""),"New York Giants")</f>
        <v>New York Giants</v>
      </c>
      <c r="H7" s="14" t="str">
        <f>IFERROR(__xludf.DUMMYFUNCTION("""COMPUTED_VALUE"""),"totals")</f>
        <v>totals</v>
      </c>
      <c r="I7" s="14" t="str">
        <f>IFERROR(__xludf.DUMMYFUNCTION("""COMPUTED_VALUE"""),"Under")</f>
        <v>Under</v>
      </c>
      <c r="J7" s="14"/>
      <c r="K7" s="17">
        <f>IFERROR(__xludf.DUMMYFUNCTION("""COMPUTED_VALUE"""),-108.0)</f>
        <v>-108</v>
      </c>
      <c r="L7" s="17">
        <f>IFERROR(__xludf.DUMMYFUNCTION("""COMPUTED_VALUE"""),36.5)</f>
        <v>36.5</v>
      </c>
    </row>
    <row r="8">
      <c r="A8" s="14" t="str">
        <f>IFERROR(__xludf.DUMMYFUNCTION("""COMPUTED_VALUE"""),"86278ec4bbdcadd945d79df6c695c2ec")</f>
        <v>86278ec4bbdcadd945d79df6c695c2ec</v>
      </c>
      <c r="B8" s="15">
        <f>IFERROR(__xludf.DUMMYFUNCTION("""COMPUTED_VALUE"""),45594.01041666667)</f>
        <v>45594.01042</v>
      </c>
      <c r="C8" s="16" t="b">
        <f>IFERROR(__xludf.DUMMYFUNCTION("""COMPUTED_VALUE"""),FALSE)</f>
        <v>0</v>
      </c>
      <c r="D8" s="18" t="str">
        <f>IFERROR(__xludf.DUMMYFUNCTION("""COMPUTED_VALUE"""),"MyBookie.ag")</f>
        <v>MyBookie.ag</v>
      </c>
      <c r="E8" s="15">
        <f>IFERROR(__xludf.DUMMYFUNCTION("""COMPUTED_VALUE"""),45593.91346064815)</f>
        <v>45593.91346</v>
      </c>
      <c r="F8" s="14" t="str">
        <f>IFERROR(__xludf.DUMMYFUNCTION("""COMPUTED_VALUE"""),"Pittsburgh Steelers")</f>
        <v>Pittsburgh Steelers</v>
      </c>
      <c r="G8" s="14" t="str">
        <f>IFERROR(__xludf.DUMMYFUNCTION("""COMPUTED_VALUE"""),"New York Giants")</f>
        <v>New York Giants</v>
      </c>
      <c r="H8" s="14" t="str">
        <f>IFERROR(__xludf.DUMMYFUNCTION("""COMPUTED_VALUE"""),"totals")</f>
        <v>totals</v>
      </c>
      <c r="I8" s="14" t="str">
        <f>IFERROR(__xludf.DUMMYFUNCTION("""COMPUTED_VALUE"""),"Over")</f>
        <v>Over</v>
      </c>
      <c r="J8" s="14"/>
      <c r="K8" s="17">
        <f>IFERROR(__xludf.DUMMYFUNCTION("""COMPUTED_VALUE"""),-110.0)</f>
        <v>-110</v>
      </c>
      <c r="L8" s="17">
        <f>IFERROR(__xludf.DUMMYFUNCTION("""COMPUTED_VALUE"""),37.0)</f>
        <v>37</v>
      </c>
    </row>
    <row r="9">
      <c r="A9" s="14" t="str">
        <f>IFERROR(__xludf.DUMMYFUNCTION("""COMPUTED_VALUE"""),"86278ec4bbdcadd945d79df6c695c2ec")</f>
        <v>86278ec4bbdcadd945d79df6c695c2ec</v>
      </c>
      <c r="B9" s="15">
        <f>IFERROR(__xludf.DUMMYFUNCTION("""COMPUTED_VALUE"""),45594.01041666667)</f>
        <v>45594.01042</v>
      </c>
      <c r="C9" s="16" t="b">
        <f>IFERROR(__xludf.DUMMYFUNCTION("""COMPUTED_VALUE"""),FALSE)</f>
        <v>0</v>
      </c>
      <c r="D9" s="18" t="str">
        <f>IFERROR(__xludf.DUMMYFUNCTION("""COMPUTED_VALUE"""),"MyBookie.ag")</f>
        <v>MyBookie.ag</v>
      </c>
      <c r="E9" s="15">
        <f>IFERROR(__xludf.DUMMYFUNCTION("""COMPUTED_VALUE"""),45593.91346064815)</f>
        <v>45593.91346</v>
      </c>
      <c r="F9" s="14" t="str">
        <f>IFERROR(__xludf.DUMMYFUNCTION("""COMPUTED_VALUE"""),"Pittsburgh Steelers")</f>
        <v>Pittsburgh Steelers</v>
      </c>
      <c r="G9" s="14" t="str">
        <f>IFERROR(__xludf.DUMMYFUNCTION("""COMPUTED_VALUE"""),"New York Giants")</f>
        <v>New York Giants</v>
      </c>
      <c r="H9" s="14" t="str">
        <f>IFERROR(__xludf.DUMMYFUNCTION("""COMPUTED_VALUE"""),"totals")</f>
        <v>totals</v>
      </c>
      <c r="I9" s="14" t="str">
        <f>IFERROR(__xludf.DUMMYFUNCTION("""COMPUTED_VALUE"""),"Under")</f>
        <v>Under</v>
      </c>
      <c r="J9" s="14"/>
      <c r="K9" s="17">
        <f>IFERROR(__xludf.DUMMYFUNCTION("""COMPUTED_VALUE"""),-110.0)</f>
        <v>-110</v>
      </c>
      <c r="L9" s="17">
        <f>IFERROR(__xludf.DUMMYFUNCTION("""COMPUTED_VALUE"""),37.0)</f>
        <v>37</v>
      </c>
    </row>
    <row r="10">
      <c r="A10" s="14" t="str">
        <f>IFERROR(__xludf.DUMMYFUNCTION("""COMPUTED_VALUE"""),"86278ec4bbdcadd945d79df6c695c2ec")</f>
        <v>86278ec4bbdcadd945d79df6c695c2ec</v>
      </c>
      <c r="B10" s="15">
        <f>IFERROR(__xludf.DUMMYFUNCTION("""COMPUTED_VALUE"""),45594.01041666667)</f>
        <v>45594.01042</v>
      </c>
      <c r="C10" s="16" t="b">
        <f>IFERROR(__xludf.DUMMYFUNCTION("""COMPUTED_VALUE"""),FALSE)</f>
        <v>0</v>
      </c>
      <c r="D10" s="18" t="str">
        <f>IFERROR(__xludf.DUMMYFUNCTION("""COMPUTED_VALUE"""),"BetOnline.ag")</f>
        <v>BetOnline.ag</v>
      </c>
      <c r="E10" s="15">
        <f>IFERROR(__xludf.DUMMYFUNCTION("""COMPUTED_VALUE"""),45593.91604166667)</f>
        <v>45593.91604</v>
      </c>
      <c r="F10" s="14" t="str">
        <f>IFERROR(__xludf.DUMMYFUNCTION("""COMPUTED_VALUE"""),"Pittsburgh Steelers")</f>
        <v>Pittsburgh Steelers</v>
      </c>
      <c r="G10" s="14" t="str">
        <f>IFERROR(__xludf.DUMMYFUNCTION("""COMPUTED_VALUE"""),"New York Giants")</f>
        <v>New York Giants</v>
      </c>
      <c r="H10" s="14" t="str">
        <f>IFERROR(__xludf.DUMMYFUNCTION("""COMPUTED_VALUE"""),"totals")</f>
        <v>totals</v>
      </c>
      <c r="I10" s="14" t="str">
        <f>IFERROR(__xludf.DUMMYFUNCTION("""COMPUTED_VALUE"""),"Over")</f>
        <v>Over</v>
      </c>
      <c r="J10" s="14"/>
      <c r="K10" s="17">
        <f>IFERROR(__xludf.DUMMYFUNCTION("""COMPUTED_VALUE"""),-110.0)</f>
        <v>-110</v>
      </c>
      <c r="L10" s="17">
        <f>IFERROR(__xludf.DUMMYFUNCTION("""COMPUTED_VALUE"""),37.0)</f>
        <v>37</v>
      </c>
    </row>
    <row r="11">
      <c r="A11" s="14" t="str">
        <f>IFERROR(__xludf.DUMMYFUNCTION("""COMPUTED_VALUE"""),"86278ec4bbdcadd945d79df6c695c2ec")</f>
        <v>86278ec4bbdcadd945d79df6c695c2ec</v>
      </c>
      <c r="B11" s="15">
        <f>IFERROR(__xludf.DUMMYFUNCTION("""COMPUTED_VALUE"""),45594.01041666667)</f>
        <v>45594.01042</v>
      </c>
      <c r="C11" s="16" t="b">
        <f>IFERROR(__xludf.DUMMYFUNCTION("""COMPUTED_VALUE"""),FALSE)</f>
        <v>0</v>
      </c>
      <c r="D11" s="18" t="str">
        <f>IFERROR(__xludf.DUMMYFUNCTION("""COMPUTED_VALUE"""),"BetOnline.ag")</f>
        <v>BetOnline.ag</v>
      </c>
      <c r="E11" s="15">
        <f>IFERROR(__xludf.DUMMYFUNCTION("""COMPUTED_VALUE"""),45593.91604166667)</f>
        <v>45593.91604</v>
      </c>
      <c r="F11" s="14" t="str">
        <f>IFERROR(__xludf.DUMMYFUNCTION("""COMPUTED_VALUE"""),"Pittsburgh Steelers")</f>
        <v>Pittsburgh Steelers</v>
      </c>
      <c r="G11" s="14" t="str">
        <f>IFERROR(__xludf.DUMMYFUNCTION("""COMPUTED_VALUE"""),"New York Giants")</f>
        <v>New York Giants</v>
      </c>
      <c r="H11" s="14" t="str">
        <f>IFERROR(__xludf.DUMMYFUNCTION("""COMPUTED_VALUE"""),"totals")</f>
        <v>totals</v>
      </c>
      <c r="I11" s="14" t="str">
        <f>IFERROR(__xludf.DUMMYFUNCTION("""COMPUTED_VALUE"""),"Under")</f>
        <v>Under</v>
      </c>
      <c r="J11" s="14"/>
      <c r="K11" s="17">
        <f>IFERROR(__xludf.DUMMYFUNCTION("""COMPUTED_VALUE"""),-110.0)</f>
        <v>-110</v>
      </c>
      <c r="L11" s="17">
        <f>IFERROR(__xludf.DUMMYFUNCTION("""COMPUTED_VALUE"""),37.0)</f>
        <v>37</v>
      </c>
    </row>
    <row r="12">
      <c r="A12" s="14" t="str">
        <f>IFERROR(__xludf.DUMMYFUNCTION("""COMPUTED_VALUE"""),"86278ec4bbdcadd945d79df6c695c2ec")</f>
        <v>86278ec4bbdcadd945d79df6c695c2ec</v>
      </c>
      <c r="B12" s="15">
        <f>IFERROR(__xludf.DUMMYFUNCTION("""COMPUTED_VALUE"""),45594.01041666667)</f>
        <v>45594.01042</v>
      </c>
      <c r="C12" s="16" t="b">
        <f>IFERROR(__xludf.DUMMYFUNCTION("""COMPUTED_VALUE"""),FALSE)</f>
        <v>0</v>
      </c>
      <c r="D12" s="18" t="str">
        <f>IFERROR(__xludf.DUMMYFUNCTION("""COMPUTED_VALUE"""),"LowVig.ag")</f>
        <v>LowVig.ag</v>
      </c>
      <c r="E12" s="15">
        <f>IFERROR(__xludf.DUMMYFUNCTION("""COMPUTED_VALUE"""),45593.91604166667)</f>
        <v>45593.91604</v>
      </c>
      <c r="F12" s="14" t="str">
        <f>IFERROR(__xludf.DUMMYFUNCTION("""COMPUTED_VALUE"""),"Pittsburgh Steelers")</f>
        <v>Pittsburgh Steelers</v>
      </c>
      <c r="G12" s="14" t="str">
        <f>IFERROR(__xludf.DUMMYFUNCTION("""COMPUTED_VALUE"""),"New York Giants")</f>
        <v>New York Giants</v>
      </c>
      <c r="H12" s="14" t="str">
        <f>IFERROR(__xludf.DUMMYFUNCTION("""COMPUTED_VALUE"""),"totals")</f>
        <v>totals</v>
      </c>
      <c r="I12" s="14" t="str">
        <f>IFERROR(__xludf.DUMMYFUNCTION("""COMPUTED_VALUE"""),"Over")</f>
        <v>Over</v>
      </c>
      <c r="J12" s="14"/>
      <c r="K12" s="17">
        <f>IFERROR(__xludf.DUMMYFUNCTION("""COMPUTED_VALUE"""),-110.0)</f>
        <v>-110</v>
      </c>
      <c r="L12" s="17">
        <f>IFERROR(__xludf.DUMMYFUNCTION("""COMPUTED_VALUE"""),37.0)</f>
        <v>37</v>
      </c>
    </row>
    <row r="13">
      <c r="A13" s="14" t="str">
        <f>IFERROR(__xludf.DUMMYFUNCTION("""COMPUTED_VALUE"""),"86278ec4bbdcadd945d79df6c695c2ec")</f>
        <v>86278ec4bbdcadd945d79df6c695c2ec</v>
      </c>
      <c r="B13" s="15">
        <f>IFERROR(__xludf.DUMMYFUNCTION("""COMPUTED_VALUE"""),45594.01041666667)</f>
        <v>45594.01042</v>
      </c>
      <c r="C13" s="16" t="b">
        <f>IFERROR(__xludf.DUMMYFUNCTION("""COMPUTED_VALUE"""),FALSE)</f>
        <v>0</v>
      </c>
      <c r="D13" s="18" t="str">
        <f>IFERROR(__xludf.DUMMYFUNCTION("""COMPUTED_VALUE"""),"LowVig.ag")</f>
        <v>LowVig.ag</v>
      </c>
      <c r="E13" s="15">
        <f>IFERROR(__xludf.DUMMYFUNCTION("""COMPUTED_VALUE"""),45593.91604166667)</f>
        <v>45593.91604</v>
      </c>
      <c r="F13" s="14" t="str">
        <f>IFERROR(__xludf.DUMMYFUNCTION("""COMPUTED_VALUE"""),"Pittsburgh Steelers")</f>
        <v>Pittsburgh Steelers</v>
      </c>
      <c r="G13" s="14" t="str">
        <f>IFERROR(__xludf.DUMMYFUNCTION("""COMPUTED_VALUE"""),"New York Giants")</f>
        <v>New York Giants</v>
      </c>
      <c r="H13" s="14" t="str">
        <f>IFERROR(__xludf.DUMMYFUNCTION("""COMPUTED_VALUE"""),"totals")</f>
        <v>totals</v>
      </c>
      <c r="I13" s="14" t="str">
        <f>IFERROR(__xludf.DUMMYFUNCTION("""COMPUTED_VALUE"""),"Under")</f>
        <v>Under</v>
      </c>
      <c r="J13" s="14"/>
      <c r="K13" s="17">
        <f>IFERROR(__xludf.DUMMYFUNCTION("""COMPUTED_VALUE"""),-104.0)</f>
        <v>-104</v>
      </c>
      <c r="L13" s="17">
        <f>IFERROR(__xludf.DUMMYFUNCTION("""COMPUTED_VALUE"""),37.0)</f>
        <v>37</v>
      </c>
    </row>
    <row r="14">
      <c r="A14" s="14" t="str">
        <f>IFERROR(__xludf.DUMMYFUNCTION("""COMPUTED_VALUE"""),"86278ec4bbdcadd945d79df6c695c2ec")</f>
        <v>86278ec4bbdcadd945d79df6c695c2ec</v>
      </c>
      <c r="B14" s="15">
        <f>IFERROR(__xludf.DUMMYFUNCTION("""COMPUTED_VALUE"""),45594.01041666667)</f>
        <v>45594.01042</v>
      </c>
      <c r="C14" s="16" t="b">
        <f>IFERROR(__xludf.DUMMYFUNCTION("""COMPUTED_VALUE"""),FALSE)</f>
        <v>0</v>
      </c>
      <c r="D14" s="18" t="str">
        <f>IFERROR(__xludf.DUMMYFUNCTION("""COMPUTED_VALUE"""),"BetRivers")</f>
        <v>BetRivers</v>
      </c>
      <c r="E14" s="15">
        <f>IFERROR(__xludf.DUMMYFUNCTION("""COMPUTED_VALUE"""),45593.91564814815)</f>
        <v>45593.91565</v>
      </c>
      <c r="F14" s="14" t="str">
        <f>IFERROR(__xludf.DUMMYFUNCTION("""COMPUTED_VALUE"""),"Pittsburgh Steelers")</f>
        <v>Pittsburgh Steelers</v>
      </c>
      <c r="G14" s="14" t="str">
        <f>IFERROR(__xludf.DUMMYFUNCTION("""COMPUTED_VALUE"""),"New York Giants")</f>
        <v>New York Giants</v>
      </c>
      <c r="H14" s="14" t="str">
        <f>IFERROR(__xludf.DUMMYFUNCTION("""COMPUTED_VALUE"""),"totals")</f>
        <v>totals</v>
      </c>
      <c r="I14" s="14" t="str">
        <f>IFERROR(__xludf.DUMMYFUNCTION("""COMPUTED_VALUE"""),"Over")</f>
        <v>Over</v>
      </c>
      <c r="J14" s="14"/>
      <c r="K14" s="17">
        <f>IFERROR(__xludf.DUMMYFUNCTION("""COMPUTED_VALUE"""),-108.0)</f>
        <v>-108</v>
      </c>
      <c r="L14" s="17">
        <f>IFERROR(__xludf.DUMMYFUNCTION("""COMPUTED_VALUE"""),37.0)</f>
        <v>37</v>
      </c>
    </row>
    <row r="15">
      <c r="A15" s="14" t="str">
        <f>IFERROR(__xludf.DUMMYFUNCTION("""COMPUTED_VALUE"""),"86278ec4bbdcadd945d79df6c695c2ec")</f>
        <v>86278ec4bbdcadd945d79df6c695c2ec</v>
      </c>
      <c r="B15" s="15">
        <f>IFERROR(__xludf.DUMMYFUNCTION("""COMPUTED_VALUE"""),45594.01041666667)</f>
        <v>45594.01042</v>
      </c>
      <c r="C15" s="16" t="b">
        <f>IFERROR(__xludf.DUMMYFUNCTION("""COMPUTED_VALUE"""),FALSE)</f>
        <v>0</v>
      </c>
      <c r="D15" s="18" t="str">
        <f>IFERROR(__xludf.DUMMYFUNCTION("""COMPUTED_VALUE"""),"BetRivers")</f>
        <v>BetRivers</v>
      </c>
      <c r="E15" s="15">
        <f>IFERROR(__xludf.DUMMYFUNCTION("""COMPUTED_VALUE"""),45593.91564814815)</f>
        <v>45593.91565</v>
      </c>
      <c r="F15" s="14" t="str">
        <f>IFERROR(__xludf.DUMMYFUNCTION("""COMPUTED_VALUE"""),"Pittsburgh Steelers")</f>
        <v>Pittsburgh Steelers</v>
      </c>
      <c r="G15" s="14" t="str">
        <f>IFERROR(__xludf.DUMMYFUNCTION("""COMPUTED_VALUE"""),"New York Giants")</f>
        <v>New York Giants</v>
      </c>
      <c r="H15" s="14" t="str">
        <f>IFERROR(__xludf.DUMMYFUNCTION("""COMPUTED_VALUE"""),"totals")</f>
        <v>totals</v>
      </c>
      <c r="I15" s="14" t="str">
        <f>IFERROR(__xludf.DUMMYFUNCTION("""COMPUTED_VALUE"""),"Under")</f>
        <v>Under</v>
      </c>
      <c r="J15" s="14"/>
      <c r="K15" s="17">
        <f>IFERROR(__xludf.DUMMYFUNCTION("""COMPUTED_VALUE"""),-113.0)</f>
        <v>-113</v>
      </c>
      <c r="L15" s="17">
        <f>IFERROR(__xludf.DUMMYFUNCTION("""COMPUTED_VALUE"""),37.0)</f>
        <v>37</v>
      </c>
    </row>
    <row r="16">
      <c r="A16" s="14" t="str">
        <f>IFERROR(__xludf.DUMMYFUNCTION("""COMPUTED_VALUE"""),"86278ec4bbdcadd945d79df6c695c2ec")</f>
        <v>86278ec4bbdcadd945d79df6c695c2ec</v>
      </c>
      <c r="B16" s="15">
        <f>IFERROR(__xludf.DUMMYFUNCTION("""COMPUTED_VALUE"""),45594.01041666667)</f>
        <v>45594.01042</v>
      </c>
      <c r="C16" s="16" t="b">
        <f>IFERROR(__xludf.DUMMYFUNCTION("""COMPUTED_VALUE"""),FALSE)</f>
        <v>0</v>
      </c>
      <c r="D16" s="14" t="str">
        <f>IFERROR(__xludf.DUMMYFUNCTION("""COMPUTED_VALUE"""),"BetMGM")</f>
        <v>BetMGM</v>
      </c>
      <c r="E16" s="15">
        <f>IFERROR(__xludf.DUMMYFUNCTION("""COMPUTED_VALUE"""),45593.91604166667)</f>
        <v>45593.91604</v>
      </c>
      <c r="F16" s="14" t="str">
        <f>IFERROR(__xludf.DUMMYFUNCTION("""COMPUTED_VALUE"""),"Pittsburgh Steelers")</f>
        <v>Pittsburgh Steelers</v>
      </c>
      <c r="G16" s="14" t="str">
        <f>IFERROR(__xludf.DUMMYFUNCTION("""COMPUTED_VALUE"""),"New York Giants")</f>
        <v>New York Giants</v>
      </c>
      <c r="H16" s="14" t="str">
        <f>IFERROR(__xludf.DUMMYFUNCTION("""COMPUTED_VALUE"""),"totals")</f>
        <v>totals</v>
      </c>
      <c r="I16" s="14" t="str">
        <f>IFERROR(__xludf.DUMMYFUNCTION("""COMPUTED_VALUE"""),"Over")</f>
        <v>Over</v>
      </c>
      <c r="J16" s="14"/>
      <c r="K16" s="17">
        <f>IFERROR(__xludf.DUMMYFUNCTION("""COMPUTED_VALUE"""),-115.0)</f>
        <v>-115</v>
      </c>
      <c r="L16" s="17">
        <f>IFERROR(__xludf.DUMMYFUNCTION("""COMPUTED_VALUE"""),36.5)</f>
        <v>36.5</v>
      </c>
    </row>
    <row r="17">
      <c r="A17" s="14" t="str">
        <f>IFERROR(__xludf.DUMMYFUNCTION("""COMPUTED_VALUE"""),"86278ec4bbdcadd945d79df6c695c2ec")</f>
        <v>86278ec4bbdcadd945d79df6c695c2ec</v>
      </c>
      <c r="B17" s="15">
        <f>IFERROR(__xludf.DUMMYFUNCTION("""COMPUTED_VALUE"""),45594.01041666667)</f>
        <v>45594.01042</v>
      </c>
      <c r="C17" s="16" t="b">
        <f>IFERROR(__xludf.DUMMYFUNCTION("""COMPUTED_VALUE"""),FALSE)</f>
        <v>0</v>
      </c>
      <c r="D17" s="14" t="str">
        <f>IFERROR(__xludf.DUMMYFUNCTION("""COMPUTED_VALUE"""),"BetMGM")</f>
        <v>BetMGM</v>
      </c>
      <c r="E17" s="15">
        <f>IFERROR(__xludf.DUMMYFUNCTION("""COMPUTED_VALUE"""),45593.91604166667)</f>
        <v>45593.91604</v>
      </c>
      <c r="F17" s="14" t="str">
        <f>IFERROR(__xludf.DUMMYFUNCTION("""COMPUTED_VALUE"""),"Pittsburgh Steelers")</f>
        <v>Pittsburgh Steelers</v>
      </c>
      <c r="G17" s="14" t="str">
        <f>IFERROR(__xludf.DUMMYFUNCTION("""COMPUTED_VALUE"""),"New York Giants")</f>
        <v>New York Giants</v>
      </c>
      <c r="H17" s="14" t="str">
        <f>IFERROR(__xludf.DUMMYFUNCTION("""COMPUTED_VALUE"""),"totals")</f>
        <v>totals</v>
      </c>
      <c r="I17" s="14" t="str">
        <f>IFERROR(__xludf.DUMMYFUNCTION("""COMPUTED_VALUE"""),"Under")</f>
        <v>Under</v>
      </c>
      <c r="J17" s="14"/>
      <c r="K17" s="17">
        <f>IFERROR(__xludf.DUMMYFUNCTION("""COMPUTED_VALUE"""),-105.0)</f>
        <v>-105</v>
      </c>
      <c r="L17" s="17">
        <f>IFERROR(__xludf.DUMMYFUNCTION("""COMPUTED_VALUE"""),36.5)</f>
        <v>36.5</v>
      </c>
    </row>
    <row r="18">
      <c r="A18" s="14" t="str">
        <f>IFERROR(__xludf.DUMMYFUNCTION("""COMPUTED_VALUE"""),"86278ec4bbdcadd945d79df6c695c2ec")</f>
        <v>86278ec4bbdcadd945d79df6c695c2ec</v>
      </c>
      <c r="B18" s="15">
        <f>IFERROR(__xludf.DUMMYFUNCTION("""COMPUTED_VALUE"""),45594.01041666667)</f>
        <v>45594.01042</v>
      </c>
      <c r="C18" s="16" t="b">
        <f>IFERROR(__xludf.DUMMYFUNCTION("""COMPUTED_VALUE"""),FALSE)</f>
        <v>0</v>
      </c>
      <c r="D18" s="14" t="str">
        <f>IFERROR(__xludf.DUMMYFUNCTION("""COMPUTED_VALUE"""),"Bovada")</f>
        <v>Bovada</v>
      </c>
      <c r="E18" s="15">
        <f>IFERROR(__xludf.DUMMYFUNCTION("""COMPUTED_VALUE"""),45593.91564814815)</f>
        <v>45593.91565</v>
      </c>
      <c r="F18" s="14" t="str">
        <f>IFERROR(__xludf.DUMMYFUNCTION("""COMPUTED_VALUE"""),"Pittsburgh Steelers")</f>
        <v>Pittsburgh Steelers</v>
      </c>
      <c r="G18" s="14" t="str">
        <f>IFERROR(__xludf.DUMMYFUNCTION("""COMPUTED_VALUE"""),"New York Giants")</f>
        <v>New York Giants</v>
      </c>
      <c r="H18" s="14" t="str">
        <f>IFERROR(__xludf.DUMMYFUNCTION("""COMPUTED_VALUE"""),"totals")</f>
        <v>totals</v>
      </c>
      <c r="I18" s="14" t="str">
        <f>IFERROR(__xludf.DUMMYFUNCTION("""COMPUTED_VALUE"""),"Over")</f>
        <v>Over</v>
      </c>
      <c r="J18" s="14"/>
      <c r="K18" s="17">
        <f>IFERROR(__xludf.DUMMYFUNCTION("""COMPUTED_VALUE"""),-110.0)</f>
        <v>-110</v>
      </c>
      <c r="L18" s="17">
        <f>IFERROR(__xludf.DUMMYFUNCTION("""COMPUTED_VALUE"""),37.5)</f>
        <v>37.5</v>
      </c>
    </row>
    <row r="19">
      <c r="A19" s="14" t="str">
        <f>IFERROR(__xludf.DUMMYFUNCTION("""COMPUTED_VALUE"""),"86278ec4bbdcadd945d79df6c695c2ec")</f>
        <v>86278ec4bbdcadd945d79df6c695c2ec</v>
      </c>
      <c r="B19" s="15">
        <f>IFERROR(__xludf.DUMMYFUNCTION("""COMPUTED_VALUE"""),45594.01041666667)</f>
        <v>45594.01042</v>
      </c>
      <c r="C19" s="16" t="b">
        <f>IFERROR(__xludf.DUMMYFUNCTION("""COMPUTED_VALUE"""),FALSE)</f>
        <v>0</v>
      </c>
      <c r="D19" s="14" t="str">
        <f>IFERROR(__xludf.DUMMYFUNCTION("""COMPUTED_VALUE"""),"Bovada")</f>
        <v>Bovada</v>
      </c>
      <c r="E19" s="15">
        <f>IFERROR(__xludf.DUMMYFUNCTION("""COMPUTED_VALUE"""),45593.91564814815)</f>
        <v>45593.91565</v>
      </c>
      <c r="F19" s="14" t="str">
        <f>IFERROR(__xludf.DUMMYFUNCTION("""COMPUTED_VALUE"""),"Pittsburgh Steelers")</f>
        <v>Pittsburgh Steelers</v>
      </c>
      <c r="G19" s="14" t="str">
        <f>IFERROR(__xludf.DUMMYFUNCTION("""COMPUTED_VALUE"""),"New York Giants")</f>
        <v>New York Giants</v>
      </c>
      <c r="H19" s="14" t="str">
        <f>IFERROR(__xludf.DUMMYFUNCTION("""COMPUTED_VALUE"""),"totals")</f>
        <v>totals</v>
      </c>
      <c r="I19" s="14" t="str">
        <f>IFERROR(__xludf.DUMMYFUNCTION("""COMPUTED_VALUE"""),"Under")</f>
        <v>Under</v>
      </c>
      <c r="J19" s="14"/>
      <c r="K19" s="17">
        <f>IFERROR(__xludf.DUMMYFUNCTION("""COMPUTED_VALUE"""),-110.0)</f>
        <v>-110</v>
      </c>
      <c r="L19" s="17">
        <f>IFERROR(__xludf.DUMMYFUNCTION("""COMPUTED_VALUE"""),37.5)</f>
        <v>37.5</v>
      </c>
    </row>
    <row r="20">
      <c r="A20" s="14"/>
      <c r="B20" s="15"/>
      <c r="C20" s="16"/>
      <c r="D20" s="14"/>
      <c r="E20" s="15"/>
      <c r="F20" s="14"/>
      <c r="G20" s="14"/>
      <c r="H20" s="14"/>
      <c r="I20" s="14"/>
      <c r="J20" s="14"/>
      <c r="K20" s="17"/>
      <c r="L20" s="17"/>
    </row>
    <row r="21">
      <c r="A21" s="14"/>
      <c r="B21" s="15"/>
      <c r="C21" s="16"/>
      <c r="D21" s="14"/>
      <c r="E21" s="15"/>
      <c r="F21" s="14"/>
      <c r="G21" s="14"/>
      <c r="H21" s="14"/>
      <c r="I21" s="14"/>
      <c r="J21" s="14"/>
      <c r="K21" s="17"/>
      <c r="L21" s="17"/>
    </row>
    <row r="22">
      <c r="A22" s="14"/>
      <c r="B22" s="15"/>
      <c r="C22" s="16"/>
      <c r="D22" s="18"/>
      <c r="E22" s="15"/>
      <c r="F22" s="14"/>
      <c r="G22" s="14"/>
      <c r="H22" s="14"/>
      <c r="I22" s="14"/>
      <c r="J22" s="14"/>
      <c r="K22" s="17"/>
      <c r="L22" s="17"/>
    </row>
    <row r="23">
      <c r="A23" s="14"/>
      <c r="B23" s="15"/>
      <c r="C23" s="16"/>
      <c r="D23" s="18"/>
      <c r="E23" s="15"/>
      <c r="F23" s="14"/>
      <c r="G23" s="14"/>
      <c r="H23" s="14"/>
      <c r="I23" s="14"/>
      <c r="J23" s="14"/>
      <c r="K23" s="17"/>
      <c r="L23" s="17"/>
    </row>
    <row r="24">
      <c r="A24" s="14"/>
      <c r="B24" s="15"/>
      <c r="C24" s="16"/>
      <c r="D24" s="18"/>
      <c r="E24" s="15"/>
      <c r="F24" s="14"/>
      <c r="G24" s="14"/>
      <c r="H24" s="14"/>
      <c r="I24" s="14"/>
      <c r="J24" s="14"/>
      <c r="K24" s="17"/>
      <c r="L24" s="17"/>
    </row>
    <row r="25">
      <c r="A25" s="14"/>
      <c r="B25" s="15"/>
      <c r="C25" s="16"/>
      <c r="D25" s="18"/>
      <c r="E25" s="15"/>
      <c r="F25" s="14"/>
      <c r="G25" s="14"/>
      <c r="H25" s="14"/>
      <c r="I25" s="14"/>
      <c r="J25" s="14"/>
      <c r="K25" s="17"/>
      <c r="L25" s="17"/>
    </row>
    <row r="26">
      <c r="A26" s="14"/>
      <c r="B26" s="15"/>
      <c r="C26" s="16"/>
      <c r="D26" s="14"/>
      <c r="E26" s="15"/>
      <c r="F26" s="14"/>
      <c r="G26" s="14"/>
      <c r="H26" s="14"/>
      <c r="I26" s="14"/>
      <c r="J26" s="14"/>
      <c r="K26" s="17"/>
      <c r="L26" s="17"/>
    </row>
    <row r="27">
      <c r="A27" s="14"/>
      <c r="B27" s="15"/>
      <c r="C27" s="16"/>
      <c r="D27" s="14"/>
      <c r="E27" s="15"/>
      <c r="F27" s="14"/>
      <c r="G27" s="14"/>
      <c r="H27" s="14"/>
      <c r="I27" s="14"/>
      <c r="J27" s="14"/>
      <c r="K27" s="17"/>
      <c r="L27" s="17"/>
    </row>
    <row r="28">
      <c r="A28" s="14"/>
      <c r="B28" s="15"/>
      <c r="C28" s="16"/>
      <c r="D28" s="18"/>
      <c r="E28" s="15"/>
      <c r="F28" s="14"/>
      <c r="G28" s="14"/>
      <c r="H28" s="14"/>
      <c r="I28" s="14"/>
      <c r="J28" s="14"/>
      <c r="K28" s="17"/>
      <c r="L28" s="17"/>
    </row>
    <row r="29">
      <c r="A29" s="14"/>
      <c r="B29" s="15"/>
      <c r="C29" s="16"/>
      <c r="D29" s="18"/>
      <c r="E29" s="15"/>
      <c r="F29" s="14"/>
      <c r="G29" s="14"/>
      <c r="H29" s="14"/>
      <c r="I29" s="14"/>
      <c r="J29" s="14"/>
      <c r="K29" s="17"/>
      <c r="L29" s="17"/>
    </row>
    <row r="30">
      <c r="A30" s="14"/>
      <c r="B30" s="15"/>
      <c r="C30" s="16"/>
      <c r="D30" s="14"/>
      <c r="E30" s="15"/>
      <c r="F30" s="14"/>
      <c r="G30" s="14"/>
      <c r="H30" s="14"/>
      <c r="I30" s="14"/>
      <c r="J30" s="14"/>
      <c r="K30" s="17"/>
      <c r="L30" s="17"/>
    </row>
    <row r="31">
      <c r="A31" s="14"/>
      <c r="B31" s="15"/>
      <c r="C31" s="16"/>
      <c r="D31" s="14"/>
      <c r="E31" s="15"/>
      <c r="F31" s="14"/>
      <c r="G31" s="14"/>
      <c r="H31" s="14"/>
      <c r="I31" s="14"/>
      <c r="J31" s="14"/>
      <c r="K31" s="17"/>
      <c r="L31" s="17"/>
    </row>
    <row r="32">
      <c r="A32" s="14"/>
      <c r="B32" s="15"/>
      <c r="C32" s="16"/>
      <c r="D32" s="14"/>
      <c r="E32" s="15"/>
      <c r="F32" s="14"/>
      <c r="G32" s="14"/>
      <c r="H32" s="14"/>
      <c r="I32" s="14"/>
      <c r="J32" s="14"/>
      <c r="K32" s="17"/>
      <c r="L32" s="17"/>
    </row>
    <row r="33">
      <c r="A33" s="14"/>
      <c r="B33" s="15"/>
      <c r="C33" s="16"/>
      <c r="D33" s="14"/>
      <c r="E33" s="15"/>
      <c r="F33" s="14"/>
      <c r="G33" s="14"/>
      <c r="H33" s="14"/>
      <c r="I33" s="14"/>
      <c r="J33" s="14"/>
      <c r="K33" s="17"/>
      <c r="L33" s="17"/>
    </row>
    <row r="34">
      <c r="A34" s="14"/>
      <c r="B34" s="15"/>
      <c r="C34" s="16"/>
      <c r="D34" s="14"/>
      <c r="E34" s="15"/>
      <c r="F34" s="14"/>
      <c r="G34" s="14"/>
      <c r="H34" s="14"/>
      <c r="I34" s="14"/>
      <c r="J34" s="14"/>
      <c r="K34" s="17"/>
      <c r="L34" s="17"/>
    </row>
    <row r="35">
      <c r="A35" s="14"/>
      <c r="B35" s="15"/>
      <c r="C35" s="16"/>
      <c r="D35" s="14"/>
      <c r="E35" s="15"/>
      <c r="F35" s="14"/>
      <c r="G35" s="14"/>
      <c r="H35" s="14"/>
      <c r="I35" s="14"/>
      <c r="J35" s="14"/>
      <c r="K35" s="17"/>
      <c r="L35" s="17"/>
    </row>
    <row r="36">
      <c r="A36" s="14"/>
      <c r="B36" s="15"/>
      <c r="C36" s="16"/>
      <c r="D36" s="18"/>
      <c r="E36" s="15"/>
      <c r="F36" s="14"/>
      <c r="G36" s="14"/>
      <c r="H36" s="14"/>
      <c r="I36" s="14"/>
      <c r="J36" s="14"/>
      <c r="K36" s="17"/>
      <c r="L36" s="17"/>
    </row>
    <row r="37">
      <c r="A37" s="14"/>
      <c r="B37" s="15"/>
      <c r="C37" s="16"/>
      <c r="D37" s="18"/>
      <c r="E37" s="15"/>
      <c r="F37" s="14"/>
      <c r="G37" s="14"/>
      <c r="H37" s="14"/>
      <c r="I37" s="14"/>
      <c r="J37" s="14"/>
      <c r="K37" s="17"/>
      <c r="L37" s="17"/>
    </row>
    <row r="38">
      <c r="A38" s="14"/>
      <c r="B38" s="15"/>
      <c r="C38" s="16"/>
      <c r="D38" s="18"/>
      <c r="E38" s="15"/>
      <c r="F38" s="14"/>
      <c r="G38" s="14"/>
      <c r="H38" s="14"/>
      <c r="I38" s="14"/>
      <c r="J38" s="14"/>
      <c r="K38" s="17"/>
      <c r="L38" s="17"/>
    </row>
    <row r="39">
      <c r="A39" s="14"/>
      <c r="B39" s="15"/>
      <c r="C39" s="16"/>
      <c r="D39" s="18"/>
      <c r="E39" s="15"/>
      <c r="F39" s="14"/>
      <c r="G39" s="14"/>
      <c r="H39" s="14"/>
      <c r="I39" s="14"/>
      <c r="J39" s="14"/>
      <c r="K39" s="17"/>
      <c r="L39" s="17"/>
    </row>
    <row r="40">
      <c r="A40" s="14"/>
      <c r="B40" s="15"/>
      <c r="C40" s="16"/>
      <c r="D40" s="14"/>
      <c r="E40" s="15"/>
      <c r="F40" s="14"/>
      <c r="G40" s="14"/>
      <c r="H40" s="14"/>
      <c r="I40" s="14"/>
      <c r="J40" s="14"/>
      <c r="K40" s="17"/>
      <c r="L40" s="17"/>
    </row>
    <row r="41">
      <c r="A41" s="14"/>
      <c r="B41" s="15"/>
      <c r="C41" s="16"/>
      <c r="D41" s="14"/>
      <c r="E41" s="15"/>
      <c r="F41" s="14"/>
      <c r="G41" s="14"/>
      <c r="H41" s="14"/>
      <c r="I41" s="14"/>
      <c r="J41" s="14"/>
      <c r="K41" s="17"/>
      <c r="L41" s="17"/>
    </row>
    <row r="42">
      <c r="A42" s="14"/>
      <c r="B42" s="15"/>
      <c r="C42" s="16"/>
      <c r="D42" s="14"/>
      <c r="E42" s="15"/>
      <c r="F42" s="14"/>
      <c r="G42" s="14"/>
      <c r="H42" s="14"/>
      <c r="I42" s="14"/>
      <c r="J42" s="14"/>
      <c r="K42" s="17"/>
      <c r="L42" s="17"/>
    </row>
    <row r="43">
      <c r="A43" s="14"/>
      <c r="B43" s="15"/>
      <c r="C43" s="16"/>
      <c r="D43" s="14"/>
      <c r="E43" s="15"/>
      <c r="F43" s="14"/>
      <c r="G43" s="14"/>
      <c r="H43" s="14"/>
      <c r="I43" s="14"/>
      <c r="J43" s="14"/>
      <c r="K43" s="17"/>
      <c r="L43" s="17"/>
    </row>
    <row r="44">
      <c r="A44" s="14"/>
      <c r="B44" s="15"/>
      <c r="C44" s="16"/>
      <c r="D44" s="14"/>
      <c r="E44" s="15"/>
      <c r="F44" s="14"/>
      <c r="G44" s="14"/>
      <c r="H44" s="14"/>
      <c r="I44" s="14"/>
      <c r="J44" s="14"/>
      <c r="K44" s="17"/>
      <c r="L44" s="17"/>
    </row>
    <row r="45">
      <c r="A45" s="14"/>
      <c r="B45" s="15"/>
      <c r="C45" s="16"/>
      <c r="D45" s="14"/>
      <c r="E45" s="15"/>
      <c r="F45" s="14"/>
      <c r="G45" s="14"/>
      <c r="H45" s="14"/>
      <c r="I45" s="14"/>
      <c r="J45" s="14"/>
      <c r="K45" s="17"/>
      <c r="L45" s="17"/>
    </row>
    <row r="46">
      <c r="A46" s="14"/>
      <c r="B46" s="15"/>
      <c r="C46" s="16"/>
      <c r="D46" s="14"/>
      <c r="E46" s="15"/>
      <c r="F46" s="14"/>
      <c r="G46" s="14"/>
      <c r="H46" s="14"/>
      <c r="I46" s="14"/>
      <c r="J46" s="14"/>
      <c r="K46" s="17"/>
      <c r="L46" s="17"/>
    </row>
    <row r="47">
      <c r="A47" s="14"/>
      <c r="B47" s="15"/>
      <c r="C47" s="16"/>
      <c r="D47" s="14"/>
      <c r="E47" s="15"/>
      <c r="F47" s="14"/>
      <c r="G47" s="14"/>
      <c r="H47" s="14"/>
      <c r="I47" s="14"/>
      <c r="J47" s="14"/>
      <c r="K47" s="17"/>
      <c r="L47" s="17"/>
    </row>
    <row r="48">
      <c r="A48" s="14"/>
      <c r="B48" s="15"/>
      <c r="C48" s="16"/>
      <c r="D48" s="18"/>
      <c r="E48" s="15"/>
      <c r="F48" s="14"/>
      <c r="G48" s="14"/>
      <c r="H48" s="14"/>
      <c r="I48" s="14"/>
      <c r="J48" s="14"/>
      <c r="K48" s="17"/>
      <c r="L48" s="17"/>
    </row>
    <row r="49">
      <c r="A49" s="14"/>
      <c r="B49" s="15"/>
      <c r="C49" s="16"/>
      <c r="D49" s="18"/>
      <c r="E49" s="15"/>
      <c r="F49" s="14"/>
      <c r="G49" s="14"/>
      <c r="H49" s="14"/>
      <c r="I49" s="14"/>
      <c r="J49" s="14"/>
      <c r="K49" s="17"/>
      <c r="L49" s="17"/>
    </row>
    <row r="50">
      <c r="A50" s="14"/>
      <c r="B50" s="15"/>
      <c r="C50" s="16"/>
      <c r="D50" s="18"/>
      <c r="E50" s="15"/>
      <c r="F50" s="14"/>
      <c r="G50" s="14"/>
      <c r="H50" s="14"/>
      <c r="I50" s="14"/>
      <c r="J50" s="14"/>
      <c r="K50" s="17"/>
      <c r="L50" s="17"/>
    </row>
    <row r="51">
      <c r="A51" s="14"/>
      <c r="B51" s="15"/>
      <c r="C51" s="16"/>
      <c r="D51" s="18"/>
      <c r="E51" s="15"/>
      <c r="F51" s="14"/>
      <c r="G51" s="14"/>
      <c r="H51" s="14"/>
      <c r="I51" s="14"/>
      <c r="J51" s="14"/>
      <c r="K51" s="17"/>
      <c r="L51" s="17"/>
    </row>
    <row r="52">
      <c r="A52" s="14"/>
      <c r="B52" s="15"/>
      <c r="C52" s="16"/>
      <c r="D52" s="14"/>
      <c r="E52" s="15"/>
      <c r="F52" s="14"/>
      <c r="G52" s="14"/>
      <c r="H52" s="14"/>
      <c r="I52" s="14"/>
      <c r="J52" s="14"/>
      <c r="K52" s="17"/>
      <c r="L52" s="17"/>
    </row>
    <row r="53">
      <c r="A53" s="14"/>
      <c r="B53" s="15"/>
      <c r="C53" s="16"/>
      <c r="D53" s="14"/>
      <c r="E53" s="15"/>
      <c r="F53" s="14"/>
      <c r="G53" s="14"/>
      <c r="H53" s="14"/>
      <c r="I53" s="14"/>
      <c r="J53" s="14"/>
      <c r="K53" s="17"/>
      <c r="L53" s="17"/>
    </row>
    <row r="54">
      <c r="A54" s="14"/>
      <c r="B54" s="15"/>
      <c r="C54" s="16"/>
      <c r="D54" s="18"/>
      <c r="E54" s="15"/>
      <c r="F54" s="14"/>
      <c r="G54" s="14"/>
      <c r="H54" s="14"/>
      <c r="I54" s="14"/>
      <c r="J54" s="14"/>
      <c r="K54" s="17"/>
      <c r="L54" s="17"/>
    </row>
    <row r="55">
      <c r="A55" s="14"/>
      <c r="B55" s="15"/>
      <c r="C55" s="16"/>
      <c r="D55" s="18"/>
      <c r="E55" s="15"/>
      <c r="F55" s="14"/>
      <c r="G55" s="14"/>
      <c r="H55" s="14"/>
      <c r="I55" s="14"/>
      <c r="J55" s="14"/>
      <c r="K55" s="17"/>
      <c r="L55" s="17"/>
    </row>
    <row r="56">
      <c r="A56" s="14"/>
      <c r="B56" s="15"/>
      <c r="C56" s="16"/>
      <c r="D56" s="18"/>
      <c r="E56" s="15"/>
      <c r="F56" s="14"/>
      <c r="G56" s="14"/>
      <c r="H56" s="14"/>
      <c r="I56" s="14"/>
      <c r="J56" s="14"/>
      <c r="K56" s="17"/>
      <c r="L56" s="17"/>
    </row>
    <row r="57">
      <c r="A57" s="14"/>
      <c r="B57" s="15"/>
      <c r="C57" s="16"/>
      <c r="D57" s="18"/>
      <c r="E57" s="15"/>
      <c r="F57" s="14"/>
      <c r="G57" s="14"/>
      <c r="H57" s="14"/>
      <c r="I57" s="14"/>
      <c r="J57" s="14"/>
      <c r="K57" s="17"/>
      <c r="L57" s="17"/>
    </row>
    <row r="58">
      <c r="A58" s="14"/>
      <c r="B58" s="15"/>
      <c r="C58" s="16"/>
      <c r="D58" s="14"/>
      <c r="E58" s="15"/>
      <c r="F58" s="14"/>
      <c r="G58" s="14"/>
      <c r="H58" s="14"/>
      <c r="I58" s="14"/>
      <c r="J58" s="14"/>
      <c r="K58" s="17"/>
      <c r="L58" s="17"/>
    </row>
    <row r="59">
      <c r="A59" s="14"/>
      <c r="B59" s="15"/>
      <c r="C59" s="16"/>
      <c r="D59" s="14"/>
      <c r="E59" s="15"/>
      <c r="F59" s="14"/>
      <c r="G59" s="14"/>
      <c r="H59" s="14"/>
      <c r="I59" s="14"/>
      <c r="J59" s="14"/>
      <c r="K59" s="17"/>
      <c r="L59" s="17"/>
    </row>
    <row r="60">
      <c r="A60" s="14"/>
      <c r="B60" s="15"/>
      <c r="C60" s="16"/>
      <c r="D60" s="14"/>
      <c r="E60" s="15"/>
      <c r="F60" s="14"/>
      <c r="G60" s="14"/>
      <c r="H60" s="14"/>
      <c r="I60" s="14"/>
      <c r="J60" s="14"/>
      <c r="K60" s="17"/>
      <c r="L60" s="17"/>
    </row>
    <row r="61">
      <c r="A61" s="14"/>
      <c r="B61" s="15"/>
      <c r="C61" s="16"/>
      <c r="D61" s="14"/>
      <c r="E61" s="15"/>
      <c r="F61" s="14"/>
      <c r="G61" s="14"/>
      <c r="H61" s="14"/>
      <c r="I61" s="14"/>
      <c r="J61" s="14"/>
      <c r="K61" s="17"/>
      <c r="L61" s="17"/>
    </row>
    <row r="62">
      <c r="A62" s="14"/>
      <c r="B62" s="15"/>
      <c r="C62" s="16"/>
      <c r="D62" s="14"/>
      <c r="E62" s="15"/>
      <c r="F62" s="14"/>
      <c r="G62" s="14"/>
      <c r="H62" s="14"/>
      <c r="I62" s="14"/>
      <c r="J62" s="14"/>
      <c r="K62" s="17"/>
      <c r="L62" s="17"/>
    </row>
    <row r="63">
      <c r="A63" s="14"/>
      <c r="B63" s="15"/>
      <c r="C63" s="16"/>
      <c r="D63" s="14"/>
      <c r="E63" s="15"/>
      <c r="F63" s="14"/>
      <c r="G63" s="14"/>
      <c r="H63" s="14"/>
      <c r="I63" s="14"/>
      <c r="J63" s="14"/>
      <c r="K63" s="17"/>
      <c r="L63" s="17"/>
    </row>
    <row r="64">
      <c r="A64" s="14"/>
      <c r="B64" s="15"/>
      <c r="C64" s="16"/>
      <c r="D64" s="14"/>
      <c r="E64" s="15"/>
      <c r="F64" s="14"/>
      <c r="G64" s="14"/>
      <c r="H64" s="14"/>
      <c r="I64" s="14"/>
      <c r="J64" s="14"/>
      <c r="K64" s="17"/>
      <c r="L64" s="17"/>
    </row>
    <row r="65">
      <c r="A65" s="14"/>
      <c r="B65" s="15"/>
      <c r="C65" s="16"/>
      <c r="D65" s="14"/>
      <c r="E65" s="15"/>
      <c r="F65" s="14"/>
      <c r="G65" s="14"/>
      <c r="H65" s="14"/>
      <c r="I65" s="14"/>
      <c r="J65" s="14"/>
      <c r="K65" s="17"/>
      <c r="L65" s="17"/>
    </row>
    <row r="66">
      <c r="A66" s="14"/>
      <c r="B66" s="15"/>
      <c r="C66" s="16"/>
      <c r="D66" s="18"/>
      <c r="E66" s="15"/>
      <c r="F66" s="14"/>
      <c r="G66" s="14"/>
      <c r="H66" s="14"/>
      <c r="I66" s="14"/>
      <c r="J66" s="14"/>
      <c r="K66" s="17"/>
      <c r="L66" s="17"/>
    </row>
    <row r="67">
      <c r="A67" s="14"/>
      <c r="B67" s="15"/>
      <c r="C67" s="16"/>
      <c r="D67" s="18"/>
      <c r="E67" s="15"/>
      <c r="F67" s="14"/>
      <c r="G67" s="14"/>
      <c r="H67" s="14"/>
      <c r="I67" s="14"/>
      <c r="J67" s="14"/>
      <c r="K67" s="17"/>
      <c r="L67" s="17"/>
    </row>
    <row r="68">
      <c r="A68" s="14"/>
      <c r="B68" s="15"/>
      <c r="C68" s="16"/>
      <c r="D68" s="18"/>
      <c r="E68" s="15"/>
      <c r="F68" s="14"/>
      <c r="G68" s="14"/>
      <c r="H68" s="14"/>
      <c r="I68" s="14"/>
      <c r="J68" s="14"/>
      <c r="K68" s="17"/>
      <c r="L68" s="17"/>
    </row>
    <row r="69">
      <c r="A69" s="14"/>
      <c r="B69" s="15"/>
      <c r="C69" s="16"/>
      <c r="D69" s="18"/>
      <c r="E69" s="15"/>
      <c r="F69" s="14"/>
      <c r="G69" s="14"/>
      <c r="H69" s="14"/>
      <c r="I69" s="14"/>
      <c r="J69" s="14"/>
      <c r="K69" s="17"/>
      <c r="L69" s="17"/>
    </row>
    <row r="70">
      <c r="A70" s="14"/>
      <c r="B70" s="15"/>
      <c r="C70" s="16"/>
      <c r="D70" s="14"/>
      <c r="E70" s="15"/>
      <c r="F70" s="14"/>
      <c r="G70" s="14"/>
      <c r="H70" s="14"/>
      <c r="I70" s="14"/>
      <c r="J70" s="14"/>
      <c r="K70" s="17"/>
      <c r="L70" s="17"/>
    </row>
    <row r="71">
      <c r="A71" s="14"/>
      <c r="B71" s="15"/>
      <c r="C71" s="16"/>
      <c r="D71" s="14"/>
      <c r="E71" s="15"/>
      <c r="F71" s="14"/>
      <c r="G71" s="14"/>
      <c r="H71" s="14"/>
      <c r="I71" s="14"/>
      <c r="J71" s="14"/>
      <c r="K71" s="17"/>
      <c r="L71" s="17"/>
    </row>
    <row r="72">
      <c r="A72" s="14"/>
      <c r="B72" s="15"/>
      <c r="C72" s="16"/>
      <c r="D72" s="14"/>
      <c r="E72" s="15"/>
      <c r="F72" s="14"/>
      <c r="G72" s="14"/>
      <c r="H72" s="14"/>
      <c r="I72" s="14"/>
      <c r="J72" s="14"/>
      <c r="K72" s="17"/>
      <c r="L72" s="17"/>
    </row>
    <row r="73">
      <c r="A73" s="14"/>
      <c r="B73" s="15"/>
      <c r="C73" s="16"/>
      <c r="D73" s="14"/>
      <c r="E73" s="15"/>
      <c r="F73" s="14"/>
      <c r="G73" s="14"/>
      <c r="H73" s="14"/>
      <c r="I73" s="14"/>
      <c r="J73" s="14"/>
      <c r="K73" s="17"/>
      <c r="L73" s="17"/>
    </row>
    <row r="74">
      <c r="A74" s="14"/>
      <c r="B74" s="15"/>
      <c r="C74" s="16"/>
      <c r="D74" s="18"/>
      <c r="E74" s="15"/>
      <c r="F74" s="14"/>
      <c r="G74" s="14"/>
      <c r="H74" s="14"/>
      <c r="I74" s="14"/>
      <c r="J74" s="14"/>
      <c r="K74" s="17"/>
      <c r="L74" s="17"/>
    </row>
    <row r="75">
      <c r="A75" s="14"/>
      <c r="B75" s="15"/>
      <c r="C75" s="16"/>
      <c r="D75" s="18"/>
      <c r="E75" s="15"/>
      <c r="F75" s="14"/>
      <c r="G75" s="14"/>
      <c r="H75" s="14"/>
      <c r="I75" s="14"/>
      <c r="J75" s="14"/>
      <c r="K75" s="17"/>
      <c r="L75" s="17"/>
    </row>
    <row r="76">
      <c r="A76" s="14"/>
      <c r="B76" s="15"/>
      <c r="C76" s="16"/>
      <c r="D76" s="18"/>
      <c r="E76" s="15"/>
      <c r="F76" s="14"/>
      <c r="G76" s="14"/>
      <c r="H76" s="14"/>
      <c r="I76" s="14"/>
      <c r="J76" s="14"/>
      <c r="K76" s="17"/>
      <c r="L76" s="17"/>
    </row>
    <row r="77">
      <c r="A77" s="14"/>
      <c r="B77" s="15"/>
      <c r="C77" s="16"/>
      <c r="D77" s="18"/>
      <c r="E77" s="15"/>
      <c r="F77" s="14"/>
      <c r="G77" s="14"/>
      <c r="H77" s="14"/>
      <c r="I77" s="14"/>
      <c r="J77" s="14"/>
      <c r="K77" s="17"/>
      <c r="L77" s="17"/>
    </row>
    <row r="78">
      <c r="A78" s="14"/>
      <c r="B78" s="15"/>
      <c r="C78" s="16"/>
      <c r="D78" s="14"/>
      <c r="E78" s="15"/>
      <c r="F78" s="14"/>
      <c r="G78" s="14"/>
      <c r="H78" s="14"/>
      <c r="I78" s="14"/>
      <c r="J78" s="14"/>
      <c r="K78" s="17"/>
      <c r="L78" s="17"/>
    </row>
    <row r="79">
      <c r="A79" s="14"/>
      <c r="B79" s="15"/>
      <c r="C79" s="16"/>
      <c r="D79" s="14"/>
      <c r="E79" s="15"/>
      <c r="F79" s="14"/>
      <c r="G79" s="14"/>
      <c r="H79" s="14"/>
      <c r="I79" s="14"/>
      <c r="J79" s="14"/>
      <c r="K79" s="17"/>
      <c r="L79" s="17"/>
    </row>
    <row r="80">
      <c r="A80" s="14"/>
      <c r="B80" s="15"/>
      <c r="C80" s="16"/>
      <c r="D80" s="14"/>
      <c r="E80" s="15"/>
      <c r="F80" s="14"/>
      <c r="G80" s="14"/>
      <c r="H80" s="14"/>
      <c r="I80" s="14"/>
      <c r="J80" s="14"/>
      <c r="K80" s="17"/>
      <c r="L80" s="17"/>
    </row>
    <row r="81">
      <c r="A81" s="14"/>
      <c r="B81" s="15"/>
      <c r="C81" s="16"/>
      <c r="D81" s="14"/>
      <c r="E81" s="15"/>
      <c r="F81" s="14"/>
      <c r="G81" s="14"/>
      <c r="H81" s="14"/>
      <c r="I81" s="14"/>
      <c r="J81" s="14"/>
      <c r="K81" s="17"/>
      <c r="L81" s="17"/>
    </row>
    <row r="82">
      <c r="A82" s="14"/>
      <c r="B82" s="15"/>
      <c r="C82" s="16"/>
      <c r="D82" s="18"/>
      <c r="E82" s="15"/>
      <c r="F82" s="14"/>
      <c r="G82" s="14"/>
      <c r="H82" s="14"/>
      <c r="I82" s="14"/>
      <c r="J82" s="14"/>
      <c r="K82" s="17"/>
      <c r="L82" s="17"/>
    </row>
    <row r="83">
      <c r="A83" s="14"/>
      <c r="B83" s="15"/>
      <c r="C83" s="16"/>
      <c r="D83" s="18"/>
      <c r="E83" s="15"/>
      <c r="F83" s="14"/>
      <c r="G83" s="14"/>
      <c r="H83" s="14"/>
      <c r="I83" s="14"/>
      <c r="J83" s="14"/>
      <c r="K83" s="17"/>
      <c r="L83" s="17"/>
    </row>
    <row r="84">
      <c r="A84" s="14"/>
      <c r="B84" s="15"/>
      <c r="C84" s="16"/>
      <c r="D84" s="18"/>
      <c r="E84" s="15"/>
      <c r="F84" s="14"/>
      <c r="G84" s="14"/>
      <c r="H84" s="14"/>
      <c r="I84" s="14"/>
      <c r="J84" s="14"/>
      <c r="K84" s="17"/>
      <c r="L84" s="17"/>
    </row>
    <row r="85">
      <c r="A85" s="14"/>
      <c r="B85" s="15"/>
      <c r="C85" s="16"/>
      <c r="D85" s="18"/>
      <c r="E85" s="15"/>
      <c r="F85" s="14"/>
      <c r="G85" s="14"/>
      <c r="H85" s="14"/>
      <c r="I85" s="14"/>
      <c r="J85" s="14"/>
      <c r="K85" s="17"/>
      <c r="L85" s="17"/>
    </row>
    <row r="86">
      <c r="A86" s="14"/>
      <c r="B86" s="15"/>
      <c r="C86" s="16"/>
      <c r="D86" s="14"/>
      <c r="E86" s="15"/>
      <c r="F86" s="14"/>
      <c r="G86" s="14"/>
      <c r="H86" s="14"/>
      <c r="I86" s="14"/>
      <c r="J86" s="14"/>
      <c r="K86" s="17"/>
      <c r="L86" s="17"/>
    </row>
    <row r="87">
      <c r="A87" s="14"/>
      <c r="B87" s="15"/>
      <c r="C87" s="16"/>
      <c r="D87" s="14"/>
      <c r="E87" s="15"/>
      <c r="F87" s="14"/>
      <c r="G87" s="14"/>
      <c r="H87" s="14"/>
      <c r="I87" s="14"/>
      <c r="J87" s="14"/>
      <c r="K87" s="17"/>
      <c r="L87" s="17"/>
    </row>
    <row r="88">
      <c r="A88" s="14"/>
      <c r="B88" s="15"/>
      <c r="C88" s="16"/>
      <c r="D88" s="18"/>
      <c r="E88" s="15"/>
      <c r="F88" s="14"/>
      <c r="G88" s="14"/>
      <c r="H88" s="14"/>
      <c r="I88" s="14"/>
      <c r="J88" s="14"/>
      <c r="K88" s="17"/>
      <c r="L88" s="17"/>
    </row>
    <row r="89">
      <c r="A89" s="14"/>
      <c r="B89" s="15"/>
      <c r="C89" s="16"/>
      <c r="D89" s="18"/>
      <c r="E89" s="15"/>
      <c r="F89" s="14"/>
      <c r="G89" s="14"/>
      <c r="H89" s="14"/>
      <c r="I89" s="14"/>
      <c r="J89" s="14"/>
      <c r="K89" s="17"/>
      <c r="L89" s="17"/>
    </row>
    <row r="90">
      <c r="A90" s="14"/>
      <c r="B90" s="15"/>
      <c r="C90" s="16"/>
      <c r="D90" s="14"/>
      <c r="E90" s="15"/>
      <c r="F90" s="14"/>
      <c r="G90" s="14"/>
      <c r="H90" s="14"/>
      <c r="I90" s="14"/>
      <c r="J90" s="14"/>
      <c r="K90" s="17"/>
      <c r="L90" s="17"/>
    </row>
    <row r="91">
      <c r="A91" s="14"/>
      <c r="B91" s="15"/>
      <c r="C91" s="16"/>
      <c r="D91" s="14"/>
      <c r="E91" s="15"/>
      <c r="F91" s="14"/>
      <c r="G91" s="14"/>
      <c r="H91" s="14"/>
      <c r="I91" s="14"/>
      <c r="J91" s="14"/>
      <c r="K91" s="17"/>
      <c r="L91" s="17"/>
    </row>
    <row r="92">
      <c r="A92" s="14"/>
      <c r="B92" s="15"/>
      <c r="C92" s="16"/>
      <c r="D92" s="14"/>
      <c r="E92" s="15"/>
      <c r="F92" s="14"/>
      <c r="G92" s="14"/>
      <c r="H92" s="14"/>
      <c r="I92" s="14"/>
      <c r="J92" s="14"/>
      <c r="K92" s="17"/>
      <c r="L92" s="17"/>
    </row>
    <row r="93">
      <c r="A93" s="14"/>
      <c r="B93" s="15"/>
      <c r="C93" s="16"/>
      <c r="D93" s="14"/>
      <c r="E93" s="15"/>
      <c r="F93" s="14"/>
      <c r="G93" s="14"/>
      <c r="H93" s="14"/>
      <c r="I93" s="14"/>
      <c r="J93" s="14"/>
      <c r="K93" s="17"/>
      <c r="L93" s="17"/>
    </row>
    <row r="94">
      <c r="A94" s="14"/>
      <c r="B94" s="15"/>
      <c r="C94" s="16"/>
      <c r="D94" s="18"/>
      <c r="E94" s="15"/>
      <c r="F94" s="14"/>
      <c r="G94" s="14"/>
      <c r="H94" s="14"/>
      <c r="I94" s="14"/>
      <c r="J94" s="14"/>
      <c r="K94" s="17"/>
      <c r="L94" s="17"/>
    </row>
    <row r="95">
      <c r="A95" s="14"/>
      <c r="B95" s="15"/>
      <c r="C95" s="16"/>
      <c r="D95" s="18"/>
      <c r="E95" s="15"/>
      <c r="F95" s="14"/>
      <c r="G95" s="14"/>
      <c r="H95" s="14"/>
      <c r="I95" s="14"/>
      <c r="J95" s="14"/>
      <c r="K95" s="17"/>
      <c r="L95" s="17"/>
    </row>
    <row r="96">
      <c r="A96" s="14"/>
      <c r="B96" s="15"/>
      <c r="C96" s="16"/>
      <c r="D96" s="18"/>
      <c r="E96" s="15"/>
      <c r="F96" s="14"/>
      <c r="G96" s="14"/>
      <c r="H96" s="14"/>
      <c r="I96" s="14"/>
      <c r="J96" s="14"/>
      <c r="K96" s="17"/>
      <c r="L96" s="17"/>
    </row>
    <row r="97">
      <c r="A97" s="14"/>
      <c r="B97" s="15"/>
      <c r="C97" s="16"/>
      <c r="D97" s="18"/>
      <c r="E97" s="15"/>
      <c r="F97" s="14"/>
      <c r="G97" s="14"/>
      <c r="H97" s="14"/>
      <c r="I97" s="14"/>
      <c r="J97" s="14"/>
      <c r="K97" s="17"/>
      <c r="L97" s="17"/>
    </row>
    <row r="98">
      <c r="A98" s="14"/>
      <c r="B98" s="15"/>
      <c r="C98" s="16"/>
      <c r="D98" s="14"/>
      <c r="E98" s="15"/>
      <c r="F98" s="14"/>
      <c r="G98" s="14"/>
      <c r="H98" s="14"/>
      <c r="I98" s="14"/>
      <c r="J98" s="14"/>
      <c r="K98" s="17"/>
      <c r="L98" s="17"/>
    </row>
    <row r="99">
      <c r="A99" s="14"/>
      <c r="B99" s="15"/>
      <c r="C99" s="16"/>
      <c r="D99" s="14"/>
      <c r="E99" s="15"/>
      <c r="F99" s="14"/>
      <c r="G99" s="14"/>
      <c r="H99" s="14"/>
      <c r="I99" s="14"/>
      <c r="J99" s="14"/>
      <c r="K99" s="17"/>
      <c r="L99" s="17"/>
    </row>
    <row r="100">
      <c r="A100" s="14"/>
      <c r="B100" s="15"/>
      <c r="C100" s="16"/>
      <c r="D100" s="14"/>
      <c r="E100" s="15"/>
      <c r="F100" s="14"/>
      <c r="G100" s="14"/>
      <c r="H100" s="14"/>
      <c r="I100" s="14"/>
      <c r="J100" s="14"/>
      <c r="K100" s="17"/>
      <c r="L100" s="17"/>
    </row>
    <row r="101">
      <c r="A101" s="14"/>
      <c r="B101" s="15"/>
      <c r="C101" s="16"/>
      <c r="D101" s="14"/>
      <c r="E101" s="15"/>
      <c r="F101" s="14"/>
      <c r="G101" s="14"/>
      <c r="H101" s="14"/>
      <c r="I101" s="14"/>
      <c r="J101" s="14"/>
      <c r="K101" s="17"/>
      <c r="L101" s="17"/>
    </row>
    <row r="102">
      <c r="A102" s="14"/>
      <c r="B102" s="15"/>
      <c r="C102" s="16"/>
      <c r="D102" s="18"/>
      <c r="E102" s="15"/>
      <c r="F102" s="14"/>
      <c r="G102" s="14"/>
      <c r="H102" s="14"/>
      <c r="I102" s="14"/>
      <c r="J102" s="14"/>
      <c r="K102" s="17"/>
      <c r="L102" s="17"/>
    </row>
    <row r="103">
      <c r="A103" s="14"/>
      <c r="B103" s="15"/>
      <c r="C103" s="16"/>
      <c r="D103" s="18"/>
      <c r="E103" s="15"/>
      <c r="F103" s="14"/>
      <c r="G103" s="14"/>
      <c r="H103" s="14"/>
      <c r="I103" s="14"/>
      <c r="J103" s="14"/>
      <c r="K103" s="17"/>
      <c r="L103" s="17"/>
    </row>
    <row r="104">
      <c r="A104" s="14"/>
      <c r="B104" s="15"/>
      <c r="C104" s="16"/>
      <c r="D104" s="18"/>
      <c r="E104" s="15"/>
      <c r="F104" s="14"/>
      <c r="G104" s="14"/>
      <c r="H104" s="14"/>
      <c r="I104" s="14"/>
      <c r="J104" s="14"/>
      <c r="K104" s="17"/>
      <c r="L104" s="17"/>
    </row>
    <row r="105">
      <c r="A105" s="14"/>
      <c r="B105" s="15"/>
      <c r="C105" s="16"/>
      <c r="D105" s="18"/>
      <c r="E105" s="15"/>
      <c r="F105" s="14"/>
      <c r="G105" s="14"/>
      <c r="H105" s="14"/>
      <c r="I105" s="14"/>
      <c r="J105" s="14"/>
      <c r="K105" s="17"/>
      <c r="L105" s="17"/>
    </row>
    <row r="106">
      <c r="A106" s="14"/>
      <c r="B106" s="15"/>
      <c r="C106" s="16"/>
      <c r="D106" s="14"/>
      <c r="E106" s="15"/>
      <c r="F106" s="14"/>
      <c r="G106" s="14"/>
      <c r="H106" s="14"/>
      <c r="I106" s="14"/>
      <c r="J106" s="14"/>
      <c r="K106" s="17"/>
      <c r="L106" s="17"/>
    </row>
    <row r="107">
      <c r="A107" s="14"/>
      <c r="B107" s="15"/>
      <c r="C107" s="16"/>
      <c r="D107" s="14"/>
      <c r="E107" s="15"/>
      <c r="F107" s="14"/>
      <c r="G107" s="14"/>
      <c r="H107" s="14"/>
      <c r="I107" s="14"/>
      <c r="J107" s="14"/>
      <c r="K107" s="17"/>
      <c r="L107" s="17"/>
    </row>
    <row r="108">
      <c r="A108" s="14"/>
      <c r="B108" s="15"/>
      <c r="C108" s="16"/>
      <c r="D108" s="14"/>
      <c r="E108" s="15"/>
      <c r="F108" s="14"/>
      <c r="G108" s="14"/>
      <c r="H108" s="14"/>
      <c r="I108" s="14"/>
      <c r="J108" s="14"/>
      <c r="K108" s="17"/>
      <c r="L108" s="17"/>
    </row>
    <row r="109">
      <c r="A109" s="14"/>
      <c r="B109" s="15"/>
      <c r="C109" s="16"/>
      <c r="D109" s="14"/>
      <c r="E109" s="15"/>
      <c r="F109" s="14"/>
      <c r="G109" s="14"/>
      <c r="H109" s="14"/>
      <c r="I109" s="14"/>
      <c r="J109" s="14"/>
      <c r="K109" s="17"/>
      <c r="L109" s="17"/>
    </row>
    <row r="110">
      <c r="A110" s="14"/>
      <c r="B110" s="15"/>
      <c r="C110" s="16"/>
      <c r="D110" s="18"/>
      <c r="E110" s="15"/>
      <c r="F110" s="14"/>
      <c r="G110" s="14"/>
      <c r="H110" s="14"/>
      <c r="I110" s="14"/>
      <c r="J110" s="14"/>
      <c r="K110" s="17"/>
      <c r="L110" s="17"/>
    </row>
    <row r="111">
      <c r="A111" s="14"/>
      <c r="B111" s="15"/>
      <c r="C111" s="16"/>
      <c r="D111" s="18"/>
      <c r="E111" s="15"/>
      <c r="F111" s="14"/>
      <c r="G111" s="14"/>
      <c r="H111" s="14"/>
      <c r="I111" s="14"/>
      <c r="J111" s="14"/>
      <c r="K111" s="17"/>
      <c r="L111" s="17"/>
    </row>
    <row r="112">
      <c r="A112" s="14"/>
      <c r="B112" s="15"/>
      <c r="C112" s="16"/>
      <c r="D112" s="14"/>
      <c r="E112" s="15"/>
      <c r="F112" s="14"/>
      <c r="G112" s="14"/>
      <c r="H112" s="14"/>
      <c r="I112" s="14"/>
      <c r="J112" s="14"/>
      <c r="K112" s="17"/>
      <c r="L112" s="17"/>
    </row>
    <row r="113">
      <c r="A113" s="14"/>
      <c r="B113" s="15"/>
      <c r="C113" s="16"/>
      <c r="D113" s="14"/>
      <c r="E113" s="15"/>
      <c r="F113" s="14"/>
      <c r="G113" s="14"/>
      <c r="H113" s="14"/>
      <c r="I113" s="14"/>
      <c r="J113" s="14"/>
      <c r="K113" s="17"/>
      <c r="L113" s="17"/>
    </row>
    <row r="114">
      <c r="A114" s="14"/>
      <c r="B114" s="15"/>
      <c r="C114" s="16"/>
      <c r="D114" s="18"/>
      <c r="E114" s="15"/>
      <c r="F114" s="14"/>
      <c r="G114" s="14"/>
      <c r="H114" s="14"/>
      <c r="I114" s="14"/>
      <c r="J114" s="14"/>
      <c r="K114" s="17"/>
      <c r="L114" s="17"/>
    </row>
    <row r="115">
      <c r="A115" s="14"/>
      <c r="B115" s="15"/>
      <c r="C115" s="16"/>
      <c r="D115" s="18"/>
      <c r="E115" s="15"/>
      <c r="F115" s="14"/>
      <c r="G115" s="14"/>
      <c r="H115" s="14"/>
      <c r="I115" s="14"/>
      <c r="J115" s="14"/>
      <c r="K115" s="17"/>
      <c r="L115" s="17"/>
    </row>
    <row r="116">
      <c r="A116" s="14"/>
      <c r="B116" s="15"/>
      <c r="C116" s="16"/>
      <c r="D116" s="18"/>
      <c r="E116" s="15"/>
      <c r="F116" s="14"/>
      <c r="G116" s="14"/>
      <c r="H116" s="14"/>
      <c r="I116" s="14"/>
      <c r="J116" s="14"/>
      <c r="K116" s="17"/>
      <c r="L116" s="17"/>
    </row>
    <row r="117">
      <c r="A117" s="14"/>
      <c r="B117" s="15"/>
      <c r="C117" s="16"/>
      <c r="D117" s="18"/>
      <c r="E117" s="15"/>
      <c r="F117" s="14"/>
      <c r="G117" s="14"/>
      <c r="H117" s="14"/>
      <c r="I117" s="14"/>
      <c r="J117" s="14"/>
      <c r="K117" s="17"/>
      <c r="L117" s="17"/>
    </row>
    <row r="118">
      <c r="A118" s="14"/>
      <c r="B118" s="15"/>
      <c r="C118" s="16"/>
      <c r="D118" s="18"/>
      <c r="E118" s="15"/>
      <c r="F118" s="14"/>
      <c r="G118" s="14"/>
      <c r="H118" s="14"/>
      <c r="I118" s="14"/>
      <c r="J118" s="14"/>
      <c r="K118" s="17"/>
      <c r="L118" s="17"/>
    </row>
    <row r="119">
      <c r="A119" s="14"/>
      <c r="B119" s="15"/>
      <c r="C119" s="16"/>
      <c r="D119" s="18"/>
      <c r="E119" s="15"/>
      <c r="F119" s="14"/>
      <c r="G119" s="14"/>
      <c r="H119" s="14"/>
      <c r="I119" s="14"/>
      <c r="J119" s="14"/>
      <c r="K119" s="17"/>
      <c r="L119" s="17"/>
    </row>
    <row r="120">
      <c r="A120" s="14"/>
      <c r="B120" s="15"/>
      <c r="C120" s="16"/>
      <c r="D120" s="18"/>
      <c r="E120" s="15"/>
      <c r="F120" s="14"/>
      <c r="G120" s="14"/>
      <c r="H120" s="14"/>
      <c r="I120" s="14"/>
      <c r="J120" s="14"/>
      <c r="K120" s="17"/>
      <c r="L120" s="17"/>
    </row>
    <row r="121">
      <c r="A121" s="14"/>
      <c r="B121" s="15"/>
      <c r="C121" s="16"/>
      <c r="D121" s="18"/>
      <c r="E121" s="15"/>
      <c r="F121" s="14"/>
      <c r="G121" s="14"/>
      <c r="H121" s="14"/>
      <c r="I121" s="14"/>
      <c r="J121" s="14"/>
      <c r="K121" s="17"/>
      <c r="L121" s="17"/>
    </row>
    <row r="122">
      <c r="A122" s="14"/>
      <c r="B122" s="15"/>
      <c r="C122" s="16"/>
      <c r="D122" s="14"/>
      <c r="E122" s="15"/>
      <c r="F122" s="14"/>
      <c r="G122" s="14"/>
      <c r="H122" s="14"/>
      <c r="I122" s="14"/>
      <c r="J122" s="14"/>
      <c r="K122" s="17"/>
      <c r="L122" s="17"/>
    </row>
    <row r="123">
      <c r="A123" s="14"/>
      <c r="B123" s="15"/>
      <c r="C123" s="16"/>
      <c r="D123" s="14"/>
      <c r="E123" s="15"/>
      <c r="F123" s="14"/>
      <c r="G123" s="14"/>
      <c r="H123" s="14"/>
      <c r="I123" s="14"/>
      <c r="J123" s="14"/>
      <c r="K123" s="17"/>
      <c r="L123" s="17"/>
    </row>
    <row r="124">
      <c r="A124" s="14"/>
      <c r="B124" s="15"/>
      <c r="C124" s="16"/>
      <c r="D124" s="14"/>
      <c r="E124" s="15"/>
      <c r="F124" s="14"/>
      <c r="G124" s="14"/>
      <c r="H124" s="14"/>
      <c r="I124" s="14"/>
      <c r="J124" s="14"/>
      <c r="K124" s="17"/>
      <c r="L124" s="17"/>
    </row>
    <row r="125">
      <c r="A125" s="14"/>
      <c r="B125" s="15"/>
      <c r="C125" s="16"/>
      <c r="D125" s="14"/>
      <c r="E125" s="15"/>
      <c r="F125" s="14"/>
      <c r="G125" s="14"/>
      <c r="H125" s="14"/>
      <c r="I125" s="14"/>
      <c r="J125" s="14"/>
      <c r="K125" s="17"/>
      <c r="L125" s="17"/>
    </row>
    <row r="126">
      <c r="A126" s="14"/>
      <c r="B126" s="15"/>
      <c r="C126" s="16"/>
      <c r="D126" s="14"/>
      <c r="E126" s="15"/>
      <c r="F126" s="14"/>
      <c r="G126" s="14"/>
      <c r="H126" s="14"/>
      <c r="I126" s="14"/>
      <c r="J126" s="14"/>
      <c r="K126" s="17"/>
      <c r="L126" s="17"/>
    </row>
    <row r="127">
      <c r="A127" s="14"/>
      <c r="B127" s="15"/>
      <c r="C127" s="16"/>
      <c r="D127" s="14"/>
      <c r="E127" s="15"/>
      <c r="F127" s="14"/>
      <c r="G127" s="14"/>
      <c r="H127" s="14"/>
      <c r="I127" s="14"/>
      <c r="J127" s="14"/>
      <c r="K127" s="17"/>
      <c r="L127" s="17"/>
    </row>
    <row r="128">
      <c r="A128" s="14"/>
      <c r="B128" s="15"/>
      <c r="C128" s="16"/>
      <c r="D128" s="14"/>
      <c r="E128" s="15"/>
      <c r="F128" s="14"/>
      <c r="G128" s="14"/>
      <c r="H128" s="14"/>
      <c r="I128" s="14"/>
      <c r="J128" s="14"/>
      <c r="K128" s="17"/>
      <c r="L128" s="17"/>
    </row>
    <row r="129">
      <c r="A129" s="14"/>
      <c r="B129" s="15"/>
      <c r="C129" s="16"/>
      <c r="D129" s="14"/>
      <c r="E129" s="15"/>
      <c r="F129" s="14"/>
      <c r="G129" s="14"/>
      <c r="H129" s="14"/>
      <c r="I129" s="14"/>
      <c r="J129" s="14"/>
      <c r="K129" s="17"/>
      <c r="L129" s="17"/>
    </row>
    <row r="130">
      <c r="A130" s="14"/>
      <c r="B130" s="15"/>
      <c r="C130" s="16"/>
      <c r="D130" s="18"/>
      <c r="E130" s="15"/>
      <c r="F130" s="14"/>
      <c r="G130" s="14"/>
      <c r="H130" s="14"/>
      <c r="I130" s="14"/>
      <c r="J130" s="14"/>
      <c r="K130" s="17"/>
      <c r="L130" s="17"/>
    </row>
    <row r="131">
      <c r="A131" s="14"/>
      <c r="B131" s="15"/>
      <c r="C131" s="16"/>
      <c r="D131" s="18"/>
      <c r="E131" s="15"/>
      <c r="F131" s="14"/>
      <c r="G131" s="14"/>
      <c r="H131" s="14"/>
      <c r="I131" s="14"/>
      <c r="J131" s="14"/>
      <c r="K131" s="17"/>
      <c r="L131" s="17"/>
    </row>
    <row r="132">
      <c r="A132" s="14"/>
      <c r="B132" s="15"/>
      <c r="C132" s="16"/>
      <c r="D132" s="14"/>
      <c r="E132" s="15"/>
      <c r="F132" s="14"/>
      <c r="G132" s="14"/>
      <c r="H132" s="14"/>
      <c r="I132" s="14"/>
      <c r="J132" s="14"/>
      <c r="K132" s="17"/>
      <c r="L132" s="17"/>
    </row>
    <row r="133">
      <c r="A133" s="14"/>
      <c r="B133" s="15"/>
      <c r="C133" s="16"/>
      <c r="D133" s="14"/>
      <c r="E133" s="15"/>
      <c r="F133" s="14"/>
      <c r="G133" s="14"/>
      <c r="H133" s="14"/>
      <c r="I133" s="14"/>
      <c r="J133" s="14"/>
      <c r="K133" s="17"/>
      <c r="L133" s="17"/>
    </row>
    <row r="134">
      <c r="A134" s="14"/>
      <c r="B134" s="15"/>
      <c r="C134" s="16"/>
      <c r="D134" s="18"/>
      <c r="E134" s="15"/>
      <c r="F134" s="14"/>
      <c r="G134" s="14"/>
      <c r="H134" s="14"/>
      <c r="I134" s="14"/>
      <c r="J134" s="14"/>
      <c r="K134" s="17"/>
      <c r="L134" s="17"/>
    </row>
    <row r="135">
      <c r="A135" s="14"/>
      <c r="B135" s="15"/>
      <c r="C135" s="16"/>
      <c r="D135" s="18"/>
      <c r="E135" s="15"/>
      <c r="F135" s="14"/>
      <c r="G135" s="14"/>
      <c r="H135" s="14"/>
      <c r="I135" s="14"/>
      <c r="J135" s="14"/>
      <c r="K135" s="17"/>
      <c r="L135" s="17"/>
    </row>
    <row r="136">
      <c r="A136" s="14"/>
      <c r="B136" s="15"/>
      <c r="C136" s="16"/>
      <c r="D136" s="18"/>
      <c r="E136" s="15"/>
      <c r="F136" s="14"/>
      <c r="G136" s="14"/>
      <c r="H136" s="14"/>
      <c r="I136" s="14"/>
      <c r="J136" s="14"/>
      <c r="K136" s="17"/>
      <c r="L136" s="17"/>
    </row>
    <row r="137">
      <c r="A137" s="14"/>
      <c r="B137" s="15"/>
      <c r="C137" s="16"/>
      <c r="D137" s="18"/>
      <c r="E137" s="15"/>
      <c r="F137" s="14"/>
      <c r="G137" s="14"/>
      <c r="H137" s="14"/>
      <c r="I137" s="14"/>
      <c r="J137" s="14"/>
      <c r="K137" s="17"/>
      <c r="L137" s="17"/>
    </row>
    <row r="138">
      <c r="A138" s="14"/>
      <c r="B138" s="15"/>
      <c r="C138" s="16"/>
      <c r="D138" s="18"/>
      <c r="E138" s="15"/>
      <c r="F138" s="14"/>
      <c r="G138" s="14"/>
      <c r="H138" s="14"/>
      <c r="I138" s="14"/>
      <c r="J138" s="14"/>
      <c r="K138" s="17"/>
      <c r="L138" s="17"/>
    </row>
    <row r="139">
      <c r="A139" s="14"/>
      <c r="B139" s="15"/>
      <c r="C139" s="16"/>
      <c r="D139" s="18"/>
      <c r="E139" s="15"/>
      <c r="F139" s="14"/>
      <c r="G139" s="14"/>
      <c r="H139" s="14"/>
      <c r="I139" s="14"/>
      <c r="J139" s="14"/>
      <c r="K139" s="17"/>
      <c r="L139" s="17"/>
    </row>
    <row r="140">
      <c r="A140" s="14"/>
      <c r="B140" s="15"/>
      <c r="C140" s="16"/>
      <c r="D140" s="14"/>
      <c r="E140" s="15"/>
      <c r="F140" s="14"/>
      <c r="G140" s="14"/>
      <c r="H140" s="14"/>
      <c r="I140" s="14"/>
      <c r="J140" s="14"/>
      <c r="K140" s="17"/>
      <c r="L140" s="17"/>
    </row>
    <row r="141">
      <c r="A141" s="14"/>
      <c r="B141" s="15"/>
      <c r="C141" s="16"/>
      <c r="D141" s="14"/>
      <c r="E141" s="15"/>
      <c r="F141" s="14"/>
      <c r="G141" s="14"/>
      <c r="H141" s="14"/>
      <c r="I141" s="14"/>
      <c r="J141" s="14"/>
      <c r="K141" s="17"/>
      <c r="L141" s="17"/>
    </row>
    <row r="142">
      <c r="A142" s="14"/>
      <c r="B142" s="15"/>
      <c r="C142" s="16"/>
      <c r="D142" s="14"/>
      <c r="E142" s="15"/>
      <c r="F142" s="14"/>
      <c r="G142" s="14"/>
      <c r="H142" s="14"/>
      <c r="I142" s="14"/>
      <c r="J142" s="14"/>
      <c r="K142" s="17"/>
      <c r="L142" s="17"/>
    </row>
    <row r="143">
      <c r="A143" s="14"/>
      <c r="B143" s="15"/>
      <c r="C143" s="16"/>
      <c r="D143" s="14"/>
      <c r="E143" s="15"/>
      <c r="F143" s="14"/>
      <c r="G143" s="14"/>
      <c r="H143" s="14"/>
      <c r="I143" s="14"/>
      <c r="J143" s="14"/>
      <c r="K143" s="17"/>
      <c r="L143" s="17"/>
    </row>
    <row r="144">
      <c r="A144" s="14"/>
      <c r="B144" s="15"/>
      <c r="C144" s="16"/>
      <c r="D144" s="14"/>
      <c r="E144" s="15"/>
      <c r="F144" s="14"/>
      <c r="G144" s="14"/>
      <c r="H144" s="14"/>
      <c r="I144" s="14"/>
      <c r="J144" s="14"/>
      <c r="K144" s="17"/>
      <c r="L144" s="17"/>
    </row>
    <row r="145">
      <c r="A145" s="14"/>
      <c r="B145" s="15"/>
      <c r="C145" s="16"/>
      <c r="D145" s="14"/>
      <c r="E145" s="15"/>
      <c r="F145" s="14"/>
      <c r="G145" s="14"/>
      <c r="H145" s="14"/>
      <c r="I145" s="14"/>
      <c r="J145" s="14"/>
      <c r="K145" s="17"/>
      <c r="L145" s="17"/>
    </row>
    <row r="146">
      <c r="A146" s="14"/>
      <c r="B146" s="15"/>
      <c r="C146" s="16"/>
      <c r="D146" s="14"/>
      <c r="E146" s="15"/>
      <c r="F146" s="14"/>
      <c r="G146" s="14"/>
      <c r="H146" s="14"/>
      <c r="I146" s="14"/>
      <c r="J146" s="14"/>
      <c r="K146" s="17"/>
      <c r="L146" s="17"/>
    </row>
    <row r="147">
      <c r="A147" s="14"/>
      <c r="B147" s="15"/>
      <c r="C147" s="16"/>
      <c r="D147" s="14"/>
      <c r="E147" s="15"/>
      <c r="F147" s="14"/>
      <c r="G147" s="14"/>
      <c r="H147" s="14"/>
      <c r="I147" s="14"/>
      <c r="J147" s="14"/>
      <c r="K147" s="17"/>
      <c r="L147" s="17"/>
    </row>
    <row r="148">
      <c r="A148" s="14"/>
      <c r="B148" s="15"/>
      <c r="C148" s="16"/>
      <c r="D148" s="14"/>
      <c r="E148" s="15"/>
      <c r="F148" s="14"/>
      <c r="G148" s="14"/>
      <c r="H148" s="14"/>
      <c r="I148" s="14"/>
      <c r="J148" s="14"/>
      <c r="K148" s="17"/>
      <c r="L148" s="17"/>
    </row>
    <row r="149">
      <c r="A149" s="14"/>
      <c r="B149" s="15"/>
      <c r="C149" s="16"/>
      <c r="D149" s="14"/>
      <c r="E149" s="15"/>
      <c r="F149" s="14"/>
      <c r="G149" s="14"/>
      <c r="H149" s="14"/>
      <c r="I149" s="14"/>
      <c r="J149" s="14"/>
      <c r="K149" s="17"/>
      <c r="L149" s="17"/>
    </row>
    <row r="150">
      <c r="A150" s="14"/>
      <c r="B150" s="15"/>
      <c r="C150" s="16"/>
      <c r="D150" s="14"/>
      <c r="E150" s="15"/>
      <c r="F150" s="14"/>
      <c r="G150" s="14"/>
      <c r="H150" s="14"/>
      <c r="I150" s="14"/>
      <c r="J150" s="14"/>
      <c r="K150" s="17"/>
      <c r="L150" s="17"/>
    </row>
    <row r="151">
      <c r="A151" s="14"/>
      <c r="B151" s="15"/>
      <c r="C151" s="16"/>
      <c r="D151" s="14"/>
      <c r="E151" s="15"/>
      <c r="F151" s="14"/>
      <c r="G151" s="14"/>
      <c r="H151" s="14"/>
      <c r="I151" s="14"/>
      <c r="J151" s="14"/>
      <c r="K151" s="17"/>
      <c r="L151" s="17"/>
    </row>
    <row r="152">
      <c r="A152" s="14"/>
      <c r="B152" s="15"/>
      <c r="C152" s="16"/>
      <c r="D152" s="18"/>
      <c r="E152" s="15"/>
      <c r="F152" s="14"/>
      <c r="G152" s="14"/>
      <c r="H152" s="14"/>
      <c r="I152" s="14"/>
      <c r="J152" s="14"/>
      <c r="K152" s="17"/>
      <c r="L152" s="17"/>
    </row>
    <row r="153">
      <c r="A153" s="14"/>
      <c r="B153" s="15"/>
      <c r="C153" s="16"/>
      <c r="D153" s="18"/>
      <c r="E153" s="15"/>
      <c r="F153" s="14"/>
      <c r="G153" s="14"/>
      <c r="H153" s="14"/>
      <c r="I153" s="14"/>
      <c r="J153" s="14"/>
      <c r="K153" s="17"/>
      <c r="L153" s="17"/>
    </row>
    <row r="154">
      <c r="A154" s="14"/>
      <c r="B154" s="15"/>
      <c r="C154" s="16"/>
      <c r="D154" s="14"/>
      <c r="E154" s="15"/>
      <c r="F154" s="14"/>
      <c r="G154" s="14"/>
      <c r="H154" s="14"/>
      <c r="I154" s="14"/>
      <c r="J154" s="14"/>
      <c r="K154" s="17"/>
      <c r="L154" s="17"/>
    </row>
    <row r="155">
      <c r="A155" s="14"/>
      <c r="B155" s="15"/>
      <c r="C155" s="16"/>
      <c r="D155" s="14"/>
      <c r="E155" s="15"/>
      <c r="F155" s="14"/>
      <c r="G155" s="14"/>
      <c r="H155" s="14"/>
      <c r="I155" s="14"/>
      <c r="J155" s="14"/>
      <c r="K155" s="17"/>
      <c r="L155" s="17"/>
    </row>
    <row r="156">
      <c r="A156" s="14"/>
      <c r="B156" s="15"/>
      <c r="C156" s="16"/>
      <c r="D156" s="18"/>
      <c r="E156" s="15"/>
      <c r="F156" s="14"/>
      <c r="G156" s="14"/>
      <c r="H156" s="14"/>
      <c r="I156" s="14"/>
      <c r="J156" s="14"/>
      <c r="K156" s="17"/>
      <c r="L156" s="17"/>
    </row>
    <row r="157">
      <c r="A157" s="14"/>
      <c r="B157" s="15"/>
      <c r="C157" s="16"/>
      <c r="D157" s="18"/>
      <c r="E157" s="15"/>
      <c r="F157" s="14"/>
      <c r="G157" s="14"/>
      <c r="H157" s="14"/>
      <c r="I157" s="14"/>
      <c r="J157" s="14"/>
      <c r="K157" s="17"/>
      <c r="L157" s="17"/>
    </row>
    <row r="158">
      <c r="A158" s="14"/>
      <c r="B158" s="15"/>
      <c r="C158" s="16"/>
      <c r="D158" s="18"/>
      <c r="E158" s="15"/>
      <c r="F158" s="14"/>
      <c r="G158" s="14"/>
      <c r="H158" s="14"/>
      <c r="I158" s="14"/>
      <c r="J158" s="14"/>
      <c r="K158" s="17"/>
      <c r="L158" s="17"/>
    </row>
    <row r="159">
      <c r="A159" s="14"/>
      <c r="B159" s="15"/>
      <c r="C159" s="16"/>
      <c r="D159" s="18"/>
      <c r="E159" s="15"/>
      <c r="F159" s="14"/>
      <c r="G159" s="14"/>
      <c r="H159" s="14"/>
      <c r="I159" s="14"/>
      <c r="J159" s="14"/>
      <c r="K159" s="17"/>
      <c r="L159" s="17"/>
    </row>
    <row r="160">
      <c r="A160" s="14"/>
      <c r="B160" s="15"/>
      <c r="C160" s="16"/>
      <c r="D160" s="14"/>
      <c r="E160" s="15"/>
      <c r="F160" s="14"/>
      <c r="G160" s="14"/>
      <c r="H160" s="14"/>
      <c r="I160" s="14"/>
      <c r="J160" s="14"/>
      <c r="K160" s="17"/>
      <c r="L160" s="17"/>
    </row>
    <row r="161">
      <c r="A161" s="14"/>
      <c r="B161" s="15"/>
      <c r="C161" s="16"/>
      <c r="D161" s="14"/>
      <c r="E161" s="15"/>
      <c r="F161" s="14"/>
      <c r="G161" s="14"/>
      <c r="H161" s="14"/>
      <c r="I161" s="14"/>
      <c r="J161" s="14"/>
      <c r="K161" s="17"/>
      <c r="L161" s="17"/>
    </row>
    <row r="162">
      <c r="A162" s="14"/>
      <c r="B162" s="15"/>
      <c r="C162" s="16"/>
      <c r="D162" s="14"/>
      <c r="E162" s="15"/>
      <c r="F162" s="14"/>
      <c r="G162" s="14"/>
      <c r="H162" s="14"/>
      <c r="I162" s="14"/>
      <c r="J162" s="14"/>
      <c r="K162" s="17"/>
      <c r="L162" s="17"/>
    </row>
    <row r="163">
      <c r="A163" s="14"/>
      <c r="B163" s="15"/>
      <c r="C163" s="16"/>
      <c r="D163" s="14"/>
      <c r="E163" s="15"/>
      <c r="F163" s="14"/>
      <c r="G163" s="14"/>
      <c r="H163" s="14"/>
      <c r="I163" s="14"/>
      <c r="J163" s="14"/>
      <c r="K163" s="17"/>
      <c r="L163" s="17"/>
    </row>
    <row r="164">
      <c r="A164" s="14"/>
      <c r="B164" s="15"/>
      <c r="C164" s="16"/>
      <c r="D164" s="14"/>
      <c r="E164" s="15"/>
      <c r="F164" s="14"/>
      <c r="G164" s="14"/>
      <c r="H164" s="14"/>
      <c r="I164" s="14"/>
      <c r="J164" s="14"/>
      <c r="K164" s="17"/>
      <c r="L164" s="17"/>
    </row>
    <row r="165">
      <c r="A165" s="14"/>
      <c r="B165" s="15"/>
      <c r="C165" s="16"/>
      <c r="D165" s="14"/>
      <c r="E165" s="15"/>
      <c r="F165" s="14"/>
      <c r="G165" s="14"/>
      <c r="H165" s="14"/>
      <c r="I165" s="14"/>
      <c r="J165" s="14"/>
      <c r="K165" s="17"/>
      <c r="L165" s="17"/>
    </row>
    <row r="166">
      <c r="A166" s="14"/>
      <c r="B166" s="15"/>
      <c r="C166" s="16"/>
      <c r="D166" s="14"/>
      <c r="E166" s="15"/>
      <c r="F166" s="14"/>
      <c r="G166" s="14"/>
      <c r="H166" s="14"/>
      <c r="I166" s="14"/>
      <c r="J166" s="14"/>
      <c r="K166" s="17"/>
      <c r="L166" s="17"/>
    </row>
    <row r="167">
      <c r="A167" s="14"/>
      <c r="B167" s="15"/>
      <c r="C167" s="16"/>
      <c r="D167" s="14"/>
      <c r="E167" s="15"/>
      <c r="F167" s="14"/>
      <c r="G167" s="14"/>
      <c r="H167" s="14"/>
      <c r="I167" s="14"/>
      <c r="J167" s="14"/>
      <c r="K167" s="17"/>
      <c r="L167" s="17"/>
    </row>
    <row r="168">
      <c r="A168" s="14"/>
      <c r="B168" s="15"/>
      <c r="C168" s="16"/>
      <c r="D168" s="14"/>
      <c r="E168" s="15"/>
      <c r="F168" s="14"/>
      <c r="G168" s="14"/>
      <c r="H168" s="14"/>
      <c r="I168" s="14"/>
      <c r="J168" s="14"/>
      <c r="K168" s="17"/>
      <c r="L168" s="17"/>
    </row>
    <row r="169">
      <c r="A169" s="14"/>
      <c r="B169" s="15"/>
      <c r="C169" s="16"/>
      <c r="D169" s="14"/>
      <c r="E169" s="15"/>
      <c r="F169" s="14"/>
      <c r="G169" s="14"/>
      <c r="H169" s="14"/>
      <c r="I169" s="14"/>
      <c r="J169" s="14"/>
      <c r="K169" s="17"/>
      <c r="L169" s="17"/>
    </row>
    <row r="170">
      <c r="A170" s="14"/>
      <c r="B170" s="15"/>
      <c r="C170" s="16"/>
      <c r="D170" s="14"/>
      <c r="E170" s="15"/>
      <c r="F170" s="14"/>
      <c r="G170" s="14"/>
      <c r="H170" s="14"/>
      <c r="I170" s="14"/>
      <c r="J170" s="14"/>
      <c r="K170" s="17"/>
      <c r="L170" s="17"/>
    </row>
    <row r="171">
      <c r="A171" s="14"/>
      <c r="B171" s="15"/>
      <c r="C171" s="16"/>
      <c r="D171" s="14"/>
      <c r="E171" s="15"/>
      <c r="F171" s="14"/>
      <c r="G171" s="14"/>
      <c r="H171" s="14"/>
      <c r="I171" s="14"/>
      <c r="J171" s="14"/>
      <c r="K171" s="17"/>
      <c r="L171" s="17"/>
    </row>
    <row r="172">
      <c r="A172" s="14"/>
      <c r="B172" s="15"/>
      <c r="C172" s="16"/>
      <c r="D172" s="18"/>
      <c r="E172" s="15"/>
      <c r="F172" s="14"/>
      <c r="G172" s="14"/>
      <c r="H172" s="14"/>
      <c r="I172" s="14"/>
      <c r="J172" s="14"/>
      <c r="K172" s="17"/>
      <c r="L172" s="17"/>
    </row>
    <row r="173">
      <c r="A173" s="14"/>
      <c r="B173" s="15"/>
      <c r="C173" s="16"/>
      <c r="D173" s="18"/>
      <c r="E173" s="15"/>
      <c r="F173" s="14"/>
      <c r="G173" s="14"/>
      <c r="H173" s="14"/>
      <c r="I173" s="14"/>
      <c r="J173" s="14"/>
      <c r="K173" s="17"/>
      <c r="L173" s="17"/>
    </row>
    <row r="174">
      <c r="A174" s="14"/>
      <c r="B174" s="15"/>
      <c r="C174" s="16"/>
      <c r="D174" s="18"/>
      <c r="E174" s="15"/>
      <c r="F174" s="14"/>
      <c r="G174" s="14"/>
      <c r="H174" s="14"/>
      <c r="I174" s="14"/>
      <c r="J174" s="14"/>
      <c r="K174" s="17"/>
      <c r="L174" s="17"/>
    </row>
    <row r="175">
      <c r="A175" s="14"/>
      <c r="B175" s="15"/>
      <c r="C175" s="16"/>
      <c r="D175" s="18"/>
      <c r="E175" s="15"/>
      <c r="F175" s="14"/>
      <c r="G175" s="14"/>
      <c r="H175" s="14"/>
      <c r="I175" s="14"/>
      <c r="J175" s="14"/>
      <c r="K175" s="17"/>
      <c r="L175" s="17"/>
    </row>
    <row r="176">
      <c r="A176" s="14"/>
      <c r="B176" s="15"/>
      <c r="C176" s="16"/>
      <c r="D176" s="18"/>
      <c r="E176" s="15"/>
      <c r="F176" s="14"/>
      <c r="G176" s="14"/>
      <c r="H176" s="14"/>
      <c r="I176" s="14"/>
      <c r="J176" s="14"/>
      <c r="K176" s="17"/>
      <c r="L176" s="17"/>
    </row>
    <row r="177">
      <c r="A177" s="14"/>
      <c r="B177" s="15"/>
      <c r="C177" s="16"/>
      <c r="D177" s="18"/>
      <c r="E177" s="15"/>
      <c r="F177" s="14"/>
      <c r="G177" s="14"/>
      <c r="H177" s="14"/>
      <c r="I177" s="14"/>
      <c r="J177" s="14"/>
      <c r="K177" s="17"/>
      <c r="L177" s="17"/>
    </row>
    <row r="178">
      <c r="A178" s="14"/>
      <c r="B178" s="15"/>
      <c r="C178" s="16"/>
      <c r="D178" s="18"/>
      <c r="E178" s="15"/>
      <c r="F178" s="14"/>
      <c r="G178" s="14"/>
      <c r="H178" s="14"/>
      <c r="I178" s="14"/>
      <c r="J178" s="14"/>
      <c r="K178" s="17"/>
      <c r="L178" s="17"/>
    </row>
    <row r="179">
      <c r="A179" s="14"/>
      <c r="B179" s="15"/>
      <c r="C179" s="16"/>
      <c r="D179" s="18"/>
      <c r="E179" s="15"/>
      <c r="F179" s="14"/>
      <c r="G179" s="14"/>
      <c r="H179" s="14"/>
      <c r="I179" s="14"/>
      <c r="J179" s="14"/>
      <c r="K179" s="17"/>
      <c r="L179" s="17"/>
    </row>
    <row r="180">
      <c r="A180" s="14"/>
      <c r="B180" s="15"/>
      <c r="C180" s="16"/>
      <c r="D180" s="18"/>
      <c r="E180" s="15"/>
      <c r="F180" s="14"/>
      <c r="G180" s="14"/>
      <c r="H180" s="14"/>
      <c r="I180" s="14"/>
      <c r="J180" s="14"/>
      <c r="K180" s="17"/>
      <c r="L180" s="17"/>
    </row>
    <row r="181">
      <c r="A181" s="14"/>
      <c r="B181" s="15"/>
      <c r="C181" s="16"/>
      <c r="D181" s="18"/>
      <c r="E181" s="15"/>
      <c r="F181" s="14"/>
      <c r="G181" s="14"/>
      <c r="H181" s="14"/>
      <c r="I181" s="14"/>
      <c r="J181" s="14"/>
      <c r="K181" s="17"/>
      <c r="L181" s="17"/>
    </row>
    <row r="182">
      <c r="A182" s="14"/>
      <c r="B182" s="15"/>
      <c r="C182" s="16"/>
      <c r="D182" s="14"/>
      <c r="E182" s="15"/>
      <c r="F182" s="14"/>
      <c r="G182" s="14"/>
      <c r="H182" s="14"/>
      <c r="I182" s="14"/>
      <c r="J182" s="14"/>
      <c r="K182" s="17"/>
      <c r="L182" s="17"/>
    </row>
    <row r="183">
      <c r="A183" s="14"/>
      <c r="B183" s="15"/>
      <c r="C183" s="16"/>
      <c r="D183" s="14"/>
      <c r="E183" s="15"/>
      <c r="F183" s="14"/>
      <c r="G183" s="14"/>
      <c r="H183" s="14"/>
      <c r="I183" s="14"/>
      <c r="J183" s="14"/>
      <c r="K183" s="17"/>
      <c r="L183" s="17"/>
    </row>
    <row r="184">
      <c r="A184" s="14"/>
      <c r="B184" s="15"/>
      <c r="C184" s="16"/>
      <c r="D184" s="14"/>
      <c r="E184" s="15"/>
      <c r="F184" s="14"/>
      <c r="G184" s="14"/>
      <c r="H184" s="14"/>
      <c r="I184" s="14"/>
      <c r="J184" s="14"/>
      <c r="K184" s="17"/>
      <c r="L184" s="17"/>
    </row>
    <row r="185">
      <c r="A185" s="14"/>
      <c r="B185" s="15"/>
      <c r="C185" s="16"/>
      <c r="D185" s="14"/>
      <c r="E185" s="15"/>
      <c r="F185" s="14"/>
      <c r="G185" s="14"/>
      <c r="H185" s="14"/>
      <c r="I185" s="14"/>
      <c r="J185" s="14"/>
      <c r="K185" s="17"/>
      <c r="L185" s="17"/>
    </row>
    <row r="186">
      <c r="A186" s="14"/>
      <c r="B186" s="15"/>
      <c r="C186" s="16"/>
      <c r="D186" s="14"/>
      <c r="E186" s="15"/>
      <c r="F186" s="14"/>
      <c r="G186" s="14"/>
      <c r="H186" s="14"/>
      <c r="I186" s="14"/>
      <c r="J186" s="14"/>
      <c r="K186" s="17"/>
      <c r="L186" s="17"/>
    </row>
    <row r="187">
      <c r="A187" s="14"/>
      <c r="B187" s="15"/>
      <c r="C187" s="16"/>
      <c r="D187" s="14"/>
      <c r="E187" s="15"/>
      <c r="F187" s="14"/>
      <c r="G187" s="14"/>
      <c r="H187" s="14"/>
      <c r="I187" s="14"/>
      <c r="J187" s="14"/>
      <c r="K187" s="17"/>
      <c r="L187" s="17"/>
    </row>
    <row r="188">
      <c r="A188" s="14"/>
      <c r="B188" s="15"/>
      <c r="C188" s="16"/>
      <c r="D188" s="14"/>
      <c r="E188" s="15"/>
      <c r="F188" s="14"/>
      <c r="G188" s="14"/>
      <c r="H188" s="14"/>
      <c r="I188" s="14"/>
      <c r="J188" s="14"/>
      <c r="K188" s="17"/>
      <c r="L188" s="17"/>
    </row>
    <row r="189">
      <c r="A189" s="14"/>
      <c r="B189" s="15"/>
      <c r="C189" s="16"/>
      <c r="D189" s="14"/>
      <c r="E189" s="15"/>
      <c r="F189" s="14"/>
      <c r="G189" s="14"/>
      <c r="H189" s="14"/>
      <c r="I189" s="14"/>
      <c r="J189" s="14"/>
      <c r="K189" s="17"/>
      <c r="L189" s="17"/>
    </row>
    <row r="190">
      <c r="A190" s="14"/>
      <c r="B190" s="15"/>
      <c r="C190" s="16"/>
      <c r="D190" s="18"/>
      <c r="E190" s="15"/>
      <c r="F190" s="14"/>
      <c r="G190" s="14"/>
      <c r="H190" s="14"/>
      <c r="I190" s="14"/>
      <c r="J190" s="14"/>
      <c r="K190" s="17"/>
      <c r="L190" s="17"/>
    </row>
    <row r="191">
      <c r="A191" s="14"/>
      <c r="B191" s="15"/>
      <c r="C191" s="16"/>
      <c r="D191" s="18"/>
      <c r="E191" s="15"/>
      <c r="F191" s="14"/>
      <c r="G191" s="14"/>
      <c r="H191" s="14"/>
      <c r="I191" s="14"/>
      <c r="J191" s="14"/>
      <c r="K191" s="17"/>
      <c r="L191" s="17"/>
    </row>
    <row r="192">
      <c r="A192" s="14"/>
      <c r="B192" s="15"/>
      <c r="C192" s="16"/>
      <c r="D192" s="18"/>
      <c r="E192" s="15"/>
      <c r="F192" s="14"/>
      <c r="G192" s="14"/>
      <c r="H192" s="14"/>
      <c r="I192" s="14"/>
      <c r="J192" s="14"/>
      <c r="K192" s="17"/>
      <c r="L192" s="17"/>
    </row>
    <row r="193">
      <c r="A193" s="14"/>
      <c r="B193" s="15"/>
      <c r="C193" s="16"/>
      <c r="D193" s="18"/>
      <c r="E193" s="15"/>
      <c r="F193" s="14"/>
      <c r="G193" s="14"/>
      <c r="H193" s="14"/>
      <c r="I193" s="14"/>
      <c r="J193" s="14"/>
      <c r="K193" s="17"/>
      <c r="L193" s="17"/>
    </row>
    <row r="194">
      <c r="A194" s="14"/>
      <c r="B194" s="15"/>
      <c r="C194" s="16"/>
      <c r="D194" s="14"/>
      <c r="E194" s="15"/>
      <c r="F194" s="14"/>
      <c r="G194" s="14"/>
      <c r="H194" s="14"/>
      <c r="I194" s="14"/>
      <c r="J194" s="14"/>
      <c r="K194" s="17"/>
      <c r="L194" s="17"/>
    </row>
    <row r="195">
      <c r="A195" s="14"/>
      <c r="B195" s="15"/>
      <c r="C195" s="16"/>
      <c r="D195" s="14"/>
      <c r="E195" s="15"/>
      <c r="F195" s="14"/>
      <c r="G195" s="14"/>
      <c r="H195" s="14"/>
      <c r="I195" s="14"/>
      <c r="J195" s="14"/>
      <c r="K195" s="17"/>
      <c r="L195" s="17"/>
    </row>
    <row r="196">
      <c r="A196" s="14"/>
      <c r="B196" s="15"/>
      <c r="C196" s="16"/>
      <c r="D196" s="18"/>
      <c r="E196" s="15"/>
      <c r="F196" s="14"/>
      <c r="G196" s="14"/>
      <c r="H196" s="14"/>
      <c r="I196" s="14"/>
      <c r="J196" s="14"/>
      <c r="K196" s="17"/>
      <c r="L196" s="17"/>
    </row>
    <row r="197">
      <c r="A197" s="14"/>
      <c r="B197" s="15"/>
      <c r="C197" s="16"/>
      <c r="D197" s="18"/>
      <c r="E197" s="15"/>
      <c r="F197" s="14"/>
      <c r="G197" s="14"/>
      <c r="H197" s="14"/>
      <c r="I197" s="14"/>
      <c r="J197" s="14"/>
      <c r="K197" s="17"/>
      <c r="L197" s="17"/>
    </row>
    <row r="198">
      <c r="A198" s="14"/>
      <c r="B198" s="15"/>
      <c r="C198" s="16"/>
      <c r="D198" s="18"/>
      <c r="E198" s="15"/>
      <c r="F198" s="14"/>
      <c r="G198" s="14"/>
      <c r="H198" s="14"/>
      <c r="I198" s="14"/>
      <c r="J198" s="14"/>
      <c r="K198" s="17"/>
      <c r="L198" s="17"/>
    </row>
    <row r="199">
      <c r="A199" s="14"/>
      <c r="B199" s="15"/>
      <c r="C199" s="16"/>
      <c r="D199" s="18"/>
      <c r="E199" s="15"/>
      <c r="F199" s="14"/>
      <c r="G199" s="14"/>
      <c r="H199" s="14"/>
      <c r="I199" s="14"/>
      <c r="J199" s="14"/>
      <c r="K199" s="17"/>
      <c r="L199" s="17"/>
    </row>
    <row r="200">
      <c r="A200" s="14"/>
      <c r="B200" s="15"/>
      <c r="C200" s="16"/>
      <c r="D200" s="14"/>
      <c r="E200" s="15"/>
      <c r="F200" s="14"/>
      <c r="G200" s="14"/>
      <c r="H200" s="14"/>
      <c r="I200" s="14"/>
      <c r="J200" s="14"/>
      <c r="K200" s="17"/>
      <c r="L200" s="17"/>
    </row>
    <row r="201">
      <c r="A201" s="14"/>
      <c r="B201" s="15"/>
      <c r="C201" s="16"/>
      <c r="D201" s="14"/>
      <c r="E201" s="15"/>
      <c r="F201" s="14"/>
      <c r="G201" s="14"/>
      <c r="H201" s="14"/>
      <c r="I201" s="14"/>
      <c r="J201" s="14"/>
      <c r="K201" s="17"/>
      <c r="L201" s="17"/>
    </row>
    <row r="202">
      <c r="A202" s="14"/>
      <c r="B202" s="15"/>
      <c r="C202" s="16"/>
      <c r="D202" s="14"/>
      <c r="E202" s="15"/>
      <c r="F202" s="14"/>
      <c r="G202" s="14"/>
      <c r="H202" s="14"/>
      <c r="I202" s="14"/>
      <c r="J202" s="14"/>
      <c r="K202" s="17"/>
      <c r="L202" s="17"/>
    </row>
    <row r="203">
      <c r="A203" s="14"/>
      <c r="B203" s="15"/>
      <c r="C203" s="16"/>
      <c r="D203" s="14"/>
      <c r="E203" s="15"/>
      <c r="F203" s="14"/>
      <c r="G203" s="14"/>
      <c r="H203" s="14"/>
      <c r="I203" s="14"/>
      <c r="J203" s="14"/>
      <c r="K203" s="17"/>
      <c r="L203" s="17"/>
    </row>
    <row r="204">
      <c r="A204" s="14"/>
      <c r="B204" s="15"/>
      <c r="C204" s="16"/>
      <c r="D204" s="14"/>
      <c r="E204" s="15"/>
      <c r="F204" s="14"/>
      <c r="G204" s="14"/>
      <c r="H204" s="14"/>
      <c r="I204" s="14"/>
      <c r="J204" s="14"/>
      <c r="K204" s="17"/>
      <c r="L204" s="17"/>
    </row>
    <row r="205">
      <c r="A205" s="14"/>
      <c r="B205" s="15"/>
      <c r="C205" s="16"/>
      <c r="D205" s="14"/>
      <c r="E205" s="15"/>
      <c r="F205" s="14"/>
      <c r="G205" s="14"/>
      <c r="H205" s="14"/>
      <c r="I205" s="14"/>
      <c r="J205" s="14"/>
      <c r="K205" s="17"/>
      <c r="L205" s="17"/>
    </row>
    <row r="206">
      <c r="A206" s="14"/>
      <c r="B206" s="15"/>
      <c r="C206" s="16"/>
      <c r="D206" s="14"/>
      <c r="E206" s="15"/>
      <c r="F206" s="14"/>
      <c r="G206" s="14"/>
      <c r="H206" s="14"/>
      <c r="I206" s="14"/>
      <c r="J206" s="14"/>
      <c r="K206" s="17"/>
      <c r="L206" s="17"/>
    </row>
    <row r="207">
      <c r="A207" s="14"/>
      <c r="B207" s="15"/>
      <c r="C207" s="16"/>
      <c r="D207" s="14"/>
      <c r="E207" s="15"/>
      <c r="F207" s="14"/>
      <c r="G207" s="14"/>
      <c r="H207" s="14"/>
      <c r="I207" s="14"/>
      <c r="J207" s="14"/>
      <c r="K207" s="17"/>
      <c r="L207" s="17"/>
    </row>
    <row r="208">
      <c r="A208" s="14"/>
      <c r="B208" s="15"/>
      <c r="C208" s="16"/>
      <c r="D208" s="18"/>
      <c r="E208" s="15"/>
      <c r="F208" s="14"/>
      <c r="G208" s="14"/>
      <c r="H208" s="14"/>
      <c r="I208" s="14"/>
      <c r="J208" s="14"/>
      <c r="K208" s="17"/>
      <c r="L208" s="17"/>
    </row>
    <row r="209">
      <c r="A209" s="14"/>
      <c r="B209" s="15"/>
      <c r="C209" s="16"/>
      <c r="D209" s="18"/>
      <c r="E209" s="15"/>
      <c r="F209" s="14"/>
      <c r="G209" s="14"/>
      <c r="H209" s="14"/>
      <c r="I209" s="14"/>
      <c r="J209" s="14"/>
      <c r="K209" s="17"/>
      <c r="L209" s="17"/>
    </row>
    <row r="210">
      <c r="A210" s="14"/>
      <c r="B210" s="15"/>
      <c r="C210" s="16"/>
      <c r="D210" s="18"/>
      <c r="E210" s="15"/>
      <c r="F210" s="14"/>
      <c r="G210" s="14"/>
      <c r="H210" s="14"/>
      <c r="I210" s="14"/>
      <c r="J210" s="14"/>
      <c r="K210" s="17"/>
      <c r="L210" s="17"/>
    </row>
    <row r="211">
      <c r="A211" s="14"/>
      <c r="B211" s="15"/>
      <c r="C211" s="16"/>
      <c r="D211" s="18"/>
      <c r="E211" s="15"/>
      <c r="F211" s="14"/>
      <c r="G211" s="14"/>
      <c r="H211" s="14"/>
      <c r="I211" s="14"/>
      <c r="J211" s="14"/>
      <c r="K211" s="17"/>
      <c r="L211" s="17"/>
    </row>
    <row r="212">
      <c r="A212" s="14"/>
      <c r="B212" s="15"/>
      <c r="C212" s="16"/>
      <c r="D212" s="18"/>
      <c r="E212" s="15"/>
      <c r="F212" s="14"/>
      <c r="G212" s="14"/>
      <c r="H212" s="14"/>
      <c r="I212" s="14"/>
      <c r="J212" s="14"/>
      <c r="K212" s="17"/>
      <c r="L212" s="17"/>
    </row>
    <row r="213">
      <c r="A213" s="14"/>
      <c r="B213" s="15"/>
      <c r="C213" s="16"/>
      <c r="D213" s="18"/>
      <c r="E213" s="15"/>
      <c r="F213" s="14"/>
      <c r="G213" s="14"/>
      <c r="H213" s="14"/>
      <c r="I213" s="14"/>
      <c r="J213" s="14"/>
      <c r="K213" s="17"/>
      <c r="L213" s="17"/>
    </row>
    <row r="214">
      <c r="A214" s="14"/>
      <c r="B214" s="15"/>
      <c r="C214" s="16"/>
      <c r="D214" s="14"/>
      <c r="E214" s="15"/>
      <c r="F214" s="14"/>
      <c r="G214" s="14"/>
      <c r="H214" s="14"/>
      <c r="I214" s="14"/>
      <c r="J214" s="14"/>
      <c r="K214" s="17"/>
      <c r="L214" s="17"/>
    </row>
    <row r="215">
      <c r="A215" s="14"/>
      <c r="B215" s="15"/>
      <c r="C215" s="16"/>
      <c r="D215" s="14"/>
      <c r="E215" s="15"/>
      <c r="F215" s="14"/>
      <c r="G215" s="14"/>
      <c r="H215" s="14"/>
      <c r="I215" s="14"/>
      <c r="J215" s="14"/>
      <c r="K215" s="17"/>
      <c r="L215" s="17"/>
    </row>
    <row r="216">
      <c r="A216" s="14"/>
      <c r="B216" s="15"/>
      <c r="C216" s="16"/>
      <c r="D216" s="14"/>
      <c r="E216" s="15"/>
      <c r="F216" s="14"/>
      <c r="G216" s="14"/>
      <c r="H216" s="14"/>
      <c r="I216" s="14"/>
      <c r="J216" s="14"/>
      <c r="K216" s="17"/>
      <c r="L216" s="17"/>
    </row>
    <row r="217">
      <c r="A217" s="14"/>
      <c r="B217" s="15"/>
      <c r="C217" s="16"/>
      <c r="D217" s="14"/>
      <c r="E217" s="15"/>
      <c r="F217" s="14"/>
      <c r="G217" s="14"/>
      <c r="H217" s="14"/>
      <c r="I217" s="14"/>
      <c r="J217" s="14"/>
      <c r="K217" s="17"/>
      <c r="L217" s="17"/>
    </row>
    <row r="218">
      <c r="A218" s="14"/>
      <c r="B218" s="15"/>
      <c r="C218" s="16"/>
      <c r="D218" s="14"/>
      <c r="E218" s="15"/>
      <c r="F218" s="14"/>
      <c r="G218" s="14"/>
      <c r="H218" s="14"/>
      <c r="I218" s="14"/>
      <c r="J218" s="14"/>
      <c r="K218" s="17"/>
      <c r="L218" s="17"/>
    </row>
    <row r="219">
      <c r="A219" s="14"/>
      <c r="B219" s="15"/>
      <c r="C219" s="16"/>
      <c r="D219" s="14"/>
      <c r="E219" s="15"/>
      <c r="F219" s="14"/>
      <c r="G219" s="14"/>
      <c r="H219" s="14"/>
      <c r="I219" s="14"/>
      <c r="J219" s="14"/>
      <c r="K219" s="17"/>
      <c r="L219" s="17"/>
    </row>
    <row r="220">
      <c r="A220" s="14"/>
      <c r="B220" s="15"/>
      <c r="C220" s="16"/>
      <c r="D220" s="18"/>
      <c r="E220" s="15"/>
      <c r="F220" s="14"/>
      <c r="G220" s="14"/>
      <c r="H220" s="14"/>
      <c r="I220" s="14"/>
      <c r="J220" s="14"/>
      <c r="K220" s="17"/>
      <c r="L220" s="17"/>
    </row>
    <row r="221">
      <c r="A221" s="14"/>
      <c r="B221" s="15"/>
      <c r="C221" s="16"/>
      <c r="D221" s="18"/>
      <c r="E221" s="15"/>
      <c r="F221" s="14"/>
      <c r="G221" s="14"/>
      <c r="H221" s="14"/>
      <c r="I221" s="14"/>
      <c r="J221" s="14"/>
      <c r="K221" s="17"/>
      <c r="L221" s="17"/>
    </row>
    <row r="222">
      <c r="A222" s="14"/>
      <c r="B222" s="15"/>
      <c r="C222" s="16"/>
      <c r="D222" s="18"/>
      <c r="E222" s="15"/>
      <c r="F222" s="14"/>
      <c r="G222" s="14"/>
      <c r="H222" s="14"/>
      <c r="I222" s="14"/>
      <c r="J222" s="14"/>
      <c r="K222" s="17"/>
      <c r="L222" s="17"/>
    </row>
    <row r="223">
      <c r="A223" s="14"/>
      <c r="B223" s="15"/>
      <c r="C223" s="16"/>
      <c r="D223" s="18"/>
      <c r="E223" s="15"/>
      <c r="F223" s="14"/>
      <c r="G223" s="14"/>
      <c r="H223" s="14"/>
      <c r="I223" s="14"/>
      <c r="J223" s="14"/>
      <c r="K223" s="17"/>
      <c r="L223" s="17"/>
    </row>
    <row r="224">
      <c r="A224" s="14"/>
      <c r="B224" s="15"/>
      <c r="C224" s="16"/>
      <c r="D224" s="18"/>
      <c r="E224" s="15"/>
      <c r="F224" s="14"/>
      <c r="G224" s="14"/>
      <c r="H224" s="14"/>
      <c r="I224" s="14"/>
      <c r="J224" s="14"/>
      <c r="K224" s="17"/>
      <c r="L224" s="17"/>
    </row>
    <row r="225">
      <c r="A225" s="14"/>
      <c r="B225" s="15"/>
      <c r="C225" s="16"/>
      <c r="D225" s="18"/>
      <c r="E225" s="15"/>
      <c r="F225" s="14"/>
      <c r="G225" s="14"/>
      <c r="H225" s="14"/>
      <c r="I225" s="14"/>
      <c r="J225" s="14"/>
      <c r="K225" s="17"/>
      <c r="L225" s="17"/>
    </row>
    <row r="226">
      <c r="A226" s="14"/>
      <c r="B226" s="15"/>
      <c r="C226" s="16"/>
      <c r="D226" s="14"/>
      <c r="E226" s="15"/>
      <c r="F226" s="14"/>
      <c r="G226" s="14"/>
      <c r="H226" s="14"/>
      <c r="I226" s="14"/>
      <c r="J226" s="14"/>
      <c r="K226" s="17"/>
      <c r="L226" s="17"/>
    </row>
    <row r="227">
      <c r="A227" s="14"/>
      <c r="B227" s="15"/>
      <c r="C227" s="16"/>
      <c r="D227" s="14"/>
      <c r="E227" s="15"/>
      <c r="F227" s="14"/>
      <c r="G227" s="14"/>
      <c r="H227" s="14"/>
      <c r="I227" s="14"/>
      <c r="J227" s="14"/>
      <c r="K227" s="17"/>
      <c r="L227" s="17"/>
    </row>
    <row r="228">
      <c r="A228" s="14"/>
      <c r="B228" s="15"/>
      <c r="C228" s="16"/>
      <c r="D228" s="14"/>
      <c r="E228" s="15"/>
      <c r="F228" s="14"/>
      <c r="G228" s="14"/>
      <c r="H228" s="14"/>
      <c r="I228" s="14"/>
      <c r="J228" s="14"/>
      <c r="K228" s="17"/>
      <c r="L228" s="17"/>
    </row>
    <row r="229">
      <c r="A229" s="14"/>
      <c r="B229" s="15"/>
      <c r="C229" s="16"/>
      <c r="D229" s="14"/>
      <c r="E229" s="15"/>
      <c r="F229" s="14"/>
      <c r="G229" s="14"/>
      <c r="H229" s="14"/>
      <c r="I229" s="14"/>
      <c r="J229" s="14"/>
      <c r="K229" s="17"/>
      <c r="L229" s="17"/>
    </row>
    <row r="230">
      <c r="A230" s="14"/>
      <c r="B230" s="15"/>
      <c r="C230" s="16"/>
      <c r="D230" s="14"/>
      <c r="E230" s="15"/>
      <c r="F230" s="14"/>
      <c r="G230" s="14"/>
      <c r="H230" s="14"/>
      <c r="I230" s="14"/>
      <c r="J230" s="14"/>
      <c r="K230" s="17"/>
      <c r="L230" s="17"/>
    </row>
    <row r="231">
      <c r="A231" s="14"/>
      <c r="B231" s="15"/>
      <c r="C231" s="16"/>
      <c r="D231" s="14"/>
      <c r="E231" s="15"/>
      <c r="F231" s="14"/>
      <c r="G231" s="14"/>
      <c r="H231" s="14"/>
      <c r="I231" s="14"/>
      <c r="J231" s="14"/>
      <c r="K231" s="17"/>
      <c r="L231" s="17"/>
    </row>
    <row r="232">
      <c r="A232" s="14"/>
      <c r="B232" s="15"/>
      <c r="C232" s="16"/>
      <c r="D232" s="14"/>
      <c r="E232" s="15"/>
      <c r="F232" s="14"/>
      <c r="G232" s="14"/>
      <c r="H232" s="14"/>
      <c r="I232" s="14"/>
      <c r="J232" s="14"/>
      <c r="K232" s="17"/>
      <c r="L232" s="17"/>
    </row>
    <row r="233">
      <c r="A233" s="14"/>
      <c r="B233" s="15"/>
      <c r="C233" s="16"/>
      <c r="D233" s="14"/>
      <c r="E233" s="15"/>
      <c r="F233" s="14"/>
      <c r="G233" s="14"/>
      <c r="H233" s="14"/>
      <c r="I233" s="14"/>
      <c r="J233" s="14"/>
      <c r="K233" s="17"/>
      <c r="L233" s="17"/>
    </row>
    <row r="234">
      <c r="A234" s="14"/>
      <c r="B234" s="15"/>
      <c r="C234" s="16"/>
      <c r="D234" s="14"/>
      <c r="E234" s="15"/>
      <c r="F234" s="14"/>
      <c r="G234" s="14"/>
      <c r="H234" s="14"/>
      <c r="I234" s="14"/>
      <c r="J234" s="14"/>
      <c r="K234" s="17"/>
      <c r="L234" s="17"/>
    </row>
    <row r="235">
      <c r="A235" s="14"/>
      <c r="B235" s="15"/>
      <c r="C235" s="16"/>
      <c r="D235" s="14"/>
      <c r="E235" s="15"/>
      <c r="F235" s="14"/>
      <c r="G235" s="14"/>
      <c r="H235" s="14"/>
      <c r="I235" s="14"/>
      <c r="J235" s="14"/>
      <c r="K235" s="17"/>
      <c r="L235" s="17"/>
    </row>
    <row r="236">
      <c r="A236" s="14"/>
      <c r="B236" s="15"/>
      <c r="C236" s="16"/>
      <c r="D236" s="14"/>
      <c r="E236" s="15"/>
      <c r="F236" s="14"/>
      <c r="G236" s="14"/>
      <c r="H236" s="14"/>
      <c r="I236" s="14"/>
      <c r="J236" s="14"/>
      <c r="K236" s="17"/>
      <c r="L236" s="17"/>
    </row>
    <row r="237">
      <c r="A237" s="14"/>
      <c r="B237" s="15"/>
      <c r="C237" s="16"/>
      <c r="D237" s="14"/>
      <c r="E237" s="15"/>
      <c r="F237" s="14"/>
      <c r="G237" s="14"/>
      <c r="H237" s="14"/>
      <c r="I237" s="14"/>
      <c r="J237" s="14"/>
      <c r="K237" s="17"/>
      <c r="L237" s="17"/>
    </row>
    <row r="238">
      <c r="A238" s="14"/>
      <c r="B238" s="15"/>
      <c r="C238" s="16"/>
      <c r="D238" s="14"/>
      <c r="E238" s="15"/>
      <c r="F238" s="14"/>
      <c r="G238" s="14"/>
      <c r="H238" s="14"/>
      <c r="I238" s="14"/>
      <c r="J238" s="14"/>
      <c r="K238" s="17"/>
      <c r="L238" s="17"/>
    </row>
    <row r="239">
      <c r="A239" s="14"/>
      <c r="B239" s="15"/>
      <c r="C239" s="16"/>
      <c r="D239" s="14"/>
      <c r="E239" s="15"/>
      <c r="F239" s="14"/>
      <c r="G239" s="14"/>
      <c r="H239" s="14"/>
      <c r="I239" s="14"/>
      <c r="J239" s="14"/>
      <c r="K239" s="17"/>
      <c r="L239" s="17"/>
    </row>
    <row r="240">
      <c r="A240" s="14"/>
      <c r="B240" s="15"/>
      <c r="C240" s="16"/>
      <c r="D240" s="18"/>
      <c r="E240" s="15"/>
      <c r="F240" s="14"/>
      <c r="G240" s="14"/>
      <c r="H240" s="14"/>
      <c r="I240" s="14"/>
      <c r="J240" s="14"/>
      <c r="K240" s="17"/>
      <c r="L240" s="17"/>
    </row>
    <row r="241">
      <c r="A241" s="14"/>
      <c r="B241" s="15"/>
      <c r="C241" s="16"/>
      <c r="D241" s="18"/>
      <c r="E241" s="15"/>
      <c r="F241" s="14"/>
      <c r="G241" s="14"/>
      <c r="H241" s="14"/>
      <c r="I241" s="14"/>
      <c r="J241" s="14"/>
      <c r="K241" s="17"/>
      <c r="L241" s="17"/>
    </row>
    <row r="242">
      <c r="A242" s="14"/>
      <c r="B242" s="15"/>
      <c r="C242" s="16"/>
      <c r="D242" s="18"/>
      <c r="E242" s="15"/>
      <c r="F242" s="14"/>
      <c r="G242" s="14"/>
      <c r="H242" s="14"/>
      <c r="I242" s="14"/>
      <c r="J242" s="14"/>
      <c r="K242" s="17"/>
      <c r="L242" s="17"/>
    </row>
    <row r="243">
      <c r="A243" s="14"/>
      <c r="B243" s="15"/>
      <c r="C243" s="16"/>
      <c r="D243" s="18"/>
      <c r="E243" s="15"/>
      <c r="F243" s="14"/>
      <c r="G243" s="14"/>
      <c r="H243" s="14"/>
      <c r="I243" s="14"/>
      <c r="J243" s="14"/>
      <c r="K243" s="17"/>
      <c r="L243" s="17"/>
    </row>
    <row r="244">
      <c r="A244" s="14"/>
      <c r="B244" s="15"/>
      <c r="C244" s="16"/>
      <c r="D244" s="18"/>
      <c r="E244" s="15"/>
      <c r="F244" s="14"/>
      <c r="G244" s="14"/>
      <c r="H244" s="14"/>
      <c r="I244" s="14"/>
      <c r="J244" s="14"/>
      <c r="K244" s="17"/>
      <c r="L244" s="17"/>
    </row>
    <row r="245">
      <c r="A245" s="14"/>
      <c r="B245" s="15"/>
      <c r="C245" s="16"/>
      <c r="D245" s="18"/>
      <c r="E245" s="15"/>
      <c r="F245" s="14"/>
      <c r="G245" s="14"/>
      <c r="H245" s="14"/>
      <c r="I245" s="14"/>
      <c r="J245" s="14"/>
      <c r="K245" s="17"/>
      <c r="L245" s="17"/>
    </row>
    <row r="246">
      <c r="A246" s="14"/>
      <c r="B246" s="15"/>
      <c r="C246" s="16"/>
      <c r="D246" s="18"/>
      <c r="E246" s="15"/>
      <c r="F246" s="14"/>
      <c r="G246" s="14"/>
      <c r="H246" s="14"/>
      <c r="I246" s="14"/>
      <c r="J246" s="14"/>
      <c r="K246" s="17"/>
      <c r="L246" s="17"/>
    </row>
    <row r="247">
      <c r="A247" s="14"/>
      <c r="B247" s="15"/>
      <c r="C247" s="16"/>
      <c r="D247" s="18"/>
      <c r="E247" s="15"/>
      <c r="F247" s="14"/>
      <c r="G247" s="14"/>
      <c r="H247" s="14"/>
      <c r="I247" s="14"/>
      <c r="J247" s="14"/>
      <c r="K247" s="17"/>
      <c r="L247" s="17"/>
    </row>
    <row r="248">
      <c r="A248" s="14"/>
      <c r="B248" s="15"/>
      <c r="C248" s="16"/>
      <c r="D248" s="18"/>
      <c r="E248" s="15"/>
      <c r="F248" s="14"/>
      <c r="G248" s="14"/>
      <c r="H248" s="14"/>
      <c r="I248" s="14"/>
      <c r="J248" s="14"/>
      <c r="K248" s="17"/>
      <c r="L248" s="17"/>
    </row>
    <row r="249">
      <c r="A249" s="14"/>
      <c r="B249" s="15"/>
      <c r="C249" s="16"/>
      <c r="D249" s="18"/>
      <c r="E249" s="15"/>
      <c r="F249" s="14"/>
      <c r="G249" s="14"/>
      <c r="H249" s="14"/>
      <c r="I249" s="14"/>
      <c r="J249" s="14"/>
      <c r="K249" s="17"/>
      <c r="L249" s="17"/>
    </row>
    <row r="250">
      <c r="A250" s="14"/>
      <c r="B250" s="15"/>
      <c r="C250" s="16"/>
      <c r="D250" s="14"/>
      <c r="E250" s="15"/>
      <c r="F250" s="14"/>
      <c r="G250" s="14"/>
      <c r="H250" s="14"/>
      <c r="I250" s="14"/>
      <c r="J250" s="14"/>
      <c r="K250" s="17"/>
      <c r="L250" s="17"/>
    </row>
    <row r="251">
      <c r="A251" s="14"/>
      <c r="B251" s="15"/>
      <c r="C251" s="16"/>
      <c r="D251" s="14"/>
      <c r="E251" s="15"/>
      <c r="F251" s="14"/>
      <c r="G251" s="14"/>
      <c r="H251" s="14"/>
      <c r="I251" s="14"/>
      <c r="J251" s="14"/>
      <c r="K251" s="17"/>
      <c r="L251" s="17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</row>
  </sheetData>
  <hyperlinks>
    <hyperlink r:id="rId1" ref="D8"/>
    <hyperlink r:id="rId2" ref="D9"/>
    <hyperlink r:id="rId3" ref="D10"/>
    <hyperlink r:id="rId4" ref="D11"/>
    <hyperlink r:id="rId5" ref="D12"/>
    <hyperlink r:id="rId6" ref="D13"/>
  </hyperlinks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IFERROR(__xludf.DUMMYFUNCTION("IMPORTRANGE(""https://docs.google.com/spreadsheets/d/13MAhBT9K2M70JP2OISI4aettE0FK27CjAGHAew7TsAE/edit?gid=917497601#gid=917497601"",""Sheet9!A1:L"")"),"game_id")</f>
        <v>game_id</v>
      </c>
      <c r="B1" s="5" t="str">
        <f>IFERROR(__xludf.DUMMYFUNCTION("""COMPUTED_VALUE"""),"commence_time")</f>
        <v>commence_time</v>
      </c>
      <c r="C1" s="5" t="str">
        <f>IFERROR(__xludf.DUMMYFUNCTION("""COMPUTED_VALUE"""),"in_play")</f>
        <v>in_play</v>
      </c>
      <c r="D1" s="5" t="str">
        <f>IFERROR(__xludf.DUMMYFUNCTION("""COMPUTED_VALUE"""),"bookmaker")</f>
        <v>bookmaker</v>
      </c>
      <c r="E1" s="5" t="str">
        <f>IFERROR(__xludf.DUMMYFUNCTION("""COMPUTED_VALUE"""),"last_update")</f>
        <v>last_update</v>
      </c>
      <c r="F1" s="5" t="str">
        <f>IFERROR(__xludf.DUMMYFUNCTION("""COMPUTED_VALUE"""),"home_team")</f>
        <v>home_team</v>
      </c>
      <c r="G1" s="5" t="str">
        <f>IFERROR(__xludf.DUMMYFUNCTION("""COMPUTED_VALUE"""),"away_team")</f>
        <v>away_team</v>
      </c>
      <c r="H1" s="5" t="str">
        <f>IFERROR(__xludf.DUMMYFUNCTION("""COMPUTED_VALUE"""),"market")</f>
        <v>market</v>
      </c>
      <c r="I1" s="5" t="str">
        <f>IFERROR(__xludf.DUMMYFUNCTION("""COMPUTED_VALUE"""),"label")</f>
        <v>label</v>
      </c>
      <c r="J1" s="5" t="str">
        <f>IFERROR(__xludf.DUMMYFUNCTION("""COMPUTED_VALUE"""),"description")</f>
        <v>description</v>
      </c>
      <c r="K1" s="5" t="str">
        <f>IFERROR(__xludf.DUMMYFUNCTION("""COMPUTED_VALUE"""),"price")</f>
        <v>price</v>
      </c>
      <c r="L1" s="5" t="str">
        <f>IFERROR(__xludf.DUMMYFUNCTION("""COMPUTED_VALUE"""),"point")</f>
        <v>point</v>
      </c>
    </row>
    <row r="2">
      <c r="A2" s="5" t="str">
        <f>IFERROR(__xludf.DUMMYFUNCTION("""COMPUTED_VALUE"""),"86278ec4bbdcadd945d79df6c695c2ec")</f>
        <v>86278ec4bbdcadd945d79df6c695c2ec</v>
      </c>
      <c r="B2" s="19">
        <f>IFERROR(__xludf.DUMMYFUNCTION("""COMPUTED_VALUE"""),45594.01041666667)</f>
        <v>45594.01042</v>
      </c>
      <c r="C2" s="5" t="b">
        <f>IFERROR(__xludf.DUMMYFUNCTION("""COMPUTED_VALUE"""),FALSE)</f>
        <v>0</v>
      </c>
      <c r="D2" s="5" t="str">
        <f>IFERROR(__xludf.DUMMYFUNCTION("""COMPUTED_VALUE"""),"DraftKings")</f>
        <v>DraftKings</v>
      </c>
      <c r="E2" s="19">
        <f>IFERROR(__xludf.DUMMYFUNCTION("""COMPUTED_VALUE"""),45593.91478009259)</f>
        <v>45593.91478</v>
      </c>
      <c r="F2" s="5" t="str">
        <f>IFERROR(__xludf.DUMMYFUNCTION("""COMPUTED_VALUE"""),"Pittsburgh Steelers")</f>
        <v>Pittsburgh Steelers</v>
      </c>
      <c r="G2" s="5" t="str">
        <f>IFERROR(__xludf.DUMMYFUNCTION("""COMPUTED_VALUE"""),"New York Giants")</f>
        <v>New York Giants</v>
      </c>
      <c r="H2" s="5" t="str">
        <f>IFERROR(__xludf.DUMMYFUNCTION("""COMPUTED_VALUE"""),"spreads")</f>
        <v>spreads</v>
      </c>
      <c r="I2" s="5" t="str">
        <f>IFERROR(__xludf.DUMMYFUNCTION("""COMPUTED_VALUE"""),"New York Giants")</f>
        <v>New York Giants</v>
      </c>
      <c r="J2" s="5"/>
      <c r="K2" s="5">
        <f>IFERROR(__xludf.DUMMYFUNCTION("""COMPUTED_VALUE"""),-105.0)</f>
        <v>-105</v>
      </c>
      <c r="L2" s="5">
        <f>IFERROR(__xludf.DUMMYFUNCTION("""COMPUTED_VALUE"""),6.0)</f>
        <v>6</v>
      </c>
    </row>
    <row r="3">
      <c r="A3" s="5" t="str">
        <f>IFERROR(__xludf.DUMMYFUNCTION("""COMPUTED_VALUE"""),"86278ec4bbdcadd945d79df6c695c2ec")</f>
        <v>86278ec4bbdcadd945d79df6c695c2ec</v>
      </c>
      <c r="B3" s="19">
        <f>IFERROR(__xludf.DUMMYFUNCTION("""COMPUTED_VALUE"""),45594.01041666667)</f>
        <v>45594.01042</v>
      </c>
      <c r="C3" s="5" t="b">
        <f>IFERROR(__xludf.DUMMYFUNCTION("""COMPUTED_VALUE"""),FALSE)</f>
        <v>0</v>
      </c>
      <c r="D3" s="5" t="str">
        <f>IFERROR(__xludf.DUMMYFUNCTION("""COMPUTED_VALUE"""),"DraftKings")</f>
        <v>DraftKings</v>
      </c>
      <c r="E3" s="19">
        <f>IFERROR(__xludf.DUMMYFUNCTION("""COMPUTED_VALUE"""),45593.91478009259)</f>
        <v>45593.91478</v>
      </c>
      <c r="F3" s="5" t="str">
        <f>IFERROR(__xludf.DUMMYFUNCTION("""COMPUTED_VALUE"""),"Pittsburgh Steelers")</f>
        <v>Pittsburgh Steelers</v>
      </c>
      <c r="G3" s="5" t="str">
        <f>IFERROR(__xludf.DUMMYFUNCTION("""COMPUTED_VALUE"""),"New York Giants")</f>
        <v>New York Giants</v>
      </c>
      <c r="H3" s="5" t="str">
        <f>IFERROR(__xludf.DUMMYFUNCTION("""COMPUTED_VALUE"""),"spreads")</f>
        <v>spreads</v>
      </c>
      <c r="I3" s="5" t="str">
        <f>IFERROR(__xludf.DUMMYFUNCTION("""COMPUTED_VALUE"""),"Pittsburgh Steelers")</f>
        <v>Pittsburgh Steelers</v>
      </c>
      <c r="J3" s="5"/>
      <c r="K3" s="5">
        <f>IFERROR(__xludf.DUMMYFUNCTION("""COMPUTED_VALUE"""),-115.0)</f>
        <v>-115</v>
      </c>
      <c r="L3" s="5">
        <f>IFERROR(__xludf.DUMMYFUNCTION("""COMPUTED_VALUE"""),-6.0)</f>
        <v>-6</v>
      </c>
    </row>
    <row r="4">
      <c r="A4" s="5" t="str">
        <f>IFERROR(__xludf.DUMMYFUNCTION("""COMPUTED_VALUE"""),"86278ec4bbdcadd945d79df6c695c2ec")</f>
        <v>86278ec4bbdcadd945d79df6c695c2ec</v>
      </c>
      <c r="B4" s="19">
        <f>IFERROR(__xludf.DUMMYFUNCTION("""COMPUTED_VALUE"""),45594.01041666667)</f>
        <v>45594.01042</v>
      </c>
      <c r="C4" s="5" t="b">
        <f>IFERROR(__xludf.DUMMYFUNCTION("""COMPUTED_VALUE"""),FALSE)</f>
        <v>0</v>
      </c>
      <c r="D4" s="5" t="str">
        <f>IFERROR(__xludf.DUMMYFUNCTION("""COMPUTED_VALUE"""),"BetUS")</f>
        <v>BetUS</v>
      </c>
      <c r="E4" s="19">
        <f>IFERROR(__xludf.DUMMYFUNCTION("""COMPUTED_VALUE"""),45593.91565972222)</f>
        <v>45593.91566</v>
      </c>
      <c r="F4" s="5" t="str">
        <f>IFERROR(__xludf.DUMMYFUNCTION("""COMPUTED_VALUE"""),"Pittsburgh Steelers")</f>
        <v>Pittsburgh Steelers</v>
      </c>
      <c r="G4" s="5" t="str">
        <f>IFERROR(__xludf.DUMMYFUNCTION("""COMPUTED_VALUE"""),"New York Giants")</f>
        <v>New York Giants</v>
      </c>
      <c r="H4" s="5" t="str">
        <f>IFERROR(__xludf.DUMMYFUNCTION("""COMPUTED_VALUE"""),"spreads")</f>
        <v>spreads</v>
      </c>
      <c r="I4" s="5" t="str">
        <f>IFERROR(__xludf.DUMMYFUNCTION("""COMPUTED_VALUE"""),"New York Giants")</f>
        <v>New York Giants</v>
      </c>
      <c r="J4" s="5"/>
      <c r="K4" s="5">
        <f>IFERROR(__xludf.DUMMYFUNCTION("""COMPUTED_VALUE"""),-110.0)</f>
        <v>-110</v>
      </c>
      <c r="L4" s="5">
        <f>IFERROR(__xludf.DUMMYFUNCTION("""COMPUTED_VALUE"""),6.0)</f>
        <v>6</v>
      </c>
    </row>
    <row r="5">
      <c r="A5" s="5" t="str">
        <f>IFERROR(__xludf.DUMMYFUNCTION("""COMPUTED_VALUE"""),"86278ec4bbdcadd945d79df6c695c2ec")</f>
        <v>86278ec4bbdcadd945d79df6c695c2ec</v>
      </c>
      <c r="B5" s="19">
        <f>IFERROR(__xludf.DUMMYFUNCTION("""COMPUTED_VALUE"""),45594.01041666667)</f>
        <v>45594.01042</v>
      </c>
      <c r="C5" s="5" t="b">
        <f>IFERROR(__xludf.DUMMYFUNCTION("""COMPUTED_VALUE"""),FALSE)</f>
        <v>0</v>
      </c>
      <c r="D5" s="5" t="str">
        <f>IFERROR(__xludf.DUMMYFUNCTION("""COMPUTED_VALUE"""),"BetUS")</f>
        <v>BetUS</v>
      </c>
      <c r="E5" s="19">
        <f>IFERROR(__xludf.DUMMYFUNCTION("""COMPUTED_VALUE"""),45593.91565972222)</f>
        <v>45593.91566</v>
      </c>
      <c r="F5" s="5" t="str">
        <f>IFERROR(__xludf.DUMMYFUNCTION("""COMPUTED_VALUE"""),"Pittsburgh Steelers")</f>
        <v>Pittsburgh Steelers</v>
      </c>
      <c r="G5" s="5" t="str">
        <f>IFERROR(__xludf.DUMMYFUNCTION("""COMPUTED_VALUE"""),"New York Giants")</f>
        <v>New York Giants</v>
      </c>
      <c r="H5" s="5" t="str">
        <f>IFERROR(__xludf.DUMMYFUNCTION("""COMPUTED_VALUE"""),"spreads")</f>
        <v>spreads</v>
      </c>
      <c r="I5" s="5" t="str">
        <f>IFERROR(__xludf.DUMMYFUNCTION("""COMPUTED_VALUE"""),"Pittsburgh Steelers")</f>
        <v>Pittsburgh Steelers</v>
      </c>
      <c r="J5" s="5"/>
      <c r="K5" s="5">
        <f>IFERROR(__xludf.DUMMYFUNCTION("""COMPUTED_VALUE"""),-110.0)</f>
        <v>-110</v>
      </c>
      <c r="L5" s="5">
        <f>IFERROR(__xludf.DUMMYFUNCTION("""COMPUTED_VALUE"""),-6.0)</f>
        <v>-6</v>
      </c>
    </row>
    <row r="6">
      <c r="A6" s="5" t="str">
        <f>IFERROR(__xludf.DUMMYFUNCTION("""COMPUTED_VALUE"""),"86278ec4bbdcadd945d79df6c695c2ec")</f>
        <v>86278ec4bbdcadd945d79df6c695c2ec</v>
      </c>
      <c r="B6" s="19">
        <f>IFERROR(__xludf.DUMMYFUNCTION("""COMPUTED_VALUE"""),45594.01041666667)</f>
        <v>45594.01042</v>
      </c>
      <c r="C6" s="5" t="b">
        <f>IFERROR(__xludf.DUMMYFUNCTION("""COMPUTED_VALUE"""),FALSE)</f>
        <v>0</v>
      </c>
      <c r="D6" s="5" t="str">
        <f>IFERROR(__xludf.DUMMYFUNCTION("""COMPUTED_VALUE"""),"FanDuel")</f>
        <v>FanDuel</v>
      </c>
      <c r="E6" s="19">
        <f>IFERROR(__xludf.DUMMYFUNCTION("""COMPUTED_VALUE"""),45593.91564814815)</f>
        <v>45593.91565</v>
      </c>
      <c r="F6" s="5" t="str">
        <f>IFERROR(__xludf.DUMMYFUNCTION("""COMPUTED_VALUE"""),"Pittsburgh Steelers")</f>
        <v>Pittsburgh Steelers</v>
      </c>
      <c r="G6" s="5" t="str">
        <f>IFERROR(__xludf.DUMMYFUNCTION("""COMPUTED_VALUE"""),"New York Giants")</f>
        <v>New York Giants</v>
      </c>
      <c r="H6" s="5" t="str">
        <f>IFERROR(__xludf.DUMMYFUNCTION("""COMPUTED_VALUE"""),"spreads")</f>
        <v>spreads</v>
      </c>
      <c r="I6" s="5" t="str">
        <f>IFERROR(__xludf.DUMMYFUNCTION("""COMPUTED_VALUE"""),"New York Giants")</f>
        <v>New York Giants</v>
      </c>
      <c r="J6" s="5"/>
      <c r="K6" s="5">
        <f>IFERROR(__xludf.DUMMYFUNCTION("""COMPUTED_VALUE"""),-110.0)</f>
        <v>-110</v>
      </c>
      <c r="L6" s="5">
        <f>IFERROR(__xludf.DUMMYFUNCTION("""COMPUTED_VALUE"""),6.0)</f>
        <v>6</v>
      </c>
    </row>
    <row r="7">
      <c r="A7" s="5" t="str">
        <f>IFERROR(__xludf.DUMMYFUNCTION("""COMPUTED_VALUE"""),"86278ec4bbdcadd945d79df6c695c2ec")</f>
        <v>86278ec4bbdcadd945d79df6c695c2ec</v>
      </c>
      <c r="B7" s="19">
        <f>IFERROR(__xludf.DUMMYFUNCTION("""COMPUTED_VALUE"""),45594.01041666667)</f>
        <v>45594.01042</v>
      </c>
      <c r="C7" s="5" t="b">
        <f>IFERROR(__xludf.DUMMYFUNCTION("""COMPUTED_VALUE"""),FALSE)</f>
        <v>0</v>
      </c>
      <c r="D7" s="5" t="str">
        <f>IFERROR(__xludf.DUMMYFUNCTION("""COMPUTED_VALUE"""),"FanDuel")</f>
        <v>FanDuel</v>
      </c>
      <c r="E7" s="19">
        <f>IFERROR(__xludf.DUMMYFUNCTION("""COMPUTED_VALUE"""),45593.91564814815)</f>
        <v>45593.91565</v>
      </c>
      <c r="F7" s="5" t="str">
        <f>IFERROR(__xludf.DUMMYFUNCTION("""COMPUTED_VALUE"""),"Pittsburgh Steelers")</f>
        <v>Pittsburgh Steelers</v>
      </c>
      <c r="G7" s="5" t="str">
        <f>IFERROR(__xludf.DUMMYFUNCTION("""COMPUTED_VALUE"""),"New York Giants")</f>
        <v>New York Giants</v>
      </c>
      <c r="H7" s="5" t="str">
        <f>IFERROR(__xludf.DUMMYFUNCTION("""COMPUTED_VALUE"""),"spreads")</f>
        <v>spreads</v>
      </c>
      <c r="I7" s="5" t="str">
        <f>IFERROR(__xludf.DUMMYFUNCTION("""COMPUTED_VALUE"""),"Pittsburgh Steelers")</f>
        <v>Pittsburgh Steelers</v>
      </c>
      <c r="J7" s="5"/>
      <c r="K7" s="5">
        <f>IFERROR(__xludf.DUMMYFUNCTION("""COMPUTED_VALUE"""),-110.0)</f>
        <v>-110</v>
      </c>
      <c r="L7" s="5">
        <f>IFERROR(__xludf.DUMMYFUNCTION("""COMPUTED_VALUE"""),-6.0)</f>
        <v>-6</v>
      </c>
    </row>
    <row r="8">
      <c r="A8" s="5" t="str">
        <f>IFERROR(__xludf.DUMMYFUNCTION("""COMPUTED_VALUE"""),"86278ec4bbdcadd945d79df6c695c2ec")</f>
        <v>86278ec4bbdcadd945d79df6c695c2ec</v>
      </c>
      <c r="B8" s="19">
        <f>IFERROR(__xludf.DUMMYFUNCTION("""COMPUTED_VALUE"""),45594.01041666667)</f>
        <v>45594.01042</v>
      </c>
      <c r="C8" s="5" t="b">
        <f>IFERROR(__xludf.DUMMYFUNCTION("""COMPUTED_VALUE"""),FALSE)</f>
        <v>0</v>
      </c>
      <c r="D8" s="20" t="str">
        <f>IFERROR(__xludf.DUMMYFUNCTION("""COMPUTED_VALUE"""),"MyBookie.ag")</f>
        <v>MyBookie.ag</v>
      </c>
      <c r="E8" s="19">
        <f>IFERROR(__xludf.DUMMYFUNCTION("""COMPUTED_VALUE"""),45593.91346064815)</f>
        <v>45593.91346</v>
      </c>
      <c r="F8" s="5" t="str">
        <f>IFERROR(__xludf.DUMMYFUNCTION("""COMPUTED_VALUE"""),"Pittsburgh Steelers")</f>
        <v>Pittsburgh Steelers</v>
      </c>
      <c r="G8" s="5" t="str">
        <f>IFERROR(__xludf.DUMMYFUNCTION("""COMPUTED_VALUE"""),"New York Giants")</f>
        <v>New York Giants</v>
      </c>
      <c r="H8" s="5" t="str">
        <f>IFERROR(__xludf.DUMMYFUNCTION("""COMPUTED_VALUE"""),"spreads")</f>
        <v>spreads</v>
      </c>
      <c r="I8" s="5" t="str">
        <f>IFERROR(__xludf.DUMMYFUNCTION("""COMPUTED_VALUE"""),"New York Giants")</f>
        <v>New York Giants</v>
      </c>
      <c r="J8" s="5"/>
      <c r="K8" s="5">
        <f>IFERROR(__xludf.DUMMYFUNCTION("""COMPUTED_VALUE"""),-110.0)</f>
        <v>-110</v>
      </c>
      <c r="L8" s="5">
        <f>IFERROR(__xludf.DUMMYFUNCTION("""COMPUTED_VALUE"""),6.0)</f>
        <v>6</v>
      </c>
    </row>
    <row r="9">
      <c r="A9" s="5" t="str">
        <f>IFERROR(__xludf.DUMMYFUNCTION("""COMPUTED_VALUE"""),"86278ec4bbdcadd945d79df6c695c2ec")</f>
        <v>86278ec4bbdcadd945d79df6c695c2ec</v>
      </c>
      <c r="B9" s="19">
        <f>IFERROR(__xludf.DUMMYFUNCTION("""COMPUTED_VALUE"""),45594.01041666667)</f>
        <v>45594.01042</v>
      </c>
      <c r="C9" s="5" t="b">
        <f>IFERROR(__xludf.DUMMYFUNCTION("""COMPUTED_VALUE"""),FALSE)</f>
        <v>0</v>
      </c>
      <c r="D9" s="20" t="str">
        <f>IFERROR(__xludf.DUMMYFUNCTION("""COMPUTED_VALUE"""),"MyBookie.ag")</f>
        <v>MyBookie.ag</v>
      </c>
      <c r="E9" s="19">
        <f>IFERROR(__xludf.DUMMYFUNCTION("""COMPUTED_VALUE"""),45593.91346064815)</f>
        <v>45593.91346</v>
      </c>
      <c r="F9" s="5" t="str">
        <f>IFERROR(__xludf.DUMMYFUNCTION("""COMPUTED_VALUE"""),"Pittsburgh Steelers")</f>
        <v>Pittsburgh Steelers</v>
      </c>
      <c r="G9" s="5" t="str">
        <f>IFERROR(__xludf.DUMMYFUNCTION("""COMPUTED_VALUE"""),"New York Giants")</f>
        <v>New York Giants</v>
      </c>
      <c r="H9" s="5" t="str">
        <f>IFERROR(__xludf.DUMMYFUNCTION("""COMPUTED_VALUE"""),"spreads")</f>
        <v>spreads</v>
      </c>
      <c r="I9" s="5" t="str">
        <f>IFERROR(__xludf.DUMMYFUNCTION("""COMPUTED_VALUE"""),"Pittsburgh Steelers")</f>
        <v>Pittsburgh Steelers</v>
      </c>
      <c r="J9" s="5"/>
      <c r="K9" s="5">
        <f>IFERROR(__xludf.DUMMYFUNCTION("""COMPUTED_VALUE"""),-110.0)</f>
        <v>-110</v>
      </c>
      <c r="L9" s="5">
        <f>IFERROR(__xludf.DUMMYFUNCTION("""COMPUTED_VALUE"""),-6.0)</f>
        <v>-6</v>
      </c>
    </row>
    <row r="10">
      <c r="A10" s="5" t="str">
        <f>IFERROR(__xludf.DUMMYFUNCTION("""COMPUTED_VALUE"""),"86278ec4bbdcadd945d79df6c695c2ec")</f>
        <v>86278ec4bbdcadd945d79df6c695c2ec</v>
      </c>
      <c r="B10" s="19">
        <f>IFERROR(__xludf.DUMMYFUNCTION("""COMPUTED_VALUE"""),45594.01041666667)</f>
        <v>45594.01042</v>
      </c>
      <c r="C10" s="5" t="b">
        <f>IFERROR(__xludf.DUMMYFUNCTION("""COMPUTED_VALUE"""),FALSE)</f>
        <v>0</v>
      </c>
      <c r="D10" s="20" t="str">
        <f>IFERROR(__xludf.DUMMYFUNCTION("""COMPUTED_VALUE"""),"BetOnline.ag")</f>
        <v>BetOnline.ag</v>
      </c>
      <c r="E10" s="19">
        <f>IFERROR(__xludf.DUMMYFUNCTION("""COMPUTED_VALUE"""),45593.91604166667)</f>
        <v>45593.91604</v>
      </c>
      <c r="F10" s="5" t="str">
        <f>IFERROR(__xludf.DUMMYFUNCTION("""COMPUTED_VALUE"""),"Pittsburgh Steelers")</f>
        <v>Pittsburgh Steelers</v>
      </c>
      <c r="G10" s="5" t="str">
        <f>IFERROR(__xludf.DUMMYFUNCTION("""COMPUTED_VALUE"""),"New York Giants")</f>
        <v>New York Giants</v>
      </c>
      <c r="H10" s="5" t="str">
        <f>IFERROR(__xludf.DUMMYFUNCTION("""COMPUTED_VALUE"""),"spreads")</f>
        <v>spreads</v>
      </c>
      <c r="I10" s="5" t="str">
        <f>IFERROR(__xludf.DUMMYFUNCTION("""COMPUTED_VALUE"""),"New York Giants")</f>
        <v>New York Giants</v>
      </c>
      <c r="J10" s="5"/>
      <c r="K10" s="5">
        <f>IFERROR(__xludf.DUMMYFUNCTION("""COMPUTED_VALUE"""),-110.0)</f>
        <v>-110</v>
      </c>
      <c r="L10" s="5">
        <f>IFERROR(__xludf.DUMMYFUNCTION("""COMPUTED_VALUE"""),6.0)</f>
        <v>6</v>
      </c>
    </row>
    <row r="11">
      <c r="A11" s="5" t="str">
        <f>IFERROR(__xludf.DUMMYFUNCTION("""COMPUTED_VALUE"""),"86278ec4bbdcadd945d79df6c695c2ec")</f>
        <v>86278ec4bbdcadd945d79df6c695c2ec</v>
      </c>
      <c r="B11" s="19">
        <f>IFERROR(__xludf.DUMMYFUNCTION("""COMPUTED_VALUE"""),45594.01041666667)</f>
        <v>45594.01042</v>
      </c>
      <c r="C11" s="5" t="b">
        <f>IFERROR(__xludf.DUMMYFUNCTION("""COMPUTED_VALUE"""),FALSE)</f>
        <v>0</v>
      </c>
      <c r="D11" s="20" t="str">
        <f>IFERROR(__xludf.DUMMYFUNCTION("""COMPUTED_VALUE"""),"BetOnline.ag")</f>
        <v>BetOnline.ag</v>
      </c>
      <c r="E11" s="19">
        <f>IFERROR(__xludf.DUMMYFUNCTION("""COMPUTED_VALUE"""),45593.91604166667)</f>
        <v>45593.91604</v>
      </c>
      <c r="F11" s="5" t="str">
        <f>IFERROR(__xludf.DUMMYFUNCTION("""COMPUTED_VALUE"""),"Pittsburgh Steelers")</f>
        <v>Pittsburgh Steelers</v>
      </c>
      <c r="G11" s="5" t="str">
        <f>IFERROR(__xludf.DUMMYFUNCTION("""COMPUTED_VALUE"""),"New York Giants")</f>
        <v>New York Giants</v>
      </c>
      <c r="H11" s="5" t="str">
        <f>IFERROR(__xludf.DUMMYFUNCTION("""COMPUTED_VALUE"""),"spreads")</f>
        <v>spreads</v>
      </c>
      <c r="I11" s="5" t="str">
        <f>IFERROR(__xludf.DUMMYFUNCTION("""COMPUTED_VALUE"""),"Pittsburgh Steelers")</f>
        <v>Pittsburgh Steelers</v>
      </c>
      <c r="J11" s="5"/>
      <c r="K11" s="5">
        <f>IFERROR(__xludf.DUMMYFUNCTION("""COMPUTED_VALUE"""),-110.0)</f>
        <v>-110</v>
      </c>
      <c r="L11" s="5">
        <f>IFERROR(__xludf.DUMMYFUNCTION("""COMPUTED_VALUE"""),-6.0)</f>
        <v>-6</v>
      </c>
    </row>
    <row r="12">
      <c r="A12" s="5" t="str">
        <f>IFERROR(__xludf.DUMMYFUNCTION("""COMPUTED_VALUE"""),"86278ec4bbdcadd945d79df6c695c2ec")</f>
        <v>86278ec4bbdcadd945d79df6c695c2ec</v>
      </c>
      <c r="B12" s="19">
        <f>IFERROR(__xludf.DUMMYFUNCTION("""COMPUTED_VALUE"""),45594.01041666667)</f>
        <v>45594.01042</v>
      </c>
      <c r="C12" s="5" t="b">
        <f>IFERROR(__xludf.DUMMYFUNCTION("""COMPUTED_VALUE"""),FALSE)</f>
        <v>0</v>
      </c>
      <c r="D12" s="20" t="str">
        <f>IFERROR(__xludf.DUMMYFUNCTION("""COMPUTED_VALUE"""),"LowVig.ag")</f>
        <v>LowVig.ag</v>
      </c>
      <c r="E12" s="19">
        <f>IFERROR(__xludf.DUMMYFUNCTION("""COMPUTED_VALUE"""),45593.91604166667)</f>
        <v>45593.91604</v>
      </c>
      <c r="F12" s="5" t="str">
        <f>IFERROR(__xludf.DUMMYFUNCTION("""COMPUTED_VALUE"""),"Pittsburgh Steelers")</f>
        <v>Pittsburgh Steelers</v>
      </c>
      <c r="G12" s="5" t="str">
        <f>IFERROR(__xludf.DUMMYFUNCTION("""COMPUTED_VALUE"""),"New York Giants")</f>
        <v>New York Giants</v>
      </c>
      <c r="H12" s="5" t="str">
        <f>IFERROR(__xludf.DUMMYFUNCTION("""COMPUTED_VALUE"""),"spreads")</f>
        <v>spreads</v>
      </c>
      <c r="I12" s="5" t="str">
        <f>IFERROR(__xludf.DUMMYFUNCTION("""COMPUTED_VALUE"""),"New York Giants")</f>
        <v>New York Giants</v>
      </c>
      <c r="J12" s="5"/>
      <c r="K12" s="5">
        <f>IFERROR(__xludf.DUMMYFUNCTION("""COMPUTED_VALUE"""),-103.0)</f>
        <v>-103</v>
      </c>
      <c r="L12" s="5">
        <f>IFERROR(__xludf.DUMMYFUNCTION("""COMPUTED_VALUE"""),6.0)</f>
        <v>6</v>
      </c>
    </row>
    <row r="13">
      <c r="A13" s="5" t="str">
        <f>IFERROR(__xludf.DUMMYFUNCTION("""COMPUTED_VALUE"""),"86278ec4bbdcadd945d79df6c695c2ec")</f>
        <v>86278ec4bbdcadd945d79df6c695c2ec</v>
      </c>
      <c r="B13" s="19">
        <f>IFERROR(__xludf.DUMMYFUNCTION("""COMPUTED_VALUE"""),45594.01041666667)</f>
        <v>45594.01042</v>
      </c>
      <c r="C13" s="5" t="b">
        <f>IFERROR(__xludf.DUMMYFUNCTION("""COMPUTED_VALUE"""),FALSE)</f>
        <v>0</v>
      </c>
      <c r="D13" s="20" t="str">
        <f>IFERROR(__xludf.DUMMYFUNCTION("""COMPUTED_VALUE"""),"LowVig.ag")</f>
        <v>LowVig.ag</v>
      </c>
      <c r="E13" s="19">
        <f>IFERROR(__xludf.DUMMYFUNCTION("""COMPUTED_VALUE"""),45593.91604166667)</f>
        <v>45593.91604</v>
      </c>
      <c r="F13" s="5" t="str">
        <f>IFERROR(__xludf.DUMMYFUNCTION("""COMPUTED_VALUE"""),"Pittsburgh Steelers")</f>
        <v>Pittsburgh Steelers</v>
      </c>
      <c r="G13" s="5" t="str">
        <f>IFERROR(__xludf.DUMMYFUNCTION("""COMPUTED_VALUE"""),"New York Giants")</f>
        <v>New York Giants</v>
      </c>
      <c r="H13" s="5" t="str">
        <f>IFERROR(__xludf.DUMMYFUNCTION("""COMPUTED_VALUE"""),"spreads")</f>
        <v>spreads</v>
      </c>
      <c r="I13" s="5" t="str">
        <f>IFERROR(__xludf.DUMMYFUNCTION("""COMPUTED_VALUE"""),"Pittsburgh Steelers")</f>
        <v>Pittsburgh Steelers</v>
      </c>
      <c r="J13" s="5"/>
      <c r="K13" s="5">
        <f>IFERROR(__xludf.DUMMYFUNCTION("""COMPUTED_VALUE"""),-107.0)</f>
        <v>-107</v>
      </c>
      <c r="L13" s="5">
        <f>IFERROR(__xludf.DUMMYFUNCTION("""COMPUTED_VALUE"""),-6.0)</f>
        <v>-6</v>
      </c>
    </row>
    <row r="14">
      <c r="A14" s="5" t="str">
        <f>IFERROR(__xludf.DUMMYFUNCTION("""COMPUTED_VALUE"""),"86278ec4bbdcadd945d79df6c695c2ec")</f>
        <v>86278ec4bbdcadd945d79df6c695c2ec</v>
      </c>
      <c r="B14" s="19">
        <f>IFERROR(__xludf.DUMMYFUNCTION("""COMPUTED_VALUE"""),45594.01041666667)</f>
        <v>45594.01042</v>
      </c>
      <c r="C14" s="5" t="b">
        <f>IFERROR(__xludf.DUMMYFUNCTION("""COMPUTED_VALUE"""),FALSE)</f>
        <v>0</v>
      </c>
      <c r="D14" s="5" t="str">
        <f>IFERROR(__xludf.DUMMYFUNCTION("""COMPUTED_VALUE"""),"BetRivers")</f>
        <v>BetRivers</v>
      </c>
      <c r="E14" s="19">
        <f>IFERROR(__xludf.DUMMYFUNCTION("""COMPUTED_VALUE"""),45593.91564814815)</f>
        <v>45593.91565</v>
      </c>
      <c r="F14" s="5" t="str">
        <f>IFERROR(__xludf.DUMMYFUNCTION("""COMPUTED_VALUE"""),"Pittsburgh Steelers")</f>
        <v>Pittsburgh Steelers</v>
      </c>
      <c r="G14" s="5" t="str">
        <f>IFERROR(__xludf.DUMMYFUNCTION("""COMPUTED_VALUE"""),"New York Giants")</f>
        <v>New York Giants</v>
      </c>
      <c r="H14" s="5" t="str">
        <f>IFERROR(__xludf.DUMMYFUNCTION("""COMPUTED_VALUE"""),"spreads")</f>
        <v>spreads</v>
      </c>
      <c r="I14" s="5" t="str">
        <f>IFERROR(__xludf.DUMMYFUNCTION("""COMPUTED_VALUE"""),"New York Giants")</f>
        <v>New York Giants</v>
      </c>
      <c r="J14" s="5"/>
      <c r="K14" s="5">
        <f>IFERROR(__xludf.DUMMYFUNCTION("""COMPUTED_VALUE"""),-112.0)</f>
        <v>-112</v>
      </c>
      <c r="L14" s="5">
        <f>IFERROR(__xludf.DUMMYFUNCTION("""COMPUTED_VALUE"""),6.0)</f>
        <v>6</v>
      </c>
    </row>
    <row r="15">
      <c r="A15" s="5" t="str">
        <f>IFERROR(__xludf.DUMMYFUNCTION("""COMPUTED_VALUE"""),"86278ec4bbdcadd945d79df6c695c2ec")</f>
        <v>86278ec4bbdcadd945d79df6c695c2ec</v>
      </c>
      <c r="B15" s="19">
        <f>IFERROR(__xludf.DUMMYFUNCTION("""COMPUTED_VALUE"""),45594.01041666667)</f>
        <v>45594.01042</v>
      </c>
      <c r="C15" s="5" t="b">
        <f>IFERROR(__xludf.DUMMYFUNCTION("""COMPUTED_VALUE"""),FALSE)</f>
        <v>0</v>
      </c>
      <c r="D15" s="5" t="str">
        <f>IFERROR(__xludf.DUMMYFUNCTION("""COMPUTED_VALUE"""),"BetRivers")</f>
        <v>BetRivers</v>
      </c>
      <c r="E15" s="19">
        <f>IFERROR(__xludf.DUMMYFUNCTION("""COMPUTED_VALUE"""),45593.91564814815)</f>
        <v>45593.91565</v>
      </c>
      <c r="F15" s="5" t="str">
        <f>IFERROR(__xludf.DUMMYFUNCTION("""COMPUTED_VALUE"""),"Pittsburgh Steelers")</f>
        <v>Pittsburgh Steelers</v>
      </c>
      <c r="G15" s="5" t="str">
        <f>IFERROR(__xludf.DUMMYFUNCTION("""COMPUTED_VALUE"""),"New York Giants")</f>
        <v>New York Giants</v>
      </c>
      <c r="H15" s="5" t="str">
        <f>IFERROR(__xludf.DUMMYFUNCTION("""COMPUTED_VALUE"""),"spreads")</f>
        <v>spreads</v>
      </c>
      <c r="I15" s="5" t="str">
        <f>IFERROR(__xludf.DUMMYFUNCTION("""COMPUTED_VALUE"""),"Pittsburgh Steelers")</f>
        <v>Pittsburgh Steelers</v>
      </c>
      <c r="J15" s="5"/>
      <c r="K15" s="5">
        <f>IFERROR(__xludf.DUMMYFUNCTION("""COMPUTED_VALUE"""),-109.0)</f>
        <v>-109</v>
      </c>
      <c r="L15" s="5">
        <f>IFERROR(__xludf.DUMMYFUNCTION("""COMPUTED_VALUE"""),-6.0)</f>
        <v>-6</v>
      </c>
    </row>
    <row r="16">
      <c r="A16" s="5" t="str">
        <f>IFERROR(__xludf.DUMMYFUNCTION("""COMPUTED_VALUE"""),"86278ec4bbdcadd945d79df6c695c2ec")</f>
        <v>86278ec4bbdcadd945d79df6c695c2ec</v>
      </c>
      <c r="B16" s="19">
        <f>IFERROR(__xludf.DUMMYFUNCTION("""COMPUTED_VALUE"""),45594.01041666667)</f>
        <v>45594.01042</v>
      </c>
      <c r="C16" s="5" t="b">
        <f>IFERROR(__xludf.DUMMYFUNCTION("""COMPUTED_VALUE"""),FALSE)</f>
        <v>0</v>
      </c>
      <c r="D16" s="5" t="str">
        <f>IFERROR(__xludf.DUMMYFUNCTION("""COMPUTED_VALUE"""),"BetMGM")</f>
        <v>BetMGM</v>
      </c>
      <c r="E16" s="19">
        <f>IFERROR(__xludf.DUMMYFUNCTION("""COMPUTED_VALUE"""),45593.91604166667)</f>
        <v>45593.91604</v>
      </c>
      <c r="F16" s="5" t="str">
        <f>IFERROR(__xludf.DUMMYFUNCTION("""COMPUTED_VALUE"""),"Pittsburgh Steelers")</f>
        <v>Pittsburgh Steelers</v>
      </c>
      <c r="G16" s="5" t="str">
        <f>IFERROR(__xludf.DUMMYFUNCTION("""COMPUTED_VALUE"""),"New York Giants")</f>
        <v>New York Giants</v>
      </c>
      <c r="H16" s="5" t="str">
        <f>IFERROR(__xludf.DUMMYFUNCTION("""COMPUTED_VALUE"""),"spreads")</f>
        <v>spreads</v>
      </c>
      <c r="I16" s="5" t="str">
        <f>IFERROR(__xludf.DUMMYFUNCTION("""COMPUTED_VALUE"""),"New York Giants")</f>
        <v>New York Giants</v>
      </c>
      <c r="J16" s="5"/>
      <c r="K16" s="5">
        <f>IFERROR(__xludf.DUMMYFUNCTION("""COMPUTED_VALUE"""),-110.0)</f>
        <v>-110</v>
      </c>
      <c r="L16" s="5">
        <f>IFERROR(__xludf.DUMMYFUNCTION("""COMPUTED_VALUE"""),6.0)</f>
        <v>6</v>
      </c>
    </row>
    <row r="17">
      <c r="A17" s="5" t="str">
        <f>IFERROR(__xludf.DUMMYFUNCTION("""COMPUTED_VALUE"""),"86278ec4bbdcadd945d79df6c695c2ec")</f>
        <v>86278ec4bbdcadd945d79df6c695c2ec</v>
      </c>
      <c r="B17" s="19">
        <f>IFERROR(__xludf.DUMMYFUNCTION("""COMPUTED_VALUE"""),45594.01041666667)</f>
        <v>45594.01042</v>
      </c>
      <c r="C17" s="5" t="b">
        <f>IFERROR(__xludf.DUMMYFUNCTION("""COMPUTED_VALUE"""),FALSE)</f>
        <v>0</v>
      </c>
      <c r="D17" s="5" t="str">
        <f>IFERROR(__xludf.DUMMYFUNCTION("""COMPUTED_VALUE"""),"BetMGM")</f>
        <v>BetMGM</v>
      </c>
      <c r="E17" s="19">
        <f>IFERROR(__xludf.DUMMYFUNCTION("""COMPUTED_VALUE"""),45593.91604166667)</f>
        <v>45593.91604</v>
      </c>
      <c r="F17" s="5" t="str">
        <f>IFERROR(__xludf.DUMMYFUNCTION("""COMPUTED_VALUE"""),"Pittsburgh Steelers")</f>
        <v>Pittsburgh Steelers</v>
      </c>
      <c r="G17" s="5" t="str">
        <f>IFERROR(__xludf.DUMMYFUNCTION("""COMPUTED_VALUE"""),"New York Giants")</f>
        <v>New York Giants</v>
      </c>
      <c r="H17" s="5" t="str">
        <f>IFERROR(__xludf.DUMMYFUNCTION("""COMPUTED_VALUE"""),"spreads")</f>
        <v>spreads</v>
      </c>
      <c r="I17" s="5" t="str">
        <f>IFERROR(__xludf.DUMMYFUNCTION("""COMPUTED_VALUE"""),"Pittsburgh Steelers")</f>
        <v>Pittsburgh Steelers</v>
      </c>
      <c r="J17" s="5"/>
      <c r="K17" s="5">
        <f>IFERROR(__xludf.DUMMYFUNCTION("""COMPUTED_VALUE"""),-110.0)</f>
        <v>-110</v>
      </c>
      <c r="L17" s="5">
        <f>IFERROR(__xludf.DUMMYFUNCTION("""COMPUTED_VALUE"""),-6.0)</f>
        <v>-6</v>
      </c>
    </row>
    <row r="18">
      <c r="A18" s="5" t="str">
        <f>IFERROR(__xludf.DUMMYFUNCTION("""COMPUTED_VALUE"""),"86278ec4bbdcadd945d79df6c695c2ec")</f>
        <v>86278ec4bbdcadd945d79df6c695c2ec</v>
      </c>
      <c r="B18" s="19">
        <f>IFERROR(__xludf.DUMMYFUNCTION("""COMPUTED_VALUE"""),45594.01041666667)</f>
        <v>45594.01042</v>
      </c>
      <c r="C18" s="5" t="b">
        <f>IFERROR(__xludf.DUMMYFUNCTION("""COMPUTED_VALUE"""),FALSE)</f>
        <v>0</v>
      </c>
      <c r="D18" s="5" t="str">
        <f>IFERROR(__xludf.DUMMYFUNCTION("""COMPUTED_VALUE"""),"Bovada")</f>
        <v>Bovada</v>
      </c>
      <c r="E18" s="19">
        <f>IFERROR(__xludf.DUMMYFUNCTION("""COMPUTED_VALUE"""),45593.91564814815)</f>
        <v>45593.91565</v>
      </c>
      <c r="F18" s="5" t="str">
        <f>IFERROR(__xludf.DUMMYFUNCTION("""COMPUTED_VALUE"""),"Pittsburgh Steelers")</f>
        <v>Pittsburgh Steelers</v>
      </c>
      <c r="G18" s="5" t="str">
        <f>IFERROR(__xludf.DUMMYFUNCTION("""COMPUTED_VALUE"""),"New York Giants")</f>
        <v>New York Giants</v>
      </c>
      <c r="H18" s="5" t="str">
        <f>IFERROR(__xludf.DUMMYFUNCTION("""COMPUTED_VALUE"""),"spreads")</f>
        <v>spreads</v>
      </c>
      <c r="I18" s="5" t="str">
        <f>IFERROR(__xludf.DUMMYFUNCTION("""COMPUTED_VALUE"""),"New York Giants")</f>
        <v>New York Giants</v>
      </c>
      <c r="J18" s="5"/>
      <c r="K18" s="5">
        <f>IFERROR(__xludf.DUMMYFUNCTION("""COMPUTED_VALUE"""),-110.0)</f>
        <v>-110</v>
      </c>
      <c r="L18" s="5">
        <f>IFERROR(__xludf.DUMMYFUNCTION("""COMPUTED_VALUE"""),6.0)</f>
        <v>6</v>
      </c>
    </row>
    <row r="19">
      <c r="A19" s="5" t="str">
        <f>IFERROR(__xludf.DUMMYFUNCTION("""COMPUTED_VALUE"""),"86278ec4bbdcadd945d79df6c695c2ec")</f>
        <v>86278ec4bbdcadd945d79df6c695c2ec</v>
      </c>
      <c r="B19" s="19">
        <f>IFERROR(__xludf.DUMMYFUNCTION("""COMPUTED_VALUE"""),45594.01041666667)</f>
        <v>45594.01042</v>
      </c>
      <c r="C19" s="5" t="b">
        <f>IFERROR(__xludf.DUMMYFUNCTION("""COMPUTED_VALUE"""),FALSE)</f>
        <v>0</v>
      </c>
      <c r="D19" s="5" t="str">
        <f>IFERROR(__xludf.DUMMYFUNCTION("""COMPUTED_VALUE"""),"Bovada")</f>
        <v>Bovada</v>
      </c>
      <c r="E19" s="19">
        <f>IFERROR(__xludf.DUMMYFUNCTION("""COMPUTED_VALUE"""),45593.91564814815)</f>
        <v>45593.91565</v>
      </c>
      <c r="F19" s="5" t="str">
        <f>IFERROR(__xludf.DUMMYFUNCTION("""COMPUTED_VALUE"""),"Pittsburgh Steelers")</f>
        <v>Pittsburgh Steelers</v>
      </c>
      <c r="G19" s="5" t="str">
        <f>IFERROR(__xludf.DUMMYFUNCTION("""COMPUTED_VALUE"""),"New York Giants")</f>
        <v>New York Giants</v>
      </c>
      <c r="H19" s="5" t="str">
        <f>IFERROR(__xludf.DUMMYFUNCTION("""COMPUTED_VALUE"""),"spreads")</f>
        <v>spreads</v>
      </c>
      <c r="I19" s="5" t="str">
        <f>IFERROR(__xludf.DUMMYFUNCTION("""COMPUTED_VALUE"""),"Pittsburgh Steelers")</f>
        <v>Pittsburgh Steelers</v>
      </c>
      <c r="J19" s="5"/>
      <c r="K19" s="5">
        <f>IFERROR(__xludf.DUMMYFUNCTION("""COMPUTED_VALUE"""),-110.0)</f>
        <v>-110</v>
      </c>
      <c r="L19" s="5">
        <f>IFERROR(__xludf.DUMMYFUNCTION("""COMPUTED_VALUE"""),-6.0)</f>
        <v>-6</v>
      </c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</row>
  </sheetData>
  <hyperlinks>
    <hyperlink r:id="rId1" ref="D8"/>
    <hyperlink r:id="rId2" ref="D9"/>
    <hyperlink r:id="rId3" ref="D10"/>
    <hyperlink r:id="rId4" ref="D11"/>
    <hyperlink r:id="rId5" ref="D12"/>
    <hyperlink r:id="rId6" ref="D13"/>
  </hyperlinks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91</v>
      </c>
      <c r="B1" s="5" t="str">
        <f>IFERROR(__xludf.DUMMYFUNCTION("UNIQUE(PF!B:B)"),"Team")</f>
        <v>Team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</row>
    <row r="2">
      <c r="A2" s="5">
        <f>VLOOKUP(B2,map!B:C,2,false)</f>
        <v>5</v>
      </c>
      <c r="B2" s="5" t="str">
        <f>IFERROR(__xludf.DUMMYFUNCTION("""COMPUTED_VALUE"""),"Detroit")</f>
        <v>Detroit</v>
      </c>
      <c r="C2" s="5">
        <f>VLOOKUP($B2,PF!$B:$D,3,false)</f>
        <v>43.3</v>
      </c>
      <c r="D2" s="5">
        <f>VLOOKUP($B2,PA!$B:$D,3,false)</f>
        <v>17.3</v>
      </c>
      <c r="E2" s="5">
        <f>VLOOKUP($B2,yards!$B:$D,3,false)</f>
        <v>369.3</v>
      </c>
      <c r="F2" s="5">
        <f>VLOOKUP($B2,plays!$B:$D,3,false)</f>
        <v>56.3</v>
      </c>
      <c r="G2" s="5">
        <f>VLOOKUP($B2,ydspt!$B:$D,3,false)</f>
        <v>8.5</v>
      </c>
      <c r="H2" s="5">
        <f>VLOOKUP($B2,ptpl!$B:$D,3,false)</f>
        <v>0.769</v>
      </c>
    </row>
    <row r="3">
      <c r="A3" s="5">
        <f>VLOOKUP(B3,map!B:C,2,false)</f>
        <v>30</v>
      </c>
      <c r="B3" s="5" t="str">
        <f>IFERROR(__xludf.DUMMYFUNCTION("""COMPUTED_VALUE"""),"Baltimore")</f>
        <v>Baltimore</v>
      </c>
      <c r="C3" s="5">
        <f>VLOOKUP($B3,PF!$B:$D,3,false)</f>
        <v>31.7</v>
      </c>
      <c r="D3" s="5">
        <f>VLOOKUP($B3,PA!$B:$D,3,false)</f>
        <v>27.7</v>
      </c>
      <c r="E3" s="5">
        <f>VLOOKUP($B3,yards!$B:$D,3,false)</f>
        <v>459.7</v>
      </c>
      <c r="F3" s="5">
        <f>VLOOKUP($B3,plays!$B:$D,3,false)</f>
        <v>60.3</v>
      </c>
      <c r="G3" s="5">
        <f>VLOOKUP($B3,ydspt!$B:$D,3,false)</f>
        <v>14.5</v>
      </c>
      <c r="H3" s="5">
        <f>VLOOKUP($B3,ptpl!$B:$C,2,false)</f>
        <v>0.475</v>
      </c>
    </row>
    <row r="4">
      <c r="A4" s="5">
        <f>VLOOKUP(B4,map!B:C,2,false)</f>
        <v>8</v>
      </c>
      <c r="B4" s="5" t="str">
        <f>IFERROR(__xludf.DUMMYFUNCTION("""COMPUTED_VALUE"""),"Washington")</f>
        <v>Washington</v>
      </c>
      <c r="C4" s="5">
        <f>VLOOKUP($B4,PF!$B:$D,3,false)</f>
        <v>27</v>
      </c>
      <c r="D4" s="5">
        <f>VLOOKUP($B4,PA!$B:$D,3,false)</f>
        <v>17.3</v>
      </c>
      <c r="E4" s="5">
        <f>VLOOKUP($B4,yards!$B:$D,3,false)</f>
        <v>402.3</v>
      </c>
      <c r="F4" s="5">
        <f>VLOOKUP($B4,plays!$B:$D,3,false)</f>
        <v>63.7</v>
      </c>
      <c r="G4" s="5">
        <f>VLOOKUP($B4,ydspt!$B:$D,3,false)</f>
        <v>14.9</v>
      </c>
      <c r="H4" s="5">
        <f>VLOOKUP($B4,ptpl!$B:$C,2,false)</f>
        <v>0.467</v>
      </c>
    </row>
    <row r="5">
      <c r="A5" s="5">
        <f>VLOOKUP(B5,map!B:C,2,false)</f>
        <v>14</v>
      </c>
      <c r="B5" s="5" t="str">
        <f>IFERROR(__xludf.DUMMYFUNCTION("""COMPUTED_VALUE"""),"Tampa Bay")</f>
        <v>Tampa Bay</v>
      </c>
      <c r="C5" s="5">
        <f>VLOOKUP($B5,PF!$B:$D,3,false)</f>
        <v>36</v>
      </c>
      <c r="D5" s="5">
        <f>VLOOKUP($B5,PA!$B:$D,3,false)</f>
        <v>33</v>
      </c>
      <c r="E5" s="5">
        <f>VLOOKUP($B5,yards!$B:$D,3,false)</f>
        <v>502.3</v>
      </c>
      <c r="F5" s="5">
        <f>VLOOKUP($B5,plays!$B:$D,3,false)</f>
        <v>74</v>
      </c>
      <c r="G5" s="5">
        <f>VLOOKUP($B5,ydspt!$B:$D,3,false)</f>
        <v>14</v>
      </c>
      <c r="H5" s="5">
        <f>VLOOKUP($B5,ptpl!$B:$C,2,false)</f>
        <v>0.46</v>
      </c>
    </row>
    <row r="6">
      <c r="A6" s="5">
        <f>VLOOKUP(B6,map!B:C,2,false)</f>
        <v>11</v>
      </c>
      <c r="B6" s="5" t="str">
        <f>IFERROR(__xludf.DUMMYFUNCTION("""COMPUTED_VALUE"""),"Buffalo")</f>
        <v>Buffalo</v>
      </c>
      <c r="C6" s="5">
        <f>VLOOKUP($B6,PF!$B:$D,3,false)</f>
        <v>29.3</v>
      </c>
      <c r="D6" s="5">
        <f>VLOOKUP($B6,PA!$B:$D,3,false)</f>
        <v>13.3</v>
      </c>
      <c r="E6" s="5">
        <f>VLOOKUP($B6,yards!$B:$D,3,false)</f>
        <v>397.7</v>
      </c>
      <c r="F6" s="5">
        <f>VLOOKUP($B6,plays!$B:$D,3,false)</f>
        <v>61</v>
      </c>
      <c r="G6" s="5">
        <f>VLOOKUP($B6,ydspt!$B:$D,3,false)</f>
        <v>13.6</v>
      </c>
      <c r="H6" s="5">
        <f>VLOOKUP($B6,ptpl!$B:$C,2,false)</f>
        <v>0.498</v>
      </c>
    </row>
    <row r="7">
      <c r="A7" s="5">
        <f>VLOOKUP(B7,map!B:C,2,false)</f>
        <v>15</v>
      </c>
      <c r="B7" s="5" t="str">
        <f>IFERROR(__xludf.DUMMYFUNCTION("""COMPUTED_VALUE"""),"Green Bay")</f>
        <v>Green Bay</v>
      </c>
      <c r="C7" s="5">
        <f>VLOOKUP($B7,PF!$B:$D,3,false)</f>
        <v>29.3</v>
      </c>
      <c r="D7" s="5">
        <f>VLOOKUP($B7,PA!$B:$D,3,false)</f>
        <v>20.7</v>
      </c>
      <c r="E7" s="5">
        <f>VLOOKUP($B7,yards!$B:$D,3,false)</f>
        <v>378.7</v>
      </c>
      <c r="F7" s="5">
        <f>VLOOKUP($B7,plays!$B:$D,3,false)</f>
        <v>64.3</v>
      </c>
      <c r="G7" s="5">
        <f>VLOOKUP($B7,ydspt!$B:$D,3,false)</f>
        <v>12.9</v>
      </c>
      <c r="H7" s="5">
        <f>VLOOKUP($B7,ptpl!$B:$C,2,false)</f>
        <v>0.424</v>
      </c>
    </row>
    <row r="8">
      <c r="A8" s="5">
        <f>VLOOKUP(B8,map!B:C,2,false)</f>
        <v>3</v>
      </c>
      <c r="B8" s="5" t="str">
        <f>IFERROR(__xludf.DUMMYFUNCTION("""COMPUTED_VALUE"""),"Minnesota")</f>
        <v>Minnesota</v>
      </c>
      <c r="C8" s="5">
        <f>VLOOKUP($B8,PF!$B:$D,3,false)</f>
        <v>24</v>
      </c>
      <c r="D8" s="5">
        <f>VLOOKUP($B8,PA!$B:$D,3,false)</f>
        <v>26</v>
      </c>
      <c r="E8" s="5">
        <f>VLOOKUP($B8,yards!$B:$D,3,false)</f>
        <v>304</v>
      </c>
      <c r="F8" s="5">
        <f>VLOOKUP($B8,plays!$B:$D,3,false)</f>
        <v>56</v>
      </c>
      <c r="G8" s="5">
        <f>VLOOKUP($B8,ydspt!$B:$D,3,false)</f>
        <v>12.7</v>
      </c>
      <c r="H8" s="5">
        <f>VLOOKUP($B8,ptpl!$B:$C,2,false)</f>
        <v>0.474</v>
      </c>
    </row>
    <row r="9">
      <c r="A9" s="5">
        <f>VLOOKUP(B9,map!B:C,2,false)</f>
        <v>25</v>
      </c>
      <c r="B9" s="5" t="str">
        <f>IFERROR(__xludf.DUMMYFUNCTION("""COMPUTED_VALUE"""),"San Francisco")</f>
        <v>San Francisco</v>
      </c>
      <c r="C9" s="5">
        <f>VLOOKUP($B9,PF!$B:$D,3,false)</f>
        <v>28</v>
      </c>
      <c r="D9" s="5">
        <f>VLOOKUP($B9,PA!$B:$D,3,false)</f>
        <v>25.3</v>
      </c>
      <c r="E9" s="5">
        <f>VLOOKUP($B9,yards!$B:$D,3,false)</f>
        <v>420.7</v>
      </c>
      <c r="F9" s="5">
        <f>VLOOKUP($B9,plays!$B:$D,3,false)</f>
        <v>60.3</v>
      </c>
      <c r="G9" s="5">
        <f>VLOOKUP($B9,ydspt!$B:$D,3,false)</f>
        <v>15</v>
      </c>
      <c r="H9" s="5">
        <f>VLOOKUP($B9,ptpl!$B:$C,2,false)</f>
        <v>0.415</v>
      </c>
    </row>
    <row r="10">
      <c r="A10" s="5">
        <f>VLOOKUP(B10,map!B:C,2,false)</f>
        <v>2</v>
      </c>
      <c r="B10" s="5" t="str">
        <f>IFERROR(__xludf.DUMMYFUNCTION("""COMPUTED_VALUE"""),"Kansas City")</f>
        <v>Kansas City</v>
      </c>
      <c r="C10" s="5">
        <f>VLOOKUP($B10,PF!$B:$D,3,false)</f>
        <v>27</v>
      </c>
      <c r="D10" s="5">
        <f>VLOOKUP($B10,PA!$B:$D,3,false)</f>
        <v>17</v>
      </c>
      <c r="E10" s="5">
        <f>VLOOKUP($B10,yards!$B:$D,3,false)</f>
        <v>374.3</v>
      </c>
      <c r="F10" s="5">
        <f>VLOOKUP($B10,plays!$B:$D,3,false)</f>
        <v>72</v>
      </c>
      <c r="G10" s="5">
        <f>VLOOKUP($B10,ydspt!$B:$D,3,false)</f>
        <v>13.9</v>
      </c>
      <c r="H10" s="5">
        <f>VLOOKUP($B10,ptpl!$B:$C,2,false)</f>
        <v>0.38</v>
      </c>
    </row>
    <row r="11">
      <c r="A11" s="5">
        <f>VLOOKUP(B11,map!B:C,2,false)</f>
        <v>12</v>
      </c>
      <c r="B11" s="5" t="str">
        <f>IFERROR(__xludf.DUMMYFUNCTION("""COMPUTED_VALUE"""),"Philadelphia")</f>
        <v>Philadelphia</v>
      </c>
      <c r="C11" s="5">
        <f>VLOOKUP($B11,PF!$B:$D,3,false)</f>
        <v>28.3</v>
      </c>
      <c r="D11" s="5">
        <f>VLOOKUP($B11,PA!$B:$D,3,false)</f>
        <v>12</v>
      </c>
      <c r="E11" s="5">
        <f>VLOOKUP($B11,yards!$B:$D,3,false)</f>
        <v>369.3</v>
      </c>
      <c r="F11" s="5">
        <f>VLOOKUP($B11,plays!$B:$D,3,false)</f>
        <v>62</v>
      </c>
      <c r="G11" s="5">
        <f>VLOOKUP($B11,ydspt!$B:$D,3,false)</f>
        <v>13</v>
      </c>
      <c r="H11" s="5">
        <f>VLOOKUP($B11,ptpl!$B:$C,2,false)</f>
        <v>0.379</v>
      </c>
    </row>
    <row r="12">
      <c r="A12" s="5">
        <f>VLOOKUP(B12,map!B:C,2,false)</f>
        <v>4</v>
      </c>
      <c r="B12" s="5" t="str">
        <f>IFERROR(__xludf.DUMMYFUNCTION("""COMPUTED_VALUE"""),"Cincinnati")</f>
        <v>Cincinnati</v>
      </c>
      <c r="C12" s="5">
        <f>VLOOKUP($B12,PF!$B:$D,3,false)</f>
        <v>18.3</v>
      </c>
      <c r="D12" s="5">
        <f>VLOOKUP($B12,PA!$B:$D,3,false)</f>
        <v>19.3</v>
      </c>
      <c r="E12" s="5">
        <f>VLOOKUP($B12,yards!$B:$D,3,false)</f>
        <v>269</v>
      </c>
      <c r="F12" s="5">
        <f>VLOOKUP($B12,plays!$B:$D,3,false)</f>
        <v>54.3</v>
      </c>
      <c r="G12" s="5">
        <f>VLOOKUP($B12,ydspt!$B:$D,3,false)</f>
        <v>14.7</v>
      </c>
      <c r="H12" s="5">
        <f>VLOOKUP($B12,ptpl!$B:$C,2,false)</f>
        <v>0.425</v>
      </c>
    </row>
    <row r="13">
      <c r="A13" s="5">
        <f>VLOOKUP(B13,map!B:C,2,false)</f>
        <v>28</v>
      </c>
      <c r="B13" s="5" t="str">
        <f>IFERROR(__xludf.DUMMYFUNCTION("""COMPUTED_VALUE"""),"Atlanta")</f>
        <v>Atlanta</v>
      </c>
      <c r="C13" s="5">
        <f>VLOOKUP($B13,PF!$B:$D,3,false)</f>
        <v>27.7</v>
      </c>
      <c r="D13" s="5">
        <f>VLOOKUP($B13,PA!$B:$D,3,false)</f>
        <v>26.7</v>
      </c>
      <c r="E13" s="5">
        <f>VLOOKUP($B13,yards!$B:$D,3,false)</f>
        <v>395.3</v>
      </c>
      <c r="F13" s="5">
        <f>VLOOKUP($B13,plays!$B:$D,3,false)</f>
        <v>66.3</v>
      </c>
      <c r="G13" s="5">
        <f>VLOOKUP($B13,ydspt!$B:$D,3,false)</f>
        <v>14.3</v>
      </c>
      <c r="H13" s="5">
        <f>VLOOKUP($B13,ptpl!$B:$C,2,false)</f>
        <v>0.392</v>
      </c>
    </row>
    <row r="14">
      <c r="A14" s="5">
        <f>VLOOKUP(B14,map!B:C,2,false)</f>
        <v>13</v>
      </c>
      <c r="B14" s="5" t="str">
        <f>IFERROR(__xludf.DUMMYFUNCTION("""COMPUTED_VALUE"""),"Seattle")</f>
        <v>Seattle</v>
      </c>
      <c r="C14" s="5">
        <f>VLOOKUP($B14,PF!$B:$D,3,false)</f>
        <v>22.7</v>
      </c>
      <c r="D14" s="5">
        <f>VLOOKUP($B14,PA!$B:$D,3,false)</f>
        <v>27</v>
      </c>
      <c r="E14" s="5">
        <f>VLOOKUP($B14,yards!$B:$D,3,false)</f>
        <v>310</v>
      </c>
      <c r="F14" s="5">
        <f>VLOOKUP($B14,plays!$B:$D,3,false)</f>
        <v>58.7</v>
      </c>
      <c r="G14" s="5">
        <f>VLOOKUP($B14,ydspt!$B:$D,3,false)</f>
        <v>13.7</v>
      </c>
      <c r="H14" s="5">
        <f>VLOOKUP($B14,ptpl!$B:$C,2,false)</f>
        <v>0.382</v>
      </c>
    </row>
    <row r="15">
      <c r="A15" s="5">
        <f>VLOOKUP(B15,map!B:C,2,false)</f>
        <v>17</v>
      </c>
      <c r="B15" s="5" t="str">
        <f>IFERROR(__xludf.DUMMYFUNCTION("""COMPUTED_VALUE"""),"Houston")</f>
        <v>Houston</v>
      </c>
      <c r="C15" s="5">
        <f>VLOOKUP($B15,PF!$B:$D,3,false)</f>
        <v>28.7</v>
      </c>
      <c r="D15" s="5">
        <f>VLOOKUP($B15,PA!$B:$D,3,false)</f>
        <v>21.7</v>
      </c>
      <c r="E15" s="5">
        <f>VLOOKUP($B15,yards!$B:$D,3,false)</f>
        <v>309.3</v>
      </c>
      <c r="F15" s="5">
        <f>VLOOKUP($B15,plays!$B:$D,3,false)</f>
        <v>62.7</v>
      </c>
      <c r="G15" s="5">
        <f>VLOOKUP($B15,ydspt!$B:$D,3,false)</f>
        <v>10.8</v>
      </c>
      <c r="H15" s="5">
        <f>VLOOKUP($B15,ptpl!$B:$C,2,false)</f>
        <v>0.359</v>
      </c>
    </row>
    <row r="16">
      <c r="A16" s="5">
        <f>VLOOKUP(B16,map!B:C,2,false)</f>
        <v>31</v>
      </c>
      <c r="B16" s="5" t="str">
        <f>IFERROR(__xludf.DUMMYFUNCTION("""COMPUTED_VALUE"""),"Chicago")</f>
        <v>Chicago</v>
      </c>
      <c r="C16" s="5">
        <f>VLOOKUP($B16,PF!$B:$D,3,false)</f>
        <v>28.7</v>
      </c>
      <c r="D16" s="5">
        <f>VLOOKUP($B16,PA!$B:$D,3,false)</f>
        <v>14.7</v>
      </c>
      <c r="E16" s="5">
        <f>VLOOKUP($B16,yards!$B:$D,3,false)</f>
        <v>368</v>
      </c>
      <c r="F16" s="5">
        <f>VLOOKUP($B16,plays!$B:$D,3,false)</f>
        <v>63.3</v>
      </c>
      <c r="G16" s="5">
        <f>VLOOKUP($B16,ydspt!$B:$D,3,false)</f>
        <v>12.8</v>
      </c>
      <c r="H16" s="5">
        <f>VLOOKUP($B16,ptpl!$B:$C,2,false)</f>
        <v>0.365</v>
      </c>
    </row>
    <row r="17">
      <c r="A17" s="5">
        <f>VLOOKUP(B17,map!B:C,2,false)</f>
        <v>9</v>
      </c>
      <c r="B17" s="5" t="str">
        <f>IFERROR(__xludf.DUMMYFUNCTION("""COMPUTED_VALUE"""),"New Orleans")</f>
        <v>New Orleans</v>
      </c>
      <c r="C17" s="5">
        <f>VLOOKUP($B17,PF!$B:$D,3,false)</f>
        <v>15</v>
      </c>
      <c r="D17" s="5">
        <f>VLOOKUP($B17,PA!$B:$D,3,false)</f>
        <v>36.7</v>
      </c>
      <c r="E17" s="5">
        <f>VLOOKUP($B17,yards!$B:$D,3,false)</f>
        <v>313.3</v>
      </c>
      <c r="F17" s="5">
        <f>VLOOKUP($B17,plays!$B:$D,3,false)</f>
        <v>66.7</v>
      </c>
      <c r="G17" s="5">
        <f>VLOOKUP($B17,ydspt!$B:$D,3,false)</f>
        <v>20.9</v>
      </c>
      <c r="H17" s="5">
        <f>VLOOKUP($B17,ptpl!$B:$C,2,false)</f>
        <v>0.374</v>
      </c>
    </row>
    <row r="18">
      <c r="A18" s="5">
        <f>VLOOKUP(B18,map!B:C,2,false)</f>
        <v>29</v>
      </c>
      <c r="B18" s="5" t="str">
        <f>IFERROR(__xludf.DUMMYFUNCTION("""COMPUTED_VALUE"""),"Pittsburgh")</f>
        <v>Pittsburgh</v>
      </c>
      <c r="C18" s="5">
        <f>VLOOKUP($B18,PF!$B:$D,3,false)</f>
        <v>28.7</v>
      </c>
      <c r="D18" s="5">
        <f>VLOOKUP($B18,PA!$B:$D,3,false)</f>
        <v>16</v>
      </c>
      <c r="E18" s="5">
        <f>VLOOKUP($B18,yards!$B:$D,3,false)</f>
        <v>309.3</v>
      </c>
      <c r="F18" s="5">
        <f>VLOOKUP($B18,plays!$B:$D,3,false)</f>
        <v>61.7</v>
      </c>
      <c r="G18" s="5">
        <f>VLOOKUP($B18,ydspt!$B:$D,3,false)</f>
        <v>10.8</v>
      </c>
      <c r="H18" s="5">
        <f>VLOOKUP($B18,ptpl!$B:$C,2,false)</f>
        <v>0.364</v>
      </c>
    </row>
    <row r="19">
      <c r="A19" s="5">
        <f>VLOOKUP(B19,map!B:C,2,false)</f>
        <v>21</v>
      </c>
      <c r="B19" s="5" t="str">
        <f>IFERROR(__xludf.DUMMYFUNCTION("""COMPUTED_VALUE"""),"Arizona")</f>
        <v>Arizona</v>
      </c>
      <c r="C19" s="5">
        <f>VLOOKUP($B19,PF!$B:$D,3,false)</f>
        <v>19.3</v>
      </c>
      <c r="D19" s="5">
        <f>VLOOKUP($B19,PA!$B:$D,3,false)</f>
        <v>25.3</v>
      </c>
      <c r="E19" s="5">
        <f>VLOOKUP($B19,yards!$B:$D,3,false)</f>
        <v>339.3</v>
      </c>
      <c r="F19" s="5">
        <f>VLOOKUP($B19,plays!$B:$D,3,false)</f>
        <v>57.3</v>
      </c>
      <c r="G19" s="5">
        <f>VLOOKUP($B19,ydspt!$B:$D,3,false)</f>
        <v>17.6</v>
      </c>
      <c r="H19" s="5">
        <f>VLOOKUP($B19,ptpl!$B:$C,2,false)</f>
        <v>0.385</v>
      </c>
    </row>
    <row r="20">
      <c r="A20" s="5">
        <f>VLOOKUP(B20,map!B:C,2,false)</f>
        <v>20</v>
      </c>
      <c r="B20" s="5" t="str">
        <f>IFERROR(__xludf.DUMMYFUNCTION("""COMPUTED_VALUE"""),"Indianapolis")</f>
        <v>Indianapolis</v>
      </c>
      <c r="C20" s="5">
        <f>VLOOKUP($B20,PF!$B:$D,3,false)</f>
        <v>18.7</v>
      </c>
      <c r="D20" s="5">
        <f>VLOOKUP($B20,PA!$B:$D,3,false)</f>
        <v>16.7</v>
      </c>
      <c r="E20" s="5">
        <f>VLOOKUP($B20,yards!$B:$D,3,false)</f>
        <v>285.3</v>
      </c>
      <c r="F20" s="5">
        <f>VLOOKUP($B20,plays!$B:$D,3,false)</f>
        <v>63.3</v>
      </c>
      <c r="G20" s="5">
        <f>VLOOKUP($B20,ydspt!$B:$D,3,false)</f>
        <v>15.3</v>
      </c>
      <c r="H20" s="5">
        <f>VLOOKUP($B20,ptpl!$B:$C,2,false)</f>
        <v>0.37</v>
      </c>
    </row>
    <row r="21">
      <c r="A21" s="5">
        <f>VLOOKUP(B21,map!B:C,2,false)</f>
        <v>27</v>
      </c>
      <c r="B21" s="5" t="str">
        <f>IFERROR(__xludf.DUMMYFUNCTION("""COMPUTED_VALUE"""),"Denver")</f>
        <v>Denver</v>
      </c>
      <c r="C21" s="5">
        <f>VLOOKUP($B21,PF!$B:$D,3,false)</f>
        <v>25.7</v>
      </c>
      <c r="D21" s="5">
        <f>VLOOKUP($B21,PA!$B:$D,3,false)</f>
        <v>15.7</v>
      </c>
      <c r="E21" s="5">
        <f>VLOOKUP($B21,yards!$B:$D,3,false)</f>
        <v>368.3</v>
      </c>
      <c r="F21" s="5">
        <f>VLOOKUP($B21,plays!$B:$D,3,false)</f>
        <v>62.3</v>
      </c>
      <c r="G21" s="5">
        <f>VLOOKUP($B21,ydspt!$B:$D,3,false)</f>
        <v>14.4</v>
      </c>
      <c r="H21" s="5">
        <f>VLOOKUP($B21,ptpl!$B:$C,2,false)</f>
        <v>0.353</v>
      </c>
    </row>
    <row r="22">
      <c r="A22" s="5">
        <f>VLOOKUP(B22,map!B:C,2,false)</f>
        <v>6</v>
      </c>
      <c r="B22" s="5" t="str">
        <f>IFERROR(__xludf.DUMMYFUNCTION("""COMPUTED_VALUE"""),"Jacksonville")</f>
        <v>Jacksonville</v>
      </c>
      <c r="C22" s="5">
        <f>VLOOKUP($B22,PF!$B:$D,3,false)</f>
        <v>25</v>
      </c>
      <c r="D22" s="5">
        <f>VLOOKUP($B22,PA!$B:$D,3,false)</f>
        <v>27</v>
      </c>
      <c r="E22" s="5">
        <f>VLOOKUP($B22,yards!$B:$D,3,false)</f>
        <v>344</v>
      </c>
      <c r="F22" s="5">
        <f>VLOOKUP($B22,plays!$B:$D,3,false)</f>
        <v>58.3</v>
      </c>
      <c r="G22" s="5">
        <f>VLOOKUP($B22,ydspt!$B:$D,3,false)</f>
        <v>13.8</v>
      </c>
      <c r="H22" s="5">
        <f>VLOOKUP($B22,ptpl!$B:$C,2,false)</f>
        <v>0.371</v>
      </c>
    </row>
    <row r="23">
      <c r="A23" s="5">
        <f>VLOOKUP(B23,map!B:C,2,false)</f>
        <v>1</v>
      </c>
      <c r="B23" s="5" t="str">
        <f>IFERROR(__xludf.DUMMYFUNCTION("""COMPUTED_VALUE"""),"Dallas")</f>
        <v>Dallas</v>
      </c>
      <c r="C23" s="5">
        <f>VLOOKUP($B23,PF!$B:$D,3,false)</f>
        <v>17.7</v>
      </c>
      <c r="D23" s="5">
        <f>VLOOKUP($B23,PA!$B:$D,3,false)</f>
        <v>31.3</v>
      </c>
      <c r="E23" s="5">
        <f>VLOOKUP($B23,yards!$B:$D,3,false)</f>
        <v>329.3</v>
      </c>
      <c r="F23" s="5">
        <f>VLOOKUP($B23,plays!$B:$D,3,false)</f>
        <v>66.3</v>
      </c>
      <c r="G23" s="5">
        <f>VLOOKUP($B23,ydspt!$B:$D,3,false)</f>
        <v>18.6</v>
      </c>
      <c r="H23" s="5">
        <f>VLOOKUP($B23,ptpl!$B:$C,2,false)</f>
        <v>0.336</v>
      </c>
    </row>
    <row r="24">
      <c r="A24" s="5">
        <f>VLOOKUP(B24,map!B:C,2,false)</f>
        <v>18</v>
      </c>
      <c r="B24" s="5" t="str">
        <f>IFERROR(__xludf.DUMMYFUNCTION("""COMPUTED_VALUE"""),"LA Rams")</f>
        <v>LA Rams</v>
      </c>
      <c r="C24" s="5">
        <f>VLOOKUP($B24,PF!$B:$D,3,false)</f>
        <v>23</v>
      </c>
      <c r="D24" s="5">
        <f>VLOOKUP($B24,PA!$B:$D,3,false)</f>
        <v>19.7</v>
      </c>
      <c r="E24" s="5">
        <f>VLOOKUP($B24,yards!$B:$D,3,false)</f>
        <v>338.3</v>
      </c>
      <c r="F24" s="5">
        <f>VLOOKUP($B24,plays!$B:$D,3,false)</f>
        <v>64.7</v>
      </c>
      <c r="G24" s="5">
        <f>VLOOKUP($B24,ydspt!$B:$D,3,false)</f>
        <v>14.7</v>
      </c>
      <c r="H24" s="5">
        <f>VLOOKUP($B24,ptpl!$B:$C,2,false)</f>
        <v>0.333</v>
      </c>
    </row>
    <row r="25">
      <c r="A25" s="5">
        <f>VLOOKUP(B25,map!B:C,2,false)</f>
        <v>7</v>
      </c>
      <c r="B25" s="5" t="str">
        <f>IFERROR(__xludf.DUMMYFUNCTION("""COMPUTED_VALUE"""),"LA Chargers")</f>
        <v>LA Chargers</v>
      </c>
      <c r="C25" s="5">
        <f>VLOOKUP($B25,PF!$B:$D,3,false)</f>
        <v>21.3</v>
      </c>
      <c r="D25" s="5">
        <f>VLOOKUP($B25,PA!$B:$D,3,false)</f>
        <v>13.7</v>
      </c>
      <c r="E25" s="5">
        <f>VLOOKUP($B25,yards!$B:$D,3,false)</f>
        <v>374.3</v>
      </c>
      <c r="F25" s="5">
        <f>VLOOKUP($B25,plays!$B:$D,3,false)</f>
        <v>67.7</v>
      </c>
      <c r="G25" s="5">
        <f>VLOOKUP($B25,ydspt!$B:$D,3,false)</f>
        <v>17.5</v>
      </c>
      <c r="H25" s="5">
        <f>VLOOKUP($B25,ptpl!$B:$C,2,false)</f>
        <v>0.314</v>
      </c>
    </row>
    <row r="26">
      <c r="A26" s="5">
        <f>VLOOKUP(B26,map!B:C,2,false)</f>
        <v>19</v>
      </c>
      <c r="B26" s="5" t="str">
        <f>IFERROR(__xludf.DUMMYFUNCTION("""COMPUTED_VALUE"""),"NY Jets")</f>
        <v>NY Jets</v>
      </c>
      <c r="C26" s="5">
        <f>VLOOKUP($B26,PF!$B:$D,3,false)</f>
        <v>19</v>
      </c>
      <c r="D26" s="5">
        <f>VLOOKUP($B26,PA!$B:$D,3,false)</f>
        <v>28.3</v>
      </c>
      <c r="E26" s="5">
        <f>VLOOKUP($B26,yards!$B:$D,3,false)</f>
        <v>350.7</v>
      </c>
      <c r="F26" s="5">
        <f>VLOOKUP($B26,plays!$B:$D,3,false)</f>
        <v>57</v>
      </c>
      <c r="G26" s="5">
        <f>VLOOKUP($B26,ydspt!$B:$D,3,false)</f>
        <v>18.5</v>
      </c>
      <c r="H26" s="5">
        <f>VLOOKUP($B26,ptpl!$B:$C,2,false)</f>
        <v>0.308</v>
      </c>
    </row>
    <row r="27">
      <c r="A27" s="5">
        <f>VLOOKUP(B27,map!B:C,2,false)</f>
        <v>24</v>
      </c>
      <c r="B27" s="5" t="str">
        <f>IFERROR(__xludf.DUMMYFUNCTION("""COMPUTED_VALUE"""),"Las Vegas")</f>
        <v>Las Vegas</v>
      </c>
      <c r="C27" s="5">
        <f>VLOOKUP($B27,PF!$B:$D,3,false)</f>
        <v>16</v>
      </c>
      <c r="D27" s="5">
        <f>VLOOKUP($B27,PA!$B:$D,3,false)</f>
        <v>26.3</v>
      </c>
      <c r="E27" s="5">
        <f>VLOOKUP($B27,yards!$B:$D,3,false)</f>
        <v>273.3</v>
      </c>
      <c r="F27" s="5">
        <f>VLOOKUP($B27,plays!$B:$D,3,false)</f>
        <v>63.7</v>
      </c>
      <c r="G27" s="5">
        <f>VLOOKUP($B27,ydspt!$B:$D,3,false)</f>
        <v>17.1</v>
      </c>
      <c r="H27" s="5">
        <f>VLOOKUP($B27,ptpl!$B:$C,2,false)</f>
        <v>0.294</v>
      </c>
    </row>
    <row r="28">
      <c r="A28" s="5">
        <f>VLOOKUP(B28,map!B:C,2,false)</f>
        <v>16</v>
      </c>
      <c r="B28" s="5" t="str">
        <f>IFERROR(__xludf.DUMMYFUNCTION("""COMPUTED_VALUE"""),"Cleveland")</f>
        <v>Cleveland</v>
      </c>
      <c r="C28" s="5">
        <f>VLOOKUP($B28,PF!$B:$D,3,false)</f>
        <v>19.7</v>
      </c>
      <c r="D28" s="5">
        <f>VLOOKUP($B28,PA!$B:$D,3,false)</f>
        <v>21.7</v>
      </c>
      <c r="E28" s="5">
        <f>VLOOKUP($B28,yards!$B:$D,3,false)</f>
        <v>327</v>
      </c>
      <c r="F28" s="5">
        <f>VLOOKUP($B28,plays!$B:$D,3,false)</f>
        <v>65.3</v>
      </c>
      <c r="G28" s="5">
        <f>VLOOKUP($B28,ydspt!$B:$D,3,false)</f>
        <v>16.6</v>
      </c>
      <c r="H28" s="5">
        <f>VLOOKUP($B28,ptpl!$B:$C,2,false)</f>
        <v>0.271</v>
      </c>
    </row>
    <row r="29">
      <c r="A29" s="5">
        <f>VLOOKUP(B29,map!B:C,2,false)</f>
        <v>32</v>
      </c>
      <c r="B29" s="5" t="str">
        <f>IFERROR(__xludf.DUMMYFUNCTION("""COMPUTED_VALUE"""),"Tennessee")</f>
        <v>Tennessee</v>
      </c>
      <c r="C29" s="5">
        <f>VLOOKUP($B29,PF!$B:$D,3,false)</f>
        <v>13.7</v>
      </c>
      <c r="D29" s="5">
        <f>VLOOKUP($B29,PA!$B:$D,3,false)</f>
        <v>35.3</v>
      </c>
      <c r="E29" s="5">
        <f>VLOOKUP($B29,yards!$B:$D,3,false)</f>
        <v>315.3</v>
      </c>
      <c r="F29" s="5">
        <f>VLOOKUP($B29,plays!$B:$D,3,false)</f>
        <v>64.3</v>
      </c>
      <c r="G29" s="5">
        <f>VLOOKUP($B29,ydspt!$B:$D,3,false)</f>
        <v>23.1</v>
      </c>
      <c r="H29" s="5">
        <f>VLOOKUP($B29,ptpl!$B:$C,2,false)</f>
        <v>0.28</v>
      </c>
    </row>
    <row r="30">
      <c r="A30" s="5">
        <f>VLOOKUP(B30,map!B:C,2,false)</f>
        <v>22</v>
      </c>
      <c r="B30" s="5" t="str">
        <f>IFERROR(__xludf.DUMMYFUNCTION("""COMPUTED_VALUE"""),"New England")</f>
        <v>New England</v>
      </c>
      <c r="C30" s="5">
        <f>VLOOKUP($B30,PF!$B:$D,3,false)</f>
        <v>20.7</v>
      </c>
      <c r="D30" s="5">
        <f>VLOOKUP($B30,PA!$B:$D,3,false)</f>
        <v>31.7</v>
      </c>
      <c r="E30" s="5">
        <f>VLOOKUP($B30,yards!$B:$D,3,false)</f>
        <v>277.7</v>
      </c>
      <c r="F30" s="5">
        <f>VLOOKUP($B30,plays!$B:$D,3,false)</f>
        <v>60</v>
      </c>
      <c r="G30" s="5">
        <f>VLOOKUP($B30,ydspt!$B:$D,3,false)</f>
        <v>13.4</v>
      </c>
      <c r="H30" s="5">
        <f>VLOOKUP($B30,ptpl!$B:$C,2,false)</f>
        <v>0.261</v>
      </c>
    </row>
    <row r="31">
      <c r="A31" s="5">
        <f>VLOOKUP(B31,map!B:C,2,false)</f>
        <v>23</v>
      </c>
      <c r="B31" s="5" t="str">
        <f>IFERROR(__xludf.DUMMYFUNCTION("""COMPUTED_VALUE"""),"Carolina")</f>
        <v>Carolina</v>
      </c>
      <c r="C31" s="5">
        <f>VLOOKUP($B31,PF!$B:$D,3,false)</f>
        <v>13.7</v>
      </c>
      <c r="D31" s="5">
        <f>VLOOKUP($B31,PA!$B:$D,3,false)</f>
        <v>35.3</v>
      </c>
      <c r="E31" s="5">
        <f>VLOOKUP($B31,yards!$B:$D,3,false)</f>
        <v>266.3</v>
      </c>
      <c r="F31" s="5">
        <f>VLOOKUP($B31,plays!$B:$D,3,false)</f>
        <v>55</v>
      </c>
      <c r="G31" s="5">
        <f>VLOOKUP($B31,ydspt!$B:$D,3,false)</f>
        <v>19.5</v>
      </c>
      <c r="H31" s="5">
        <f>VLOOKUP($B31,ptpl!$B:$C,2,false)</f>
        <v>0.267</v>
      </c>
    </row>
    <row r="32">
      <c r="A32" s="5">
        <f>VLOOKUP(B32,map!B:C,2,false)</f>
        <v>26</v>
      </c>
      <c r="B32" s="5" t="str">
        <f>IFERROR(__xludf.DUMMYFUNCTION("""COMPUTED_VALUE"""),"NY Giants")</f>
        <v>NY Giants</v>
      </c>
      <c r="C32" s="5">
        <f>VLOOKUP($B32,PF!$B:$D,3,false)</f>
        <v>13</v>
      </c>
      <c r="D32" s="5">
        <f>VLOOKUP($B32,PA!$B:$D,3,false)</f>
        <v>21.7</v>
      </c>
      <c r="E32" s="5">
        <f>VLOOKUP($B32,yards!$B:$D,3,false)</f>
        <v>282.7</v>
      </c>
      <c r="F32" s="5">
        <f>VLOOKUP($B32,plays!$B:$D,3,false)</f>
        <v>66.7</v>
      </c>
      <c r="G32" s="5">
        <f>VLOOKUP($B32,ydspt!$B:$D,3,false)</f>
        <v>21.7</v>
      </c>
      <c r="H32" s="5">
        <f>VLOOKUP($B32,ptpl!$B:$C,2,false)</f>
        <v>0.219</v>
      </c>
    </row>
    <row r="33">
      <c r="A33" s="5">
        <f>VLOOKUP(B33,map!B:C,2,false)</f>
        <v>10</v>
      </c>
      <c r="B33" s="5" t="str">
        <f>IFERROR(__xludf.DUMMYFUNCTION("""COMPUTED_VALUE"""),"Miami")</f>
        <v>Miami</v>
      </c>
      <c r="C33" s="5">
        <f>VLOOKUP($B33,PF!$B:$D,3,false)</f>
        <v>17.3</v>
      </c>
      <c r="D33" s="5">
        <f>VLOOKUP($B33,PA!$B:$D,3,false)</f>
        <v>18</v>
      </c>
      <c r="E33" s="5">
        <f>VLOOKUP($B33,yards!$B:$D,3,false)</f>
        <v>362</v>
      </c>
      <c r="F33" s="5">
        <f>VLOOKUP($B33,plays!$B:$D,3,false)</f>
        <v>69</v>
      </c>
      <c r="G33" s="5">
        <f>VLOOKUP($B33,ydspt!$B:$D,3,false)</f>
        <v>20.9</v>
      </c>
      <c r="H33" s="5">
        <f>VLOOKUP($B33,ptpl!$B:$C,2,false)</f>
        <v>0.212</v>
      </c>
    </row>
    <row r="34">
      <c r="B34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/>
      <c r="B1" s="21" t="str">
        <f>IFERROR(__xludf.DUMMYFUNCTION("QUERY(IMPORTHTML(""https://www.teamrankings.com/nfl/stat/points-per-game="" &amp; TEXT(TODAY(),""yyyy-mm-dd""), ""table"", 1, ""en_US""), ""SELECT Col2, Col3, Col4, Col5, Col6, Col7, Col8"")
"),"Team")</f>
        <v>Team</v>
      </c>
      <c r="C1" s="22" t="str">
        <f>IFERROR(__xludf.DUMMYFUNCTION("""COMPUTED_VALUE"""),"2024")</f>
        <v>2024</v>
      </c>
      <c r="D1" s="23" t="str">
        <f>IFERROR(__xludf.DUMMYFUNCTION("""COMPUTED_VALUE"""),"Last 3")</f>
        <v>Last 3</v>
      </c>
      <c r="E1" s="23" t="str">
        <f>IFERROR(__xludf.DUMMYFUNCTION("""COMPUTED_VALUE"""),"Last 1")</f>
        <v>Last 1</v>
      </c>
      <c r="F1" s="22" t="str">
        <f>IFERROR(__xludf.DUMMYFUNCTION("""COMPUTED_VALUE"""),"Home")</f>
        <v>Home</v>
      </c>
      <c r="G1" s="22" t="str">
        <f>IFERROR(__xludf.DUMMYFUNCTION("""COMPUTED_VALUE"""),"Away")</f>
        <v>Away</v>
      </c>
      <c r="H1" s="22" t="str">
        <f>IFERROR(__xludf.DUMMYFUNCTION("""COMPUTED_VALUE"""),"2023")</f>
        <v>2023</v>
      </c>
    </row>
    <row r="2">
      <c r="A2" s="24">
        <f>VLOOKUP(B2,map!B:C,2,false)</f>
        <v>5</v>
      </c>
      <c r="B2" s="25" t="str">
        <f>IFERROR(__xludf.DUMMYFUNCTION("""COMPUTED_VALUE"""),"Detroit")</f>
        <v>Detroit</v>
      </c>
      <c r="C2" s="26">
        <f>IFERROR(__xludf.DUMMYFUNCTION("""COMPUTED_VALUE"""),33.4)</f>
        <v>33.4</v>
      </c>
      <c r="D2" s="26">
        <f>IFERROR(__xludf.DUMMYFUNCTION("""COMPUTED_VALUE"""),43.3)</f>
        <v>43.3</v>
      </c>
      <c r="E2" s="26">
        <f>IFERROR(__xludf.DUMMYFUNCTION("""COMPUTED_VALUE"""),52.0)</f>
        <v>52</v>
      </c>
      <c r="F2" s="26">
        <f>IFERROR(__xludf.DUMMYFUNCTION("""COMPUTED_VALUE"""),34.0)</f>
        <v>34</v>
      </c>
      <c r="G2" s="26">
        <f>IFERROR(__xludf.DUMMYFUNCTION("""COMPUTED_VALUE"""),32.7)</f>
        <v>32.7</v>
      </c>
      <c r="H2" s="26">
        <f>IFERROR(__xludf.DUMMYFUNCTION("""COMPUTED_VALUE"""),27.4)</f>
        <v>27.4</v>
      </c>
    </row>
    <row r="3">
      <c r="A3" s="24">
        <f>VLOOKUP(B3,map!B:C,2,false)</f>
        <v>30</v>
      </c>
      <c r="B3" s="25" t="str">
        <f>IFERROR(__xludf.DUMMYFUNCTION("""COMPUTED_VALUE"""),"Baltimore")</f>
        <v>Baltimore</v>
      </c>
      <c r="C3" s="26">
        <f>IFERROR(__xludf.DUMMYFUNCTION("""COMPUTED_VALUE"""),30.3)</f>
        <v>30.3</v>
      </c>
      <c r="D3" s="26">
        <f>IFERROR(__xludf.DUMMYFUNCTION("""COMPUTED_VALUE"""),31.7)</f>
        <v>31.7</v>
      </c>
      <c r="E3" s="26">
        <f>IFERROR(__xludf.DUMMYFUNCTION("""COMPUTED_VALUE"""),24.0)</f>
        <v>24</v>
      </c>
      <c r="F3" s="26">
        <f>IFERROR(__xludf.DUMMYFUNCTION("""COMPUTED_VALUE"""),29.3)</f>
        <v>29.3</v>
      </c>
      <c r="G3" s="26">
        <f>IFERROR(__xludf.DUMMYFUNCTION("""COMPUTED_VALUE"""),30.8)</f>
        <v>30.8</v>
      </c>
      <c r="H3" s="26">
        <f>IFERROR(__xludf.DUMMYFUNCTION("""COMPUTED_VALUE"""),27.7)</f>
        <v>27.7</v>
      </c>
    </row>
    <row r="4">
      <c r="A4" s="24">
        <f>VLOOKUP(B4,map!B:C,2,false)</f>
        <v>8</v>
      </c>
      <c r="B4" s="25" t="str">
        <f>IFERROR(__xludf.DUMMYFUNCTION("""COMPUTED_VALUE"""),"Washington")</f>
        <v>Washington</v>
      </c>
      <c r="C4" s="26">
        <f>IFERROR(__xludf.DUMMYFUNCTION("""COMPUTED_VALUE"""),29.5)</f>
        <v>29.5</v>
      </c>
      <c r="D4" s="26">
        <f>IFERROR(__xludf.DUMMYFUNCTION("""COMPUTED_VALUE"""),27.0)</f>
        <v>27</v>
      </c>
      <c r="E4" s="26">
        <f>IFERROR(__xludf.DUMMYFUNCTION("""COMPUTED_VALUE"""),18.0)</f>
        <v>18</v>
      </c>
      <c r="F4" s="26">
        <f>IFERROR(__xludf.DUMMYFUNCTION("""COMPUTED_VALUE"""),28.3)</f>
        <v>28.3</v>
      </c>
      <c r="G4" s="26">
        <f>IFERROR(__xludf.DUMMYFUNCTION("""COMPUTED_VALUE"""),30.8)</f>
        <v>30.8</v>
      </c>
      <c r="H4" s="26">
        <f>IFERROR(__xludf.DUMMYFUNCTION("""COMPUTED_VALUE"""),19.4)</f>
        <v>19.4</v>
      </c>
    </row>
    <row r="5">
      <c r="A5" s="24">
        <f>VLOOKUP(B5,map!B:C,2,false)</f>
        <v>14</v>
      </c>
      <c r="B5" s="25" t="str">
        <f>IFERROR(__xludf.DUMMYFUNCTION("""COMPUTED_VALUE"""),"Tampa Bay")</f>
        <v>Tampa Bay</v>
      </c>
      <c r="C5" s="26">
        <f>IFERROR(__xludf.DUMMYFUNCTION("""COMPUTED_VALUE"""),29.4)</f>
        <v>29.4</v>
      </c>
      <c r="D5" s="26">
        <f>IFERROR(__xludf.DUMMYFUNCTION("""COMPUTED_VALUE"""),36.0)</f>
        <v>36</v>
      </c>
      <c r="E5" s="26">
        <f>IFERROR(__xludf.DUMMYFUNCTION("""COMPUTED_VALUE"""),26.0)</f>
        <v>26</v>
      </c>
      <c r="F5" s="26">
        <f>IFERROR(__xludf.DUMMYFUNCTION("""COMPUTED_VALUE"""),26.8)</f>
        <v>26.8</v>
      </c>
      <c r="G5" s="26">
        <f>IFERROR(__xludf.DUMMYFUNCTION("""COMPUTED_VALUE"""),33.7)</f>
        <v>33.7</v>
      </c>
      <c r="H5" s="26">
        <f>IFERROR(__xludf.DUMMYFUNCTION("""COMPUTED_VALUE"""),21.2)</f>
        <v>21.2</v>
      </c>
    </row>
    <row r="6">
      <c r="A6" s="24">
        <f>VLOOKUP(B6,map!B:C,2,false)</f>
        <v>11</v>
      </c>
      <c r="B6" s="25" t="str">
        <f>IFERROR(__xludf.DUMMYFUNCTION("""COMPUTED_VALUE"""),"Buffalo")</f>
        <v>Buffalo</v>
      </c>
      <c r="C6" s="26">
        <f>IFERROR(__xludf.DUMMYFUNCTION("""COMPUTED_VALUE"""),28.8)</f>
        <v>28.8</v>
      </c>
      <c r="D6" s="26">
        <f>IFERROR(__xludf.DUMMYFUNCTION("""COMPUTED_VALUE"""),29.3)</f>
        <v>29.3</v>
      </c>
      <c r="E6" s="26">
        <f>IFERROR(__xludf.DUMMYFUNCTION("""COMPUTED_VALUE"""),31.0)</f>
        <v>31</v>
      </c>
      <c r="F6" s="26">
        <f>IFERROR(__xludf.DUMMYFUNCTION("""COMPUTED_VALUE"""),38.3)</f>
        <v>38.3</v>
      </c>
      <c r="G6" s="26">
        <f>IFERROR(__xludf.DUMMYFUNCTION("""COMPUTED_VALUE"""),23.0)</f>
        <v>23</v>
      </c>
      <c r="H6" s="26">
        <f>IFERROR(__xludf.DUMMYFUNCTION("""COMPUTED_VALUE"""),26.6)</f>
        <v>26.6</v>
      </c>
    </row>
    <row r="7">
      <c r="A7" s="24">
        <f>VLOOKUP(B7,map!B:C,2,false)</f>
        <v>15</v>
      </c>
      <c r="B7" s="25" t="str">
        <f>IFERROR(__xludf.DUMMYFUNCTION("""COMPUTED_VALUE"""),"Green Bay")</f>
        <v>Green Bay</v>
      </c>
      <c r="C7" s="26">
        <f>IFERROR(__xludf.DUMMYFUNCTION("""COMPUTED_VALUE"""),27.0)</f>
        <v>27</v>
      </c>
      <c r="D7" s="26">
        <f>IFERROR(__xludf.DUMMYFUNCTION("""COMPUTED_VALUE"""),29.3)</f>
        <v>29.3</v>
      </c>
      <c r="E7" s="26">
        <f>IFERROR(__xludf.DUMMYFUNCTION("""COMPUTED_VALUE"""),30.0)</f>
        <v>30</v>
      </c>
      <c r="F7" s="26">
        <f>IFERROR(__xludf.DUMMYFUNCTION("""COMPUTED_VALUE"""),25.8)</f>
        <v>25.8</v>
      </c>
      <c r="G7" s="26">
        <f>IFERROR(__xludf.DUMMYFUNCTION("""COMPUTED_VALUE"""),28.3)</f>
        <v>28.3</v>
      </c>
      <c r="H7" s="26">
        <f>IFERROR(__xludf.DUMMYFUNCTION("""COMPUTED_VALUE"""),23.8)</f>
        <v>23.8</v>
      </c>
    </row>
    <row r="8">
      <c r="A8" s="24">
        <f>VLOOKUP(B8,map!B:C,2,false)</f>
        <v>3</v>
      </c>
      <c r="B8" s="25" t="str">
        <f>IFERROR(__xludf.DUMMYFUNCTION("""COMPUTED_VALUE"""),"Minnesota")</f>
        <v>Minnesota</v>
      </c>
      <c r="C8" s="26">
        <f>IFERROR(__xludf.DUMMYFUNCTION("""COMPUTED_VALUE"""),26.9)</f>
        <v>26.9</v>
      </c>
      <c r="D8" s="26">
        <f>IFERROR(__xludf.DUMMYFUNCTION("""COMPUTED_VALUE"""),24.0)</f>
        <v>24</v>
      </c>
      <c r="E8" s="26">
        <f>IFERROR(__xludf.DUMMYFUNCTION("""COMPUTED_VALUE"""),20.0)</f>
        <v>20</v>
      </c>
      <c r="F8" s="26">
        <f>IFERROR(__xludf.DUMMYFUNCTION("""COMPUTED_VALUE"""),28.7)</f>
        <v>28.7</v>
      </c>
      <c r="G8" s="26">
        <f>IFERROR(__xludf.DUMMYFUNCTION("""COMPUTED_VALUE"""),25.5)</f>
        <v>25.5</v>
      </c>
      <c r="H8" s="26">
        <f>IFERROR(__xludf.DUMMYFUNCTION("""COMPUTED_VALUE"""),20.2)</f>
        <v>20.2</v>
      </c>
    </row>
    <row r="9">
      <c r="A9" s="24">
        <f>VLOOKUP(B9,map!B:C,2,false)</f>
        <v>25</v>
      </c>
      <c r="B9" s="25" t="str">
        <f>IFERROR(__xludf.DUMMYFUNCTION("""COMPUTED_VALUE"""),"San Francisco")</f>
        <v>San Francisco</v>
      </c>
      <c r="C9" s="26">
        <f>IFERROR(__xludf.DUMMYFUNCTION("""COMPUTED_VALUE"""),26.3)</f>
        <v>26.3</v>
      </c>
      <c r="D9" s="26">
        <f>IFERROR(__xludf.DUMMYFUNCTION("""COMPUTED_VALUE"""),28.0)</f>
        <v>28</v>
      </c>
      <c r="E9" s="26">
        <f>IFERROR(__xludf.DUMMYFUNCTION("""COMPUTED_VALUE"""),30.0)</f>
        <v>30</v>
      </c>
      <c r="F9" s="26">
        <f>IFERROR(__xludf.DUMMYFUNCTION("""COMPUTED_VALUE"""),26.6)</f>
        <v>26.6</v>
      </c>
      <c r="G9" s="26">
        <f>IFERROR(__xludf.DUMMYFUNCTION("""COMPUTED_VALUE"""),25.7)</f>
        <v>25.7</v>
      </c>
      <c r="H9" s="26">
        <f>IFERROR(__xludf.DUMMYFUNCTION("""COMPUTED_VALUE"""),28.6)</f>
        <v>28.6</v>
      </c>
    </row>
    <row r="10">
      <c r="A10" s="24">
        <f>VLOOKUP(B10,map!B:C,2,false)</f>
        <v>2</v>
      </c>
      <c r="B10" s="25" t="str">
        <f>IFERROR(__xludf.DUMMYFUNCTION("""COMPUTED_VALUE"""),"Kansas City")</f>
        <v>Kansas City</v>
      </c>
      <c r="C10" s="26">
        <f>IFERROR(__xludf.DUMMYFUNCTION("""COMPUTED_VALUE"""),24.7)</f>
        <v>24.7</v>
      </c>
      <c r="D10" s="26">
        <f>IFERROR(__xludf.DUMMYFUNCTION("""COMPUTED_VALUE"""),27.0)</f>
        <v>27</v>
      </c>
      <c r="E10" s="26">
        <f>IFERROR(__xludf.DUMMYFUNCTION("""COMPUTED_VALUE"""),27.0)</f>
        <v>27</v>
      </c>
      <c r="F10" s="26">
        <f>IFERROR(__xludf.DUMMYFUNCTION("""COMPUTED_VALUE"""),26.3)</f>
        <v>26.3</v>
      </c>
      <c r="G10" s="26">
        <f>IFERROR(__xludf.DUMMYFUNCTION("""COMPUTED_VALUE"""),23.5)</f>
        <v>23.5</v>
      </c>
      <c r="H10" s="26">
        <f>IFERROR(__xludf.DUMMYFUNCTION("""COMPUTED_VALUE"""),22.2)</f>
        <v>22.2</v>
      </c>
    </row>
    <row r="11">
      <c r="A11" s="24">
        <f>VLOOKUP(B11,map!B:C,2,false)</f>
        <v>12</v>
      </c>
      <c r="B11" s="25" t="str">
        <f>IFERROR(__xludf.DUMMYFUNCTION("""COMPUTED_VALUE"""),"Philadelphia")</f>
        <v>Philadelphia</v>
      </c>
      <c r="C11" s="26">
        <f>IFERROR(__xludf.DUMMYFUNCTION("""COMPUTED_VALUE"""),24.4)</f>
        <v>24.4</v>
      </c>
      <c r="D11" s="26">
        <f>IFERROR(__xludf.DUMMYFUNCTION("""COMPUTED_VALUE"""),28.3)</f>
        <v>28.3</v>
      </c>
      <c r="E11" s="26">
        <f>IFERROR(__xludf.DUMMYFUNCTION("""COMPUTED_VALUE"""),37.0)</f>
        <v>37</v>
      </c>
      <c r="F11" s="26">
        <f>IFERROR(__xludf.DUMMYFUNCTION("""COMPUTED_VALUE"""),20.5)</f>
        <v>20.5</v>
      </c>
      <c r="G11" s="26">
        <f>IFERROR(__xludf.DUMMYFUNCTION("""COMPUTED_VALUE"""),26.0)</f>
        <v>26</v>
      </c>
      <c r="H11" s="26">
        <f>IFERROR(__xludf.DUMMYFUNCTION("""COMPUTED_VALUE"""),24.6)</f>
        <v>24.6</v>
      </c>
    </row>
    <row r="12">
      <c r="A12" s="24">
        <f>VLOOKUP(B12,map!B:C,2,false)</f>
        <v>4</v>
      </c>
      <c r="B12" s="25" t="str">
        <f>IFERROR(__xludf.DUMMYFUNCTION("""COMPUTED_VALUE"""),"Cincinnati")</f>
        <v>Cincinnati</v>
      </c>
      <c r="C12" s="26">
        <f>IFERROR(__xludf.DUMMYFUNCTION("""COMPUTED_VALUE"""),24.4)</f>
        <v>24.4</v>
      </c>
      <c r="D12" s="26">
        <f>IFERROR(__xludf.DUMMYFUNCTION("""COMPUTED_VALUE"""),18.3)</f>
        <v>18.3</v>
      </c>
      <c r="E12" s="26">
        <f>IFERROR(__xludf.DUMMYFUNCTION("""COMPUTED_VALUE"""),17.0)</f>
        <v>17</v>
      </c>
      <c r="F12" s="26">
        <f>IFERROR(__xludf.DUMMYFUNCTION("""COMPUTED_VALUE"""),24.5)</f>
        <v>24.5</v>
      </c>
      <c r="G12" s="26">
        <f>IFERROR(__xludf.DUMMYFUNCTION("""COMPUTED_VALUE"""),24.3)</f>
        <v>24.3</v>
      </c>
      <c r="H12" s="26">
        <f>IFERROR(__xludf.DUMMYFUNCTION("""COMPUTED_VALUE"""),21.5)</f>
        <v>21.5</v>
      </c>
    </row>
    <row r="13">
      <c r="A13" s="24">
        <f>VLOOKUP(B13,map!B:C,2,false)</f>
        <v>28</v>
      </c>
      <c r="B13" s="25" t="str">
        <f>IFERROR(__xludf.DUMMYFUNCTION("""COMPUTED_VALUE"""),"Atlanta")</f>
        <v>Atlanta</v>
      </c>
      <c r="C13" s="26">
        <f>IFERROR(__xludf.DUMMYFUNCTION("""COMPUTED_VALUE"""),24.3)</f>
        <v>24.3</v>
      </c>
      <c r="D13" s="26">
        <f>IFERROR(__xludf.DUMMYFUNCTION("""COMPUTED_VALUE"""),27.7)</f>
        <v>27.7</v>
      </c>
      <c r="E13" s="26">
        <f>IFERROR(__xludf.DUMMYFUNCTION("""COMPUTED_VALUE"""),31.0)</f>
        <v>31</v>
      </c>
      <c r="F13" s="26">
        <f>IFERROR(__xludf.DUMMYFUNCTION("""COMPUTED_VALUE"""),20.6)</f>
        <v>20.6</v>
      </c>
      <c r="G13" s="26">
        <f>IFERROR(__xludf.DUMMYFUNCTION("""COMPUTED_VALUE"""),30.3)</f>
        <v>30.3</v>
      </c>
      <c r="H13" s="26">
        <f>IFERROR(__xludf.DUMMYFUNCTION("""COMPUTED_VALUE"""),18.9)</f>
        <v>18.9</v>
      </c>
    </row>
    <row r="14">
      <c r="A14" s="24">
        <f>VLOOKUP(B14,map!B:C,2,false)</f>
        <v>13</v>
      </c>
      <c r="B14" s="25" t="str">
        <f>IFERROR(__xludf.DUMMYFUNCTION("""COMPUTED_VALUE"""),"Seattle")</f>
        <v>Seattle</v>
      </c>
      <c r="C14" s="26">
        <f>IFERROR(__xludf.DUMMYFUNCTION("""COMPUTED_VALUE"""),23.8)</f>
        <v>23.8</v>
      </c>
      <c r="D14" s="26">
        <f>IFERROR(__xludf.DUMMYFUNCTION("""COMPUTED_VALUE"""),22.7)</f>
        <v>22.7</v>
      </c>
      <c r="E14" s="26">
        <f>IFERROR(__xludf.DUMMYFUNCTION("""COMPUTED_VALUE"""),10.0)</f>
        <v>10</v>
      </c>
      <c r="F14" s="26">
        <f>IFERROR(__xludf.DUMMYFUNCTION("""COMPUTED_VALUE"""),20.8)</f>
        <v>20.8</v>
      </c>
      <c r="G14" s="26">
        <f>IFERROR(__xludf.DUMMYFUNCTION("""COMPUTED_VALUE"""),28.7)</f>
        <v>28.7</v>
      </c>
      <c r="H14" s="26">
        <f>IFERROR(__xludf.DUMMYFUNCTION("""COMPUTED_VALUE"""),21.4)</f>
        <v>21.4</v>
      </c>
    </row>
    <row r="15">
      <c r="A15" s="24">
        <f>VLOOKUP(B15,map!B:C,2,false)</f>
        <v>17</v>
      </c>
      <c r="B15" s="25" t="str">
        <f>IFERROR(__xludf.DUMMYFUNCTION("""COMPUTED_VALUE"""),"Houston")</f>
        <v>Houston</v>
      </c>
      <c r="C15" s="26">
        <f>IFERROR(__xludf.DUMMYFUNCTION("""COMPUTED_VALUE"""),23.5)</f>
        <v>23.5</v>
      </c>
      <c r="D15" s="26">
        <f>IFERROR(__xludf.DUMMYFUNCTION("""COMPUTED_VALUE"""),28.7)</f>
        <v>28.7</v>
      </c>
      <c r="E15" s="26">
        <f>IFERROR(__xludf.DUMMYFUNCTION("""COMPUTED_VALUE"""),23.0)</f>
        <v>23</v>
      </c>
      <c r="F15" s="26">
        <f>IFERROR(__xludf.DUMMYFUNCTION("""COMPUTED_VALUE"""),22.3)</f>
        <v>22.3</v>
      </c>
      <c r="G15" s="26">
        <f>IFERROR(__xludf.DUMMYFUNCTION("""COMPUTED_VALUE"""),24.8)</f>
        <v>24.8</v>
      </c>
      <c r="H15" s="26">
        <f>IFERROR(__xludf.DUMMYFUNCTION("""COMPUTED_VALUE"""),22.7)</f>
        <v>22.7</v>
      </c>
    </row>
    <row r="16">
      <c r="A16" s="24">
        <f>VLOOKUP(B16,map!B:C,2,false)</f>
        <v>31</v>
      </c>
      <c r="B16" s="25" t="str">
        <f>IFERROR(__xludf.DUMMYFUNCTION("""COMPUTED_VALUE"""),"Chicago")</f>
        <v>Chicago</v>
      </c>
      <c r="C16" s="26">
        <f>IFERROR(__xludf.DUMMYFUNCTION("""COMPUTED_VALUE"""),23.3)</f>
        <v>23.3</v>
      </c>
      <c r="D16" s="26">
        <f>IFERROR(__xludf.DUMMYFUNCTION("""COMPUTED_VALUE"""),28.7)</f>
        <v>28.7</v>
      </c>
      <c r="E16" s="26">
        <f>IFERROR(__xludf.DUMMYFUNCTION("""COMPUTED_VALUE"""),15.0)</f>
        <v>15</v>
      </c>
      <c r="F16" s="26">
        <f>IFERROR(__xludf.DUMMYFUNCTION("""COMPUTED_VALUE"""),28.0)</f>
        <v>28</v>
      </c>
      <c r="G16" s="26">
        <f>IFERROR(__xludf.DUMMYFUNCTION("""COMPUTED_VALUE"""),19.8)</f>
        <v>19.8</v>
      </c>
      <c r="H16" s="26">
        <f>IFERROR(__xludf.DUMMYFUNCTION("""COMPUTED_VALUE"""),21.2)</f>
        <v>21.2</v>
      </c>
    </row>
    <row r="17">
      <c r="A17" s="24">
        <f>VLOOKUP(B17,map!B:C,2,false)</f>
        <v>9</v>
      </c>
      <c r="B17" s="25" t="str">
        <f>IFERROR(__xludf.DUMMYFUNCTION("""COMPUTED_VALUE"""),"New Orleans")</f>
        <v>New Orleans</v>
      </c>
      <c r="C17" s="26">
        <f>IFERROR(__xludf.DUMMYFUNCTION("""COMPUTED_VALUE"""),23.1)</f>
        <v>23.1</v>
      </c>
      <c r="D17" s="26">
        <f>IFERROR(__xludf.DUMMYFUNCTION("""COMPUTED_VALUE"""),15.0)</f>
        <v>15</v>
      </c>
      <c r="E17" s="26">
        <f>IFERROR(__xludf.DUMMYFUNCTION("""COMPUTED_VALUE"""),8.0)</f>
        <v>8</v>
      </c>
      <c r="F17" s="26">
        <f>IFERROR(__xludf.DUMMYFUNCTION("""COMPUTED_VALUE"""),24.0)</f>
        <v>24</v>
      </c>
      <c r="G17" s="26">
        <f>IFERROR(__xludf.DUMMYFUNCTION("""COMPUTED_VALUE"""),22.3)</f>
        <v>22.3</v>
      </c>
      <c r="H17" s="26">
        <f>IFERROR(__xludf.DUMMYFUNCTION("""COMPUTED_VALUE"""),23.6)</f>
        <v>23.6</v>
      </c>
    </row>
    <row r="18">
      <c r="A18" s="24">
        <f>VLOOKUP(B18,map!B:C,2,false)</f>
        <v>29</v>
      </c>
      <c r="B18" s="25" t="str">
        <f>IFERROR(__xludf.DUMMYFUNCTION("""COMPUTED_VALUE"""),"Pittsburgh")</f>
        <v>Pittsburgh</v>
      </c>
      <c r="C18" s="26">
        <f>IFERROR(__xludf.DUMMYFUNCTION("""COMPUTED_VALUE"""),23.0)</f>
        <v>23</v>
      </c>
      <c r="D18" s="26">
        <f>IFERROR(__xludf.DUMMYFUNCTION("""COMPUTED_VALUE"""),28.7)</f>
        <v>28.7</v>
      </c>
      <c r="E18" s="26">
        <f>IFERROR(__xludf.DUMMYFUNCTION("""COMPUTED_VALUE"""),37.0)</f>
        <v>37</v>
      </c>
      <c r="F18" s="26">
        <f>IFERROR(__xludf.DUMMYFUNCTION("""COMPUTED_VALUE"""),24.7)</f>
        <v>24.7</v>
      </c>
      <c r="G18" s="26">
        <f>IFERROR(__xludf.DUMMYFUNCTION("""COMPUTED_VALUE"""),21.8)</f>
        <v>21.8</v>
      </c>
      <c r="H18" s="26">
        <f>IFERROR(__xludf.DUMMYFUNCTION("""COMPUTED_VALUE"""),17.8)</f>
        <v>17.8</v>
      </c>
    </row>
    <row r="19">
      <c r="A19" s="24">
        <f>VLOOKUP(B19,map!B:C,2,false)</f>
        <v>21</v>
      </c>
      <c r="B19" s="25" t="str">
        <f>IFERROR(__xludf.DUMMYFUNCTION("""COMPUTED_VALUE"""),"Arizona")</f>
        <v>Arizona</v>
      </c>
      <c r="C19" s="26">
        <f>IFERROR(__xludf.DUMMYFUNCTION("""COMPUTED_VALUE"""),22.3)</f>
        <v>22.3</v>
      </c>
      <c r="D19" s="26">
        <f>IFERROR(__xludf.DUMMYFUNCTION("""COMPUTED_VALUE"""),19.3)</f>
        <v>19.3</v>
      </c>
      <c r="E19" s="26">
        <f>IFERROR(__xludf.DUMMYFUNCTION("""COMPUTED_VALUE"""),28.0)</f>
        <v>28</v>
      </c>
      <c r="F19" s="26">
        <f>IFERROR(__xludf.DUMMYFUNCTION("""COMPUTED_VALUE"""),21.3)</f>
        <v>21.3</v>
      </c>
      <c r="G19" s="26">
        <f>IFERROR(__xludf.DUMMYFUNCTION("""COMPUTED_VALUE"""),23.3)</f>
        <v>23.3</v>
      </c>
      <c r="H19" s="26">
        <f>IFERROR(__xludf.DUMMYFUNCTION("""COMPUTED_VALUE"""),19.4)</f>
        <v>19.4</v>
      </c>
    </row>
    <row r="20">
      <c r="A20" s="24">
        <f>VLOOKUP(B20,map!B:C,2,false)</f>
        <v>20</v>
      </c>
      <c r="B20" s="25" t="str">
        <f>IFERROR(__xludf.DUMMYFUNCTION("""COMPUTED_VALUE"""),"Indianapolis")</f>
        <v>Indianapolis</v>
      </c>
      <c r="C20" s="26">
        <f>IFERROR(__xludf.DUMMYFUNCTION("""COMPUTED_VALUE"""),21.9)</f>
        <v>21.9</v>
      </c>
      <c r="D20" s="26">
        <f>IFERROR(__xludf.DUMMYFUNCTION("""COMPUTED_VALUE"""),18.7)</f>
        <v>18.7</v>
      </c>
      <c r="E20" s="26">
        <f>IFERROR(__xludf.DUMMYFUNCTION("""COMPUTED_VALUE"""),20.0)</f>
        <v>20</v>
      </c>
      <c r="F20" s="26">
        <f>IFERROR(__xludf.DUMMYFUNCTION("""COMPUTED_VALUE"""),22.8)</f>
        <v>22.8</v>
      </c>
      <c r="G20" s="26">
        <f>IFERROR(__xludf.DUMMYFUNCTION("""COMPUTED_VALUE"""),21.0)</f>
        <v>21</v>
      </c>
      <c r="H20" s="26">
        <f>IFERROR(__xludf.DUMMYFUNCTION("""COMPUTED_VALUE"""),23.3)</f>
        <v>23.3</v>
      </c>
    </row>
    <row r="21">
      <c r="A21" s="24">
        <f>VLOOKUP(B21,map!B:C,2,false)</f>
        <v>27</v>
      </c>
      <c r="B21" s="25" t="str">
        <f>IFERROR(__xludf.DUMMYFUNCTION("""COMPUTED_VALUE"""),"Denver")</f>
        <v>Denver</v>
      </c>
      <c r="C21" s="26">
        <f>IFERROR(__xludf.DUMMYFUNCTION("""COMPUTED_VALUE"""),21.6)</f>
        <v>21.6</v>
      </c>
      <c r="D21" s="26">
        <f>IFERROR(__xludf.DUMMYFUNCTION("""COMPUTED_VALUE"""),25.7)</f>
        <v>25.7</v>
      </c>
      <c r="E21" s="26">
        <f>IFERROR(__xludf.DUMMYFUNCTION("""COMPUTED_VALUE"""),28.0)</f>
        <v>28</v>
      </c>
      <c r="F21" s="26">
        <f>IFERROR(__xludf.DUMMYFUNCTION("""COMPUTED_VALUE"""),21.0)</f>
        <v>21</v>
      </c>
      <c r="G21" s="26">
        <f>IFERROR(__xludf.DUMMYFUNCTION("""COMPUTED_VALUE"""),22.3)</f>
        <v>22.3</v>
      </c>
      <c r="H21" s="26">
        <f>IFERROR(__xludf.DUMMYFUNCTION("""COMPUTED_VALUE"""),21.0)</f>
        <v>21</v>
      </c>
    </row>
    <row r="22">
      <c r="A22" s="24">
        <f>VLOOKUP(B22,map!B:C,2,false)</f>
        <v>6</v>
      </c>
      <c r="B22" s="25" t="str">
        <f>IFERROR(__xludf.DUMMYFUNCTION("""COMPUTED_VALUE"""),"Jacksonville")</f>
        <v>Jacksonville</v>
      </c>
      <c r="C22" s="26">
        <f>IFERROR(__xludf.DUMMYFUNCTION("""COMPUTED_VALUE"""),21.5)</f>
        <v>21.5</v>
      </c>
      <c r="D22" s="26">
        <f>IFERROR(__xludf.DUMMYFUNCTION("""COMPUTED_VALUE"""),25.0)</f>
        <v>25</v>
      </c>
      <c r="E22" s="26">
        <f>IFERROR(__xludf.DUMMYFUNCTION("""COMPUTED_VALUE"""),27.0)</f>
        <v>27</v>
      </c>
      <c r="F22" s="26">
        <f>IFERROR(__xludf.DUMMYFUNCTION("""COMPUTED_VALUE"""),25.7)</f>
        <v>25.7</v>
      </c>
      <c r="G22" s="26">
        <f>IFERROR(__xludf.DUMMYFUNCTION("""COMPUTED_VALUE"""),19.0)</f>
        <v>19</v>
      </c>
      <c r="H22" s="26">
        <f>IFERROR(__xludf.DUMMYFUNCTION("""COMPUTED_VALUE"""),22.2)</f>
        <v>22.2</v>
      </c>
    </row>
    <row r="23">
      <c r="A23" s="24">
        <f>VLOOKUP(B23,map!B:C,2,false)</f>
        <v>1</v>
      </c>
      <c r="B23" s="25" t="str">
        <f>IFERROR(__xludf.DUMMYFUNCTION("""COMPUTED_VALUE"""),"Dallas")</f>
        <v>Dallas</v>
      </c>
      <c r="C23" s="26">
        <f>IFERROR(__xludf.DUMMYFUNCTION("""COMPUTED_VALUE"""),21.4)</f>
        <v>21.4</v>
      </c>
      <c r="D23" s="26">
        <f>IFERROR(__xludf.DUMMYFUNCTION("""COMPUTED_VALUE"""),17.7)</f>
        <v>17.7</v>
      </c>
      <c r="E23" s="26">
        <f>IFERROR(__xludf.DUMMYFUNCTION("""COMPUTED_VALUE"""),24.0)</f>
        <v>24</v>
      </c>
      <c r="F23" s="26">
        <f>IFERROR(__xludf.DUMMYFUNCTION("""COMPUTED_VALUE"""),17.7)</f>
        <v>17.7</v>
      </c>
      <c r="G23" s="26">
        <f>IFERROR(__xludf.DUMMYFUNCTION("""COMPUTED_VALUE"""),24.3)</f>
        <v>24.3</v>
      </c>
      <c r="H23" s="26">
        <f>IFERROR(__xludf.DUMMYFUNCTION("""COMPUTED_VALUE"""),30.1)</f>
        <v>30.1</v>
      </c>
    </row>
    <row r="24">
      <c r="A24" s="24">
        <f>VLOOKUP(B24,map!B:C,2,false)</f>
        <v>18</v>
      </c>
      <c r="B24" s="25" t="str">
        <f>IFERROR(__xludf.DUMMYFUNCTION("""COMPUTED_VALUE"""),"LA Rams")</f>
        <v>LA Rams</v>
      </c>
      <c r="C24" s="26">
        <f>IFERROR(__xludf.DUMMYFUNCTION("""COMPUTED_VALUE"""),20.6)</f>
        <v>20.6</v>
      </c>
      <c r="D24" s="26">
        <f>IFERROR(__xludf.DUMMYFUNCTION("""COMPUTED_VALUE"""),23.0)</f>
        <v>23</v>
      </c>
      <c r="E24" s="26">
        <f>IFERROR(__xludf.DUMMYFUNCTION("""COMPUTED_VALUE"""),30.0)</f>
        <v>30</v>
      </c>
      <c r="F24" s="26">
        <f>IFERROR(__xludf.DUMMYFUNCTION("""COMPUTED_VALUE"""),24.0)</f>
        <v>24</v>
      </c>
      <c r="G24" s="26">
        <f>IFERROR(__xludf.DUMMYFUNCTION("""COMPUTED_VALUE"""),16.0)</f>
        <v>16</v>
      </c>
      <c r="H24" s="26">
        <f>IFERROR(__xludf.DUMMYFUNCTION("""COMPUTED_VALUE"""),23.7)</f>
        <v>23.7</v>
      </c>
    </row>
    <row r="25">
      <c r="A25" s="24">
        <f>VLOOKUP(B25,map!B:C,2,false)</f>
        <v>7</v>
      </c>
      <c r="B25" s="25" t="str">
        <f>IFERROR(__xludf.DUMMYFUNCTION("""COMPUTED_VALUE"""),"LA Chargers")</f>
        <v>LA Chargers</v>
      </c>
      <c r="C25" s="26">
        <f>IFERROR(__xludf.DUMMYFUNCTION("""COMPUTED_VALUE"""),18.9)</f>
        <v>18.9</v>
      </c>
      <c r="D25" s="26">
        <f>IFERROR(__xludf.DUMMYFUNCTION("""COMPUTED_VALUE"""),21.3)</f>
        <v>21.3</v>
      </c>
      <c r="E25" s="26">
        <f>IFERROR(__xludf.DUMMYFUNCTION("""COMPUTED_VALUE"""),26.0)</f>
        <v>26</v>
      </c>
      <c r="F25" s="26">
        <f>IFERROR(__xludf.DUMMYFUNCTION("""COMPUTED_VALUE"""),19.3)</f>
        <v>19.3</v>
      </c>
      <c r="G25" s="26">
        <f>IFERROR(__xludf.DUMMYFUNCTION("""COMPUTED_VALUE"""),18.5)</f>
        <v>18.5</v>
      </c>
      <c r="H25" s="26">
        <f>IFERROR(__xludf.DUMMYFUNCTION("""COMPUTED_VALUE"""),20.4)</f>
        <v>20.4</v>
      </c>
    </row>
    <row r="26">
      <c r="A26" s="24">
        <f>VLOOKUP(B26,map!B:C,2,false)</f>
        <v>19</v>
      </c>
      <c r="B26" s="25" t="str">
        <f>IFERROR(__xludf.DUMMYFUNCTION("""COMPUTED_VALUE"""),"NY Jets")</f>
        <v>NY Jets</v>
      </c>
      <c r="C26" s="26">
        <f>IFERROR(__xludf.DUMMYFUNCTION("""COMPUTED_VALUE"""),18.8)</f>
        <v>18.8</v>
      </c>
      <c r="D26" s="26">
        <f>IFERROR(__xludf.DUMMYFUNCTION("""COMPUTED_VALUE"""),19.0)</f>
        <v>19</v>
      </c>
      <c r="E26" s="26">
        <f>IFERROR(__xludf.DUMMYFUNCTION("""COMPUTED_VALUE"""),22.0)</f>
        <v>22</v>
      </c>
      <c r="F26" s="26">
        <f>IFERROR(__xludf.DUMMYFUNCTION("""COMPUTED_VALUE"""),17.7)</f>
        <v>17.7</v>
      </c>
      <c r="G26" s="26">
        <f>IFERROR(__xludf.DUMMYFUNCTION("""COMPUTED_VALUE"""),19.4)</f>
        <v>19.4</v>
      </c>
      <c r="H26" s="26">
        <f>IFERROR(__xludf.DUMMYFUNCTION("""COMPUTED_VALUE"""),15.8)</f>
        <v>15.8</v>
      </c>
    </row>
    <row r="27">
      <c r="A27" s="24">
        <f>VLOOKUP(B27,map!B:C,2,false)</f>
        <v>24</v>
      </c>
      <c r="B27" s="25" t="str">
        <f>IFERROR(__xludf.DUMMYFUNCTION("""COMPUTED_VALUE"""),"Las Vegas")</f>
        <v>Las Vegas</v>
      </c>
      <c r="C27" s="26">
        <f>IFERROR(__xludf.DUMMYFUNCTION("""COMPUTED_VALUE"""),18.0)</f>
        <v>18</v>
      </c>
      <c r="D27" s="26">
        <f>IFERROR(__xludf.DUMMYFUNCTION("""COMPUTED_VALUE"""),16.0)</f>
        <v>16</v>
      </c>
      <c r="E27" s="26">
        <f>IFERROR(__xludf.DUMMYFUNCTION("""COMPUTED_VALUE"""),20.0)</f>
        <v>20</v>
      </c>
      <c r="F27" s="26">
        <f>IFERROR(__xludf.DUMMYFUNCTION("""COMPUTED_VALUE"""),18.8)</f>
        <v>18.8</v>
      </c>
      <c r="G27" s="26">
        <f>IFERROR(__xludf.DUMMYFUNCTION("""COMPUTED_VALUE"""),17.3)</f>
        <v>17.3</v>
      </c>
      <c r="H27" s="26">
        <f>IFERROR(__xludf.DUMMYFUNCTION("""COMPUTED_VALUE"""),19.5)</f>
        <v>19.5</v>
      </c>
    </row>
    <row r="28">
      <c r="A28" s="24">
        <f>VLOOKUP(B28,map!B:C,2,false)</f>
        <v>16</v>
      </c>
      <c r="B28" s="25" t="str">
        <f>IFERROR(__xludf.DUMMYFUNCTION("""COMPUTED_VALUE"""),"Cleveland")</f>
        <v>Cleveland</v>
      </c>
      <c r="C28" s="26">
        <f>IFERROR(__xludf.DUMMYFUNCTION("""COMPUTED_VALUE"""),17.3)</f>
        <v>17.3</v>
      </c>
      <c r="D28" s="26">
        <f>IFERROR(__xludf.DUMMYFUNCTION("""COMPUTED_VALUE"""),19.7)</f>
        <v>19.7</v>
      </c>
      <c r="E28" s="26">
        <f>IFERROR(__xludf.DUMMYFUNCTION("""COMPUTED_VALUE"""),29.0)</f>
        <v>29</v>
      </c>
      <c r="F28" s="26">
        <f>IFERROR(__xludf.DUMMYFUNCTION("""COMPUTED_VALUE"""),18.8)</f>
        <v>18.8</v>
      </c>
      <c r="G28" s="26">
        <f>IFERROR(__xludf.DUMMYFUNCTION("""COMPUTED_VALUE"""),15.8)</f>
        <v>15.8</v>
      </c>
      <c r="H28" s="26">
        <f>IFERROR(__xludf.DUMMYFUNCTION("""COMPUTED_VALUE"""),22.8)</f>
        <v>22.8</v>
      </c>
    </row>
    <row r="29">
      <c r="A29" s="24">
        <f>VLOOKUP(B29,map!B:C,2,false)</f>
        <v>32</v>
      </c>
      <c r="B29" s="25" t="str">
        <f>IFERROR(__xludf.DUMMYFUNCTION("""COMPUTED_VALUE"""),"Tennessee")</f>
        <v>Tennessee</v>
      </c>
      <c r="C29" s="26">
        <f>IFERROR(__xludf.DUMMYFUNCTION("""COMPUTED_VALUE"""),17.1)</f>
        <v>17.1</v>
      </c>
      <c r="D29" s="26">
        <f>IFERROR(__xludf.DUMMYFUNCTION("""COMPUTED_VALUE"""),13.7)</f>
        <v>13.7</v>
      </c>
      <c r="E29" s="26">
        <f>IFERROR(__xludf.DUMMYFUNCTION("""COMPUTED_VALUE"""),14.0)</f>
        <v>14</v>
      </c>
      <c r="F29" s="26">
        <f>IFERROR(__xludf.DUMMYFUNCTION("""COMPUTED_VALUE"""),16.0)</f>
        <v>16</v>
      </c>
      <c r="G29" s="26">
        <f>IFERROR(__xludf.DUMMYFUNCTION("""COMPUTED_VALUE"""),18.0)</f>
        <v>18</v>
      </c>
      <c r="H29" s="26">
        <f>IFERROR(__xludf.DUMMYFUNCTION("""COMPUTED_VALUE"""),17.9)</f>
        <v>17.9</v>
      </c>
    </row>
    <row r="30">
      <c r="A30" s="24">
        <f>VLOOKUP(B30,map!B:C,2,false)</f>
        <v>22</v>
      </c>
      <c r="B30" s="25" t="str">
        <f>IFERROR(__xludf.DUMMYFUNCTION("""COMPUTED_VALUE"""),"New England")</f>
        <v>New England</v>
      </c>
      <c r="C30" s="26">
        <f>IFERROR(__xludf.DUMMYFUNCTION("""COMPUTED_VALUE"""),15.5)</f>
        <v>15.5</v>
      </c>
      <c r="D30" s="26">
        <f>IFERROR(__xludf.DUMMYFUNCTION("""COMPUTED_VALUE"""),20.7)</f>
        <v>20.7</v>
      </c>
      <c r="E30" s="26">
        <f>IFERROR(__xludf.DUMMYFUNCTION("""COMPUTED_VALUE"""),25.0)</f>
        <v>25</v>
      </c>
      <c r="F30" s="26">
        <f>IFERROR(__xludf.DUMMYFUNCTION("""COMPUTED_VALUE"""),19.0)</f>
        <v>19</v>
      </c>
      <c r="G30" s="26">
        <f>IFERROR(__xludf.DUMMYFUNCTION("""COMPUTED_VALUE"""),12.0)</f>
        <v>12</v>
      </c>
      <c r="H30" s="26">
        <f>IFERROR(__xludf.DUMMYFUNCTION("""COMPUTED_VALUE"""),13.9)</f>
        <v>13.9</v>
      </c>
    </row>
    <row r="31">
      <c r="A31" s="24">
        <f>VLOOKUP(B31,map!B:C,2,false)</f>
        <v>23</v>
      </c>
      <c r="B31" s="25" t="str">
        <f>IFERROR(__xludf.DUMMYFUNCTION("""COMPUTED_VALUE"""),"Carolina")</f>
        <v>Carolina</v>
      </c>
      <c r="C31" s="26">
        <f>IFERROR(__xludf.DUMMYFUNCTION("""COMPUTED_VALUE"""),15.5)</f>
        <v>15.5</v>
      </c>
      <c r="D31" s="26">
        <f>IFERROR(__xludf.DUMMYFUNCTION("""COMPUTED_VALUE"""),13.7)</f>
        <v>13.7</v>
      </c>
      <c r="E31" s="26">
        <f>IFERROR(__xludf.DUMMYFUNCTION("""COMPUTED_VALUE"""),14.0)</f>
        <v>14</v>
      </c>
      <c r="F31" s="26">
        <f>IFERROR(__xludf.DUMMYFUNCTION("""COMPUTED_VALUE"""),15.7)</f>
        <v>15.7</v>
      </c>
      <c r="G31" s="26">
        <f>IFERROR(__xludf.DUMMYFUNCTION("""COMPUTED_VALUE"""),15.4)</f>
        <v>15.4</v>
      </c>
      <c r="H31" s="26">
        <f>IFERROR(__xludf.DUMMYFUNCTION("""COMPUTED_VALUE"""),13.9)</f>
        <v>13.9</v>
      </c>
    </row>
    <row r="32">
      <c r="A32" s="24">
        <f>VLOOKUP(B32,map!B:C,2,false)</f>
        <v>26</v>
      </c>
      <c r="B32" s="25" t="str">
        <f>IFERROR(__xludf.DUMMYFUNCTION("""COMPUTED_VALUE"""),"NY Giants")</f>
        <v>NY Giants</v>
      </c>
      <c r="C32" s="26">
        <f>IFERROR(__xludf.DUMMYFUNCTION("""COMPUTED_VALUE"""),14.1)</f>
        <v>14.1</v>
      </c>
      <c r="D32" s="26">
        <f>IFERROR(__xludf.DUMMYFUNCTION("""COMPUTED_VALUE"""),13.0)</f>
        <v>13</v>
      </c>
      <c r="E32" s="26">
        <f>IFERROR(__xludf.DUMMYFUNCTION("""COMPUTED_VALUE"""),3.0)</f>
        <v>3</v>
      </c>
      <c r="F32" s="26">
        <f>IFERROR(__xludf.DUMMYFUNCTION("""COMPUTED_VALUE"""),7.8)</f>
        <v>7.8</v>
      </c>
      <c r="G32" s="26">
        <f>IFERROR(__xludf.DUMMYFUNCTION("""COMPUTED_VALUE"""),22.7)</f>
        <v>22.7</v>
      </c>
      <c r="H32" s="26">
        <f>IFERROR(__xludf.DUMMYFUNCTION("""COMPUTED_VALUE"""),15.6)</f>
        <v>15.6</v>
      </c>
    </row>
    <row r="33">
      <c r="A33" s="24">
        <f>VLOOKUP(B33,map!B:C,2,false)</f>
        <v>10</v>
      </c>
      <c r="B33" s="25" t="str">
        <f>IFERROR(__xludf.DUMMYFUNCTION("""COMPUTED_VALUE"""),"Miami")</f>
        <v>Miami</v>
      </c>
      <c r="C33" s="26">
        <f>IFERROR(__xludf.DUMMYFUNCTION("""COMPUTED_VALUE"""),13.9)</f>
        <v>13.9</v>
      </c>
      <c r="D33" s="26">
        <f>IFERROR(__xludf.DUMMYFUNCTION("""COMPUTED_VALUE"""),17.3)</f>
        <v>17.3</v>
      </c>
      <c r="E33" s="26">
        <f>IFERROR(__xludf.DUMMYFUNCTION("""COMPUTED_VALUE"""),27.0)</f>
        <v>27</v>
      </c>
      <c r="F33" s="26">
        <f>IFERROR(__xludf.DUMMYFUNCTION("""COMPUTED_VALUE"""),17.3)</f>
        <v>17.3</v>
      </c>
      <c r="G33" s="26">
        <f>IFERROR(__xludf.DUMMYFUNCTION("""COMPUTED_VALUE"""),9.3)</f>
        <v>9.3</v>
      </c>
      <c r="H33" s="26">
        <f>IFERROR(__xludf.DUMMYFUNCTION("""COMPUTED_VALUE"""),27.9)</f>
        <v>27.9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7"/>
      <c r="B1" s="21" t="str">
        <f>IFERROR(__xludf.DUMMYFUNCTION("QUERY(IMPORTHTML(""https://www.teamrankings.com/nfl/stat/opponent-points-per-game?date="" &amp; TEXT(TODAY(),""yyyy-mm-dd""), ""table"", 1, ""en_US""), ""SELECT Col2, Col3, Col4, Col5, Col6, Col7, Col8"")
"),"Team")</f>
        <v>Team</v>
      </c>
      <c r="C1" s="22" t="str">
        <f>IFERROR(__xludf.DUMMYFUNCTION("""COMPUTED_VALUE"""),"2024")</f>
        <v>2024</v>
      </c>
      <c r="D1" s="23" t="str">
        <f>IFERROR(__xludf.DUMMYFUNCTION("""COMPUTED_VALUE"""),"Last 3")</f>
        <v>Last 3</v>
      </c>
      <c r="E1" s="23" t="str">
        <f>IFERROR(__xludf.DUMMYFUNCTION("""COMPUTED_VALUE"""),"Last 1")</f>
        <v>Last 1</v>
      </c>
      <c r="F1" s="22" t="str">
        <f>IFERROR(__xludf.DUMMYFUNCTION("""COMPUTED_VALUE"""),"Home")</f>
        <v>Home</v>
      </c>
      <c r="G1" s="22" t="str">
        <f>IFERROR(__xludf.DUMMYFUNCTION("""COMPUTED_VALUE"""),"Away")</f>
        <v>Away</v>
      </c>
      <c r="H1" s="22" t="str">
        <f>IFERROR(__xludf.DUMMYFUNCTION("""COMPUTED_VALUE"""),"2023")</f>
        <v>2023</v>
      </c>
    </row>
    <row r="2">
      <c r="A2" s="24">
        <f>VLOOKUP(B2,map!B:C,2,false)</f>
        <v>7</v>
      </c>
      <c r="B2" s="25" t="str">
        <f>IFERROR(__xludf.DUMMYFUNCTION("""COMPUTED_VALUE"""),"LA Chargers")</f>
        <v>LA Chargers</v>
      </c>
      <c r="C2" s="26">
        <f>IFERROR(__xludf.DUMMYFUNCTION("""COMPUTED_VALUE"""),13.0)</f>
        <v>13</v>
      </c>
      <c r="D2" s="26">
        <f>IFERROR(__xludf.DUMMYFUNCTION("""COMPUTED_VALUE"""),13.7)</f>
        <v>13.7</v>
      </c>
      <c r="E2" s="26">
        <f>IFERROR(__xludf.DUMMYFUNCTION("""COMPUTED_VALUE"""),8.0)</f>
        <v>8</v>
      </c>
      <c r="F2" s="26">
        <f>IFERROR(__xludf.DUMMYFUNCTION("""COMPUTED_VALUE"""),11.7)</f>
        <v>11.7</v>
      </c>
      <c r="G2" s="26">
        <f>IFERROR(__xludf.DUMMYFUNCTION("""COMPUTED_VALUE"""),14.0)</f>
        <v>14</v>
      </c>
      <c r="H2" s="26">
        <f>IFERROR(__xludf.DUMMYFUNCTION("""COMPUTED_VALUE"""),23.4)</f>
        <v>23.4</v>
      </c>
    </row>
    <row r="3">
      <c r="A3" s="24">
        <f>VLOOKUP(B3,map!B:C,2,false)</f>
        <v>29</v>
      </c>
      <c r="B3" s="25" t="str">
        <f>IFERROR(__xludf.DUMMYFUNCTION("""COMPUTED_VALUE"""),"Pittsburgh")</f>
        <v>Pittsburgh</v>
      </c>
      <c r="C3" s="26">
        <f>IFERROR(__xludf.DUMMYFUNCTION("""COMPUTED_VALUE"""),14.4)</f>
        <v>14.4</v>
      </c>
      <c r="D3" s="26">
        <f>IFERROR(__xludf.DUMMYFUNCTION("""COMPUTED_VALUE"""),16.0)</f>
        <v>16</v>
      </c>
      <c r="E3" s="26">
        <f>IFERROR(__xludf.DUMMYFUNCTION("""COMPUTED_VALUE"""),15.0)</f>
        <v>15</v>
      </c>
      <c r="F3" s="26">
        <f>IFERROR(__xludf.DUMMYFUNCTION("""COMPUTED_VALUE"""),15.0)</f>
        <v>15</v>
      </c>
      <c r="G3" s="26">
        <f>IFERROR(__xludf.DUMMYFUNCTION("""COMPUTED_VALUE"""),14.0)</f>
        <v>14</v>
      </c>
      <c r="H3" s="26">
        <f>IFERROR(__xludf.DUMMYFUNCTION("""COMPUTED_VALUE"""),19.7)</f>
        <v>19.7</v>
      </c>
    </row>
    <row r="4">
      <c r="A4" s="24">
        <f>VLOOKUP(B4,map!B:C,2,false)</f>
        <v>27</v>
      </c>
      <c r="B4" s="25" t="str">
        <f>IFERROR(__xludf.DUMMYFUNCTION("""COMPUTED_VALUE"""),"Denver")</f>
        <v>Denver</v>
      </c>
      <c r="C4" s="26">
        <f>IFERROR(__xludf.DUMMYFUNCTION("""COMPUTED_VALUE"""),15.0)</f>
        <v>15</v>
      </c>
      <c r="D4" s="26">
        <f>IFERROR(__xludf.DUMMYFUNCTION("""COMPUTED_VALUE"""),15.7)</f>
        <v>15.7</v>
      </c>
      <c r="E4" s="26">
        <f>IFERROR(__xludf.DUMMYFUNCTION("""COMPUTED_VALUE"""),14.0)</f>
        <v>14</v>
      </c>
      <c r="F4" s="26">
        <f>IFERROR(__xludf.DUMMYFUNCTION("""COMPUTED_VALUE"""),17.0)</f>
        <v>17</v>
      </c>
      <c r="G4" s="26">
        <f>IFERROR(__xludf.DUMMYFUNCTION("""COMPUTED_VALUE"""),13.0)</f>
        <v>13</v>
      </c>
      <c r="H4" s="26">
        <f>IFERROR(__xludf.DUMMYFUNCTION("""COMPUTED_VALUE"""),24.3)</f>
        <v>24.3</v>
      </c>
    </row>
    <row r="5">
      <c r="A5" s="24">
        <f>VLOOKUP(B5,map!B:C,2,false)</f>
        <v>31</v>
      </c>
      <c r="B5" s="25" t="str">
        <f>IFERROR(__xludf.DUMMYFUNCTION("""COMPUTED_VALUE"""),"Chicago")</f>
        <v>Chicago</v>
      </c>
      <c r="C5" s="26">
        <f>IFERROR(__xludf.DUMMYFUNCTION("""COMPUTED_VALUE"""),17.0)</f>
        <v>17</v>
      </c>
      <c r="D5" s="26">
        <f>IFERROR(__xludf.DUMMYFUNCTION("""COMPUTED_VALUE"""),14.7)</f>
        <v>14.7</v>
      </c>
      <c r="E5" s="26">
        <f>IFERROR(__xludf.DUMMYFUNCTION("""COMPUTED_VALUE"""),18.0)</f>
        <v>18</v>
      </c>
      <c r="F5" s="26">
        <f>IFERROR(__xludf.DUMMYFUNCTION("""COMPUTED_VALUE"""),15.0)</f>
        <v>15</v>
      </c>
      <c r="G5" s="26">
        <f>IFERROR(__xludf.DUMMYFUNCTION("""COMPUTED_VALUE"""),18.5)</f>
        <v>18.5</v>
      </c>
      <c r="H5" s="26">
        <f>IFERROR(__xludf.DUMMYFUNCTION("""COMPUTED_VALUE"""),22.3)</f>
        <v>22.3</v>
      </c>
    </row>
    <row r="6">
      <c r="A6" s="24">
        <f>VLOOKUP(B6,map!B:C,2,false)</f>
        <v>2</v>
      </c>
      <c r="B6" s="25" t="str">
        <f>IFERROR(__xludf.DUMMYFUNCTION("""COMPUTED_VALUE"""),"Kansas City")</f>
        <v>Kansas City</v>
      </c>
      <c r="C6" s="26">
        <f>IFERROR(__xludf.DUMMYFUNCTION("""COMPUTED_VALUE"""),17.6)</f>
        <v>17.6</v>
      </c>
      <c r="D6" s="26">
        <f>IFERROR(__xludf.DUMMYFUNCTION("""COMPUTED_VALUE"""),17.0)</f>
        <v>17</v>
      </c>
      <c r="E6" s="26">
        <f>IFERROR(__xludf.DUMMYFUNCTION("""COMPUTED_VALUE"""),20.0)</f>
        <v>20</v>
      </c>
      <c r="F6" s="26">
        <f>IFERROR(__xludf.DUMMYFUNCTION("""COMPUTED_VALUE"""),19.3)</f>
        <v>19.3</v>
      </c>
      <c r="G6" s="26">
        <f>IFERROR(__xludf.DUMMYFUNCTION("""COMPUTED_VALUE"""),16.3)</f>
        <v>16.3</v>
      </c>
      <c r="H6" s="26">
        <f>IFERROR(__xludf.DUMMYFUNCTION("""COMPUTED_VALUE"""),17.0)</f>
        <v>17</v>
      </c>
    </row>
    <row r="7">
      <c r="A7" s="24">
        <f>VLOOKUP(B7,map!B:C,2,false)</f>
        <v>11</v>
      </c>
      <c r="B7" s="25" t="str">
        <f>IFERROR(__xludf.DUMMYFUNCTION("""COMPUTED_VALUE"""),"Buffalo")</f>
        <v>Buffalo</v>
      </c>
      <c r="C7" s="26">
        <f>IFERROR(__xludf.DUMMYFUNCTION("""COMPUTED_VALUE"""),18.3)</f>
        <v>18.3</v>
      </c>
      <c r="D7" s="26">
        <f>IFERROR(__xludf.DUMMYFUNCTION("""COMPUTED_VALUE"""),13.3)</f>
        <v>13.3</v>
      </c>
      <c r="E7" s="26">
        <f>IFERROR(__xludf.DUMMYFUNCTION("""COMPUTED_VALUE"""),10.0)</f>
        <v>10</v>
      </c>
      <c r="F7" s="26">
        <f>IFERROR(__xludf.DUMMYFUNCTION("""COMPUTED_VALUE"""),16.0)</f>
        <v>16</v>
      </c>
      <c r="G7" s="26">
        <f>IFERROR(__xludf.DUMMYFUNCTION("""COMPUTED_VALUE"""),19.6)</f>
        <v>19.6</v>
      </c>
      <c r="H7" s="26">
        <f>IFERROR(__xludf.DUMMYFUNCTION("""COMPUTED_VALUE"""),18.7)</f>
        <v>18.7</v>
      </c>
    </row>
    <row r="8">
      <c r="A8" s="24">
        <f>VLOOKUP(B8,map!B:C,2,false)</f>
        <v>12</v>
      </c>
      <c r="B8" s="25" t="str">
        <f>IFERROR(__xludf.DUMMYFUNCTION("""COMPUTED_VALUE"""),"Philadelphia")</f>
        <v>Philadelphia</v>
      </c>
      <c r="C8" s="26">
        <f>IFERROR(__xludf.DUMMYFUNCTION("""COMPUTED_VALUE"""),18.9)</f>
        <v>18.9</v>
      </c>
      <c r="D8" s="26">
        <f>IFERROR(__xludf.DUMMYFUNCTION("""COMPUTED_VALUE"""),12.0)</f>
        <v>12</v>
      </c>
      <c r="E8" s="26">
        <f>IFERROR(__xludf.DUMMYFUNCTION("""COMPUTED_VALUE"""),17.0)</f>
        <v>17</v>
      </c>
      <c r="F8" s="26">
        <f>IFERROR(__xludf.DUMMYFUNCTION("""COMPUTED_VALUE"""),19.0)</f>
        <v>19</v>
      </c>
      <c r="G8" s="26">
        <f>IFERROR(__xludf.DUMMYFUNCTION("""COMPUTED_VALUE"""),18.8)</f>
        <v>18.8</v>
      </c>
      <c r="H8" s="26">
        <f>IFERROR(__xludf.DUMMYFUNCTION("""COMPUTED_VALUE"""),25.6)</f>
        <v>25.6</v>
      </c>
    </row>
    <row r="9">
      <c r="A9" s="24">
        <f>VLOOKUP(B9,map!B:C,2,false)</f>
        <v>5</v>
      </c>
      <c r="B9" s="25" t="str">
        <f>IFERROR(__xludf.DUMMYFUNCTION("""COMPUTED_VALUE"""),"Detroit")</f>
        <v>Detroit</v>
      </c>
      <c r="C9" s="26">
        <f>IFERROR(__xludf.DUMMYFUNCTION("""COMPUTED_VALUE"""),19.1)</f>
        <v>19.1</v>
      </c>
      <c r="D9" s="26">
        <f>IFERROR(__xludf.DUMMYFUNCTION("""COMPUTED_VALUE"""),17.3)</f>
        <v>17.3</v>
      </c>
      <c r="E9" s="26">
        <f>IFERROR(__xludf.DUMMYFUNCTION("""COMPUTED_VALUE"""),14.0)</f>
        <v>14</v>
      </c>
      <c r="F9" s="26">
        <f>IFERROR(__xludf.DUMMYFUNCTION("""COMPUTED_VALUE"""),20.8)</f>
        <v>20.8</v>
      </c>
      <c r="G9" s="26">
        <f>IFERROR(__xludf.DUMMYFUNCTION("""COMPUTED_VALUE"""),17.0)</f>
        <v>17</v>
      </c>
      <c r="H9" s="26">
        <f>IFERROR(__xludf.DUMMYFUNCTION("""COMPUTED_VALUE"""),23.8)</f>
        <v>23.8</v>
      </c>
    </row>
    <row r="10">
      <c r="A10" s="24">
        <f>VLOOKUP(B10,map!B:C,2,false)</f>
        <v>3</v>
      </c>
      <c r="B10" s="25" t="str">
        <f>IFERROR(__xludf.DUMMYFUNCTION("""COMPUTED_VALUE"""),"Minnesota")</f>
        <v>Minnesota</v>
      </c>
      <c r="C10" s="26">
        <f>IFERROR(__xludf.DUMMYFUNCTION("""COMPUTED_VALUE"""),19.6)</f>
        <v>19.6</v>
      </c>
      <c r="D10" s="26">
        <f>IFERROR(__xludf.DUMMYFUNCTION("""COMPUTED_VALUE"""),26.0)</f>
        <v>26</v>
      </c>
      <c r="E10" s="26">
        <f>IFERROR(__xludf.DUMMYFUNCTION("""COMPUTED_VALUE"""),30.0)</f>
        <v>30</v>
      </c>
      <c r="F10" s="26">
        <f>IFERROR(__xludf.DUMMYFUNCTION("""COMPUTED_VALUE"""),18.3)</f>
        <v>18.3</v>
      </c>
      <c r="G10" s="26">
        <f>IFERROR(__xludf.DUMMYFUNCTION("""COMPUTED_VALUE"""),20.5)</f>
        <v>20.5</v>
      </c>
      <c r="H10" s="26">
        <f>IFERROR(__xludf.DUMMYFUNCTION("""COMPUTED_VALUE"""),21.3)</f>
        <v>21.3</v>
      </c>
    </row>
    <row r="11">
      <c r="A11" s="24">
        <f>VLOOKUP(B11,map!B:C,2,false)</f>
        <v>8</v>
      </c>
      <c r="B11" s="25" t="str">
        <f>IFERROR(__xludf.DUMMYFUNCTION("""COMPUTED_VALUE"""),"Washington")</f>
        <v>Washington</v>
      </c>
      <c r="C11" s="26">
        <f>IFERROR(__xludf.DUMMYFUNCTION("""COMPUTED_VALUE"""),20.9)</f>
        <v>20.9</v>
      </c>
      <c r="D11" s="26">
        <f>IFERROR(__xludf.DUMMYFUNCTION("""COMPUTED_VALUE"""),17.3)</f>
        <v>17.3</v>
      </c>
      <c r="E11" s="26">
        <f>IFERROR(__xludf.DUMMYFUNCTION("""COMPUTED_VALUE"""),15.0)</f>
        <v>15</v>
      </c>
      <c r="F11" s="26">
        <f>IFERROR(__xludf.DUMMYFUNCTION("""COMPUTED_VALUE"""),13.3)</f>
        <v>13.3</v>
      </c>
      <c r="G11" s="26">
        <f>IFERROR(__xludf.DUMMYFUNCTION("""COMPUTED_VALUE"""),28.5)</f>
        <v>28.5</v>
      </c>
      <c r="H11" s="26">
        <f>IFERROR(__xludf.DUMMYFUNCTION("""COMPUTED_VALUE"""),30.5)</f>
        <v>30.5</v>
      </c>
    </row>
    <row r="12">
      <c r="A12" s="24">
        <f>VLOOKUP(B12,map!B:C,2,false)</f>
        <v>19</v>
      </c>
      <c r="B12" s="25" t="str">
        <f>IFERROR(__xludf.DUMMYFUNCTION("""COMPUTED_VALUE"""),"NY Jets")</f>
        <v>NY Jets</v>
      </c>
      <c r="C12" s="26">
        <f>IFERROR(__xludf.DUMMYFUNCTION("""COMPUTED_VALUE"""),21.3)</f>
        <v>21.3</v>
      </c>
      <c r="D12" s="26">
        <f>IFERROR(__xludf.DUMMYFUNCTION("""COMPUTED_VALUE"""),28.3)</f>
        <v>28.3</v>
      </c>
      <c r="E12" s="26">
        <f>IFERROR(__xludf.DUMMYFUNCTION("""COMPUTED_VALUE"""),25.0)</f>
        <v>25</v>
      </c>
      <c r="F12" s="26">
        <f>IFERROR(__xludf.DUMMYFUNCTION("""COMPUTED_VALUE"""),12.0)</f>
        <v>12</v>
      </c>
      <c r="G12" s="26">
        <f>IFERROR(__xludf.DUMMYFUNCTION("""COMPUTED_VALUE"""),26.8)</f>
        <v>26.8</v>
      </c>
      <c r="H12" s="26">
        <f>IFERROR(__xludf.DUMMYFUNCTION("""COMPUTED_VALUE"""),20.9)</f>
        <v>20.9</v>
      </c>
    </row>
    <row r="13">
      <c r="A13" s="24">
        <f>VLOOKUP(B13,map!B:C,2,false)</f>
        <v>15</v>
      </c>
      <c r="B13" s="25" t="str">
        <f>IFERROR(__xludf.DUMMYFUNCTION("""COMPUTED_VALUE"""),"Green Bay")</f>
        <v>Green Bay</v>
      </c>
      <c r="C13" s="26">
        <f>IFERROR(__xludf.DUMMYFUNCTION("""COMPUTED_VALUE"""),21.3)</f>
        <v>21.3</v>
      </c>
      <c r="D13" s="26">
        <f>IFERROR(__xludf.DUMMYFUNCTION("""COMPUTED_VALUE"""),20.7)</f>
        <v>20.7</v>
      </c>
      <c r="E13" s="26">
        <f>IFERROR(__xludf.DUMMYFUNCTION("""COMPUTED_VALUE"""),27.0)</f>
        <v>27</v>
      </c>
      <c r="F13" s="26">
        <f>IFERROR(__xludf.DUMMYFUNCTION("""COMPUTED_VALUE"""),19.0)</f>
        <v>19</v>
      </c>
      <c r="G13" s="26">
        <f>IFERROR(__xludf.DUMMYFUNCTION("""COMPUTED_VALUE"""),23.5)</f>
        <v>23.5</v>
      </c>
      <c r="H13" s="26">
        <f>IFERROR(__xludf.DUMMYFUNCTION("""COMPUTED_VALUE"""),21.4)</f>
        <v>21.4</v>
      </c>
    </row>
    <row r="14">
      <c r="A14" s="24">
        <f>VLOOKUP(B14,map!B:C,2,false)</f>
        <v>26</v>
      </c>
      <c r="B14" s="25" t="str">
        <f>IFERROR(__xludf.DUMMYFUNCTION("""COMPUTED_VALUE"""),"NY Giants")</f>
        <v>NY Giants</v>
      </c>
      <c r="C14" s="26">
        <f>IFERROR(__xludf.DUMMYFUNCTION("""COMPUTED_VALUE"""),21.3)</f>
        <v>21.3</v>
      </c>
      <c r="D14" s="26">
        <f>IFERROR(__xludf.DUMMYFUNCTION("""COMPUTED_VALUE"""),21.7)</f>
        <v>21.7</v>
      </c>
      <c r="E14" s="26">
        <f>IFERROR(__xludf.DUMMYFUNCTION("""COMPUTED_VALUE"""),28.0)</f>
        <v>28</v>
      </c>
      <c r="F14" s="26">
        <f>IFERROR(__xludf.DUMMYFUNCTION("""COMPUTED_VALUE"""),23.3)</f>
        <v>23.3</v>
      </c>
      <c r="G14" s="26">
        <f>IFERROR(__xludf.DUMMYFUNCTION("""COMPUTED_VALUE"""),18.7)</f>
        <v>18.7</v>
      </c>
      <c r="H14" s="26">
        <f>IFERROR(__xludf.DUMMYFUNCTION("""COMPUTED_VALUE"""),23.9)</f>
        <v>23.9</v>
      </c>
    </row>
    <row r="15">
      <c r="A15" s="24">
        <f>VLOOKUP(B15,map!B:C,2,false)</f>
        <v>20</v>
      </c>
      <c r="B15" s="25" t="str">
        <f>IFERROR(__xludf.DUMMYFUNCTION("""COMPUTED_VALUE"""),"Indianapolis")</f>
        <v>Indianapolis</v>
      </c>
      <c r="C15" s="26">
        <f>IFERROR(__xludf.DUMMYFUNCTION("""COMPUTED_VALUE"""),21.5)</f>
        <v>21.5</v>
      </c>
      <c r="D15" s="26">
        <f>IFERROR(__xludf.DUMMYFUNCTION("""COMPUTED_VALUE"""),16.7)</f>
        <v>16.7</v>
      </c>
      <c r="E15" s="26">
        <f>IFERROR(__xludf.DUMMYFUNCTION("""COMPUTED_VALUE"""),23.0)</f>
        <v>23</v>
      </c>
      <c r="F15" s="26">
        <f>IFERROR(__xludf.DUMMYFUNCTION("""COMPUTED_VALUE"""),19.8)</f>
        <v>19.8</v>
      </c>
      <c r="G15" s="26">
        <f>IFERROR(__xludf.DUMMYFUNCTION("""COMPUTED_VALUE"""),23.3)</f>
        <v>23.3</v>
      </c>
      <c r="H15" s="26">
        <f>IFERROR(__xludf.DUMMYFUNCTION("""COMPUTED_VALUE"""),24.4)</f>
        <v>24.4</v>
      </c>
    </row>
    <row r="16">
      <c r="A16" s="24">
        <f>VLOOKUP(B16,map!B:C,2,false)</f>
        <v>17</v>
      </c>
      <c r="B16" s="25" t="str">
        <f>IFERROR(__xludf.DUMMYFUNCTION("""COMPUTED_VALUE"""),"Houston")</f>
        <v>Houston</v>
      </c>
      <c r="C16" s="26">
        <f>IFERROR(__xludf.DUMMYFUNCTION("""COMPUTED_VALUE"""),22.4)</f>
        <v>22.4</v>
      </c>
      <c r="D16" s="26">
        <f>IFERROR(__xludf.DUMMYFUNCTION("""COMPUTED_VALUE"""),21.7)</f>
        <v>21.7</v>
      </c>
      <c r="E16" s="26">
        <f>IFERROR(__xludf.DUMMYFUNCTION("""COMPUTED_VALUE"""),20.0)</f>
        <v>20</v>
      </c>
      <c r="F16" s="26">
        <f>IFERROR(__xludf.DUMMYFUNCTION("""COMPUTED_VALUE"""),18.3)</f>
        <v>18.3</v>
      </c>
      <c r="G16" s="26">
        <f>IFERROR(__xludf.DUMMYFUNCTION("""COMPUTED_VALUE"""),26.5)</f>
        <v>26.5</v>
      </c>
      <c r="H16" s="26">
        <f>IFERROR(__xludf.DUMMYFUNCTION("""COMPUTED_VALUE"""),21.1)</f>
        <v>21.1</v>
      </c>
    </row>
    <row r="17">
      <c r="A17" s="24">
        <f>VLOOKUP(B17,map!B:C,2,false)</f>
        <v>10</v>
      </c>
      <c r="B17" s="25" t="str">
        <f>IFERROR(__xludf.DUMMYFUNCTION("""COMPUTED_VALUE"""),"Miami")</f>
        <v>Miami</v>
      </c>
      <c r="C17" s="26">
        <f>IFERROR(__xludf.DUMMYFUNCTION("""COMPUTED_VALUE"""),22.4)</f>
        <v>22.4</v>
      </c>
      <c r="D17" s="26">
        <f>IFERROR(__xludf.DUMMYFUNCTION("""COMPUTED_VALUE"""),18.0)</f>
        <v>18</v>
      </c>
      <c r="E17" s="26">
        <f>IFERROR(__xludf.DUMMYFUNCTION("""COMPUTED_VALUE"""),28.0)</f>
        <v>28</v>
      </c>
      <c r="F17" s="26">
        <f>IFERROR(__xludf.DUMMYFUNCTION("""COMPUTED_VALUE"""),26.8)</f>
        <v>26.8</v>
      </c>
      <c r="G17" s="26">
        <f>IFERROR(__xludf.DUMMYFUNCTION("""COMPUTED_VALUE"""),16.7)</f>
        <v>16.7</v>
      </c>
      <c r="H17" s="26">
        <f>IFERROR(__xludf.DUMMYFUNCTION("""COMPUTED_VALUE"""),23.2)</f>
        <v>23.2</v>
      </c>
    </row>
    <row r="18">
      <c r="A18" s="24">
        <f>VLOOKUP(B18,map!B:C,2,false)</f>
        <v>25</v>
      </c>
      <c r="B18" s="25" t="str">
        <f>IFERROR(__xludf.DUMMYFUNCTION("""COMPUTED_VALUE"""),"San Francisco")</f>
        <v>San Francisco</v>
      </c>
      <c r="C18" s="26">
        <f>IFERROR(__xludf.DUMMYFUNCTION("""COMPUTED_VALUE"""),22.8)</f>
        <v>22.8</v>
      </c>
      <c r="D18" s="26">
        <f>IFERROR(__xludf.DUMMYFUNCTION("""COMPUTED_VALUE"""),25.3)</f>
        <v>25.3</v>
      </c>
      <c r="E18" s="26">
        <f>IFERROR(__xludf.DUMMYFUNCTION("""COMPUTED_VALUE"""),24.0)</f>
        <v>24</v>
      </c>
      <c r="F18" s="26">
        <f>IFERROR(__xludf.DUMMYFUNCTION("""COMPUTED_VALUE"""),21.6)</f>
        <v>21.6</v>
      </c>
      <c r="G18" s="26">
        <f>IFERROR(__xludf.DUMMYFUNCTION("""COMPUTED_VALUE"""),24.7)</f>
        <v>24.7</v>
      </c>
      <c r="H18" s="26">
        <f>IFERROR(__xludf.DUMMYFUNCTION("""COMPUTED_VALUE"""),18.8)</f>
        <v>18.8</v>
      </c>
    </row>
    <row r="19">
      <c r="A19" s="24">
        <f>VLOOKUP(B19,map!B:C,2,false)</f>
        <v>16</v>
      </c>
      <c r="B19" s="25" t="str">
        <f>IFERROR(__xludf.DUMMYFUNCTION("""COMPUTED_VALUE"""),"Cleveland")</f>
        <v>Cleveland</v>
      </c>
      <c r="C19" s="26">
        <f>IFERROR(__xludf.DUMMYFUNCTION("""COMPUTED_VALUE"""),23.3)</f>
        <v>23.3</v>
      </c>
      <c r="D19" s="26">
        <f>IFERROR(__xludf.DUMMYFUNCTION("""COMPUTED_VALUE"""),21.7)</f>
        <v>21.7</v>
      </c>
      <c r="E19" s="26">
        <f>IFERROR(__xludf.DUMMYFUNCTION("""COMPUTED_VALUE"""),24.0)</f>
        <v>24</v>
      </c>
      <c r="F19" s="26">
        <f>IFERROR(__xludf.DUMMYFUNCTION("""COMPUTED_VALUE"""),24.8)</f>
        <v>24.8</v>
      </c>
      <c r="G19" s="26">
        <f>IFERROR(__xludf.DUMMYFUNCTION("""COMPUTED_VALUE"""),21.8)</f>
        <v>21.8</v>
      </c>
      <c r="H19" s="26">
        <f>IFERROR(__xludf.DUMMYFUNCTION("""COMPUTED_VALUE"""),22.6)</f>
        <v>22.6</v>
      </c>
    </row>
    <row r="20">
      <c r="A20" s="24">
        <f>VLOOKUP(B20,map!B:C,2,false)</f>
        <v>13</v>
      </c>
      <c r="B20" s="25" t="str">
        <f>IFERROR(__xludf.DUMMYFUNCTION("""COMPUTED_VALUE"""),"Seattle")</f>
        <v>Seattle</v>
      </c>
      <c r="C20" s="26">
        <f>IFERROR(__xludf.DUMMYFUNCTION("""COMPUTED_VALUE"""),24.4)</f>
        <v>24.4</v>
      </c>
      <c r="D20" s="26">
        <f>IFERROR(__xludf.DUMMYFUNCTION("""COMPUTED_VALUE"""),27.0)</f>
        <v>27</v>
      </c>
      <c r="E20" s="26">
        <f>IFERROR(__xludf.DUMMYFUNCTION("""COMPUTED_VALUE"""),31.0)</f>
        <v>31</v>
      </c>
      <c r="F20" s="26">
        <f>IFERROR(__xludf.DUMMYFUNCTION("""COMPUTED_VALUE"""),23.8)</f>
        <v>23.8</v>
      </c>
      <c r="G20" s="26">
        <f>IFERROR(__xludf.DUMMYFUNCTION("""COMPUTED_VALUE"""),25.3)</f>
        <v>25.3</v>
      </c>
      <c r="H20" s="26">
        <f>IFERROR(__xludf.DUMMYFUNCTION("""COMPUTED_VALUE"""),23.6)</f>
        <v>23.6</v>
      </c>
    </row>
    <row r="21">
      <c r="A21" s="24">
        <f>VLOOKUP(B21,map!B:C,2,false)</f>
        <v>28</v>
      </c>
      <c r="B21" s="25" t="str">
        <f>IFERROR(__xludf.DUMMYFUNCTION("""COMPUTED_VALUE"""),"Atlanta")</f>
        <v>Atlanta</v>
      </c>
      <c r="C21" s="26">
        <f>IFERROR(__xludf.DUMMYFUNCTION("""COMPUTED_VALUE"""),24.4)</f>
        <v>24.4</v>
      </c>
      <c r="D21" s="26">
        <f>IFERROR(__xludf.DUMMYFUNCTION("""COMPUTED_VALUE"""),26.7)</f>
        <v>26.7</v>
      </c>
      <c r="E21" s="26">
        <f>IFERROR(__xludf.DUMMYFUNCTION("""COMPUTED_VALUE"""),26.0)</f>
        <v>26</v>
      </c>
      <c r="F21" s="26">
        <f>IFERROR(__xludf.DUMMYFUNCTION("""COMPUTED_VALUE"""),25.6)</f>
        <v>25.6</v>
      </c>
      <c r="G21" s="26">
        <f>IFERROR(__xludf.DUMMYFUNCTION("""COMPUTED_VALUE"""),22.3)</f>
        <v>22.3</v>
      </c>
      <c r="H21" s="26">
        <f>IFERROR(__xludf.DUMMYFUNCTION("""COMPUTED_VALUE"""),21.9)</f>
        <v>21.9</v>
      </c>
    </row>
    <row r="22">
      <c r="A22" s="24">
        <f>VLOOKUP(B22,map!B:C,2,false)</f>
        <v>22</v>
      </c>
      <c r="B22" s="25" t="str">
        <f>IFERROR(__xludf.DUMMYFUNCTION("""COMPUTED_VALUE"""),"New England")</f>
        <v>New England</v>
      </c>
      <c r="C22" s="26">
        <f>IFERROR(__xludf.DUMMYFUNCTION("""COMPUTED_VALUE"""),24.6)</f>
        <v>24.6</v>
      </c>
      <c r="D22" s="26">
        <f>IFERROR(__xludf.DUMMYFUNCTION("""COMPUTED_VALUE"""),31.7)</f>
        <v>31.7</v>
      </c>
      <c r="E22" s="26">
        <f>IFERROR(__xludf.DUMMYFUNCTION("""COMPUTED_VALUE"""),22.0)</f>
        <v>22</v>
      </c>
      <c r="F22" s="26">
        <f>IFERROR(__xludf.DUMMYFUNCTION("""COMPUTED_VALUE"""),25.3)</f>
        <v>25.3</v>
      </c>
      <c r="G22" s="26">
        <f>IFERROR(__xludf.DUMMYFUNCTION("""COMPUTED_VALUE"""),24.0)</f>
        <v>24</v>
      </c>
      <c r="H22" s="26">
        <f>IFERROR(__xludf.DUMMYFUNCTION("""COMPUTED_VALUE"""),21.5)</f>
        <v>21.5</v>
      </c>
    </row>
    <row r="23">
      <c r="A23" s="24">
        <f>VLOOKUP(B23,map!B:C,2,false)</f>
        <v>18</v>
      </c>
      <c r="B23" s="25" t="str">
        <f>IFERROR(__xludf.DUMMYFUNCTION("""COMPUTED_VALUE"""),"LA Rams")</f>
        <v>LA Rams</v>
      </c>
      <c r="C23" s="26">
        <f>IFERROR(__xludf.DUMMYFUNCTION("""COMPUTED_VALUE"""),24.9)</f>
        <v>24.9</v>
      </c>
      <c r="D23" s="26">
        <f>IFERROR(__xludf.DUMMYFUNCTION("""COMPUTED_VALUE"""),19.7)</f>
        <v>19.7</v>
      </c>
      <c r="E23" s="26">
        <f>IFERROR(__xludf.DUMMYFUNCTION("""COMPUTED_VALUE"""),20.0)</f>
        <v>20</v>
      </c>
      <c r="F23" s="26">
        <f>IFERROR(__xludf.DUMMYFUNCTION("""COMPUTED_VALUE"""),20.8)</f>
        <v>20.8</v>
      </c>
      <c r="G23" s="26">
        <f>IFERROR(__xludf.DUMMYFUNCTION("""COMPUTED_VALUE"""),30.3)</f>
        <v>30.3</v>
      </c>
      <c r="H23" s="26">
        <f>IFERROR(__xludf.DUMMYFUNCTION("""COMPUTED_VALUE"""),22.3)</f>
        <v>22.3</v>
      </c>
    </row>
    <row r="24">
      <c r="A24" s="24">
        <f>VLOOKUP(B24,map!B:C,2,false)</f>
        <v>4</v>
      </c>
      <c r="B24" s="25" t="str">
        <f>IFERROR(__xludf.DUMMYFUNCTION("""COMPUTED_VALUE"""),"Cincinnati")</f>
        <v>Cincinnati</v>
      </c>
      <c r="C24" s="26">
        <f>IFERROR(__xludf.DUMMYFUNCTION("""COMPUTED_VALUE"""),25.4)</f>
        <v>25.4</v>
      </c>
      <c r="D24" s="26">
        <f>IFERROR(__xludf.DUMMYFUNCTION("""COMPUTED_VALUE"""),19.3)</f>
        <v>19.3</v>
      </c>
      <c r="E24" s="26">
        <f>IFERROR(__xludf.DUMMYFUNCTION("""COMPUTED_VALUE"""),37.0)</f>
        <v>37</v>
      </c>
      <c r="F24" s="26">
        <f>IFERROR(__xludf.DUMMYFUNCTION("""COMPUTED_VALUE"""),33.0)</f>
        <v>33</v>
      </c>
      <c r="G24" s="26">
        <f>IFERROR(__xludf.DUMMYFUNCTION("""COMPUTED_VALUE"""),17.8)</f>
        <v>17.8</v>
      </c>
      <c r="H24" s="26">
        <f>IFERROR(__xludf.DUMMYFUNCTION("""COMPUTED_VALUE"""),22.6)</f>
        <v>22.6</v>
      </c>
    </row>
    <row r="25">
      <c r="A25" s="24">
        <f>VLOOKUP(B25,map!B:C,2,false)</f>
        <v>21</v>
      </c>
      <c r="B25" s="25" t="str">
        <f>IFERROR(__xludf.DUMMYFUNCTION("""COMPUTED_VALUE"""),"Arizona")</f>
        <v>Arizona</v>
      </c>
      <c r="C25" s="26">
        <f>IFERROR(__xludf.DUMMYFUNCTION("""COMPUTED_VALUE"""),25.6)</f>
        <v>25.6</v>
      </c>
      <c r="D25" s="26">
        <f>IFERROR(__xludf.DUMMYFUNCTION("""COMPUTED_VALUE"""),25.3)</f>
        <v>25.3</v>
      </c>
      <c r="E25" s="26">
        <f>IFERROR(__xludf.DUMMYFUNCTION("""COMPUTED_VALUE"""),27.0)</f>
        <v>27</v>
      </c>
      <c r="F25" s="26">
        <f>IFERROR(__xludf.DUMMYFUNCTION("""COMPUTED_VALUE"""),21.8)</f>
        <v>21.8</v>
      </c>
      <c r="G25" s="26">
        <f>IFERROR(__xludf.DUMMYFUNCTION("""COMPUTED_VALUE"""),29.5)</f>
        <v>29.5</v>
      </c>
      <c r="H25" s="26">
        <f>IFERROR(__xludf.DUMMYFUNCTION("""COMPUTED_VALUE"""),26.8)</f>
        <v>26.8</v>
      </c>
    </row>
    <row r="26">
      <c r="A26" s="24">
        <f>VLOOKUP(B26,map!B:C,2,false)</f>
        <v>9</v>
      </c>
      <c r="B26" s="25" t="str">
        <f>IFERROR(__xludf.DUMMYFUNCTION("""COMPUTED_VALUE"""),"New Orleans")</f>
        <v>New Orleans</v>
      </c>
      <c r="C26" s="26">
        <f>IFERROR(__xludf.DUMMYFUNCTION("""COMPUTED_VALUE"""),25.8)</f>
        <v>25.8</v>
      </c>
      <c r="D26" s="26">
        <f>IFERROR(__xludf.DUMMYFUNCTION("""COMPUTED_VALUE"""),36.7)</f>
        <v>36.7</v>
      </c>
      <c r="E26" s="26">
        <f>IFERROR(__xludf.DUMMYFUNCTION("""COMPUTED_VALUE"""),26.0)</f>
        <v>26</v>
      </c>
      <c r="F26" s="26">
        <f>IFERROR(__xludf.DUMMYFUNCTION("""COMPUTED_VALUE"""),27.3)</f>
        <v>27.3</v>
      </c>
      <c r="G26" s="26">
        <f>IFERROR(__xludf.DUMMYFUNCTION("""COMPUTED_VALUE"""),24.3)</f>
        <v>24.3</v>
      </c>
      <c r="H26" s="26">
        <f>IFERROR(__xludf.DUMMYFUNCTION("""COMPUTED_VALUE"""),19.2)</f>
        <v>19.2</v>
      </c>
    </row>
    <row r="27">
      <c r="A27" s="24">
        <f>VLOOKUP(B27,map!B:C,2,false)</f>
        <v>30</v>
      </c>
      <c r="B27" s="25" t="str">
        <f>IFERROR(__xludf.DUMMYFUNCTION("""COMPUTED_VALUE"""),"Baltimore")</f>
        <v>Baltimore</v>
      </c>
      <c r="C27" s="26">
        <f>IFERROR(__xludf.DUMMYFUNCTION("""COMPUTED_VALUE"""),26.1)</f>
        <v>26.1</v>
      </c>
      <c r="D27" s="26">
        <f>IFERROR(__xludf.DUMMYFUNCTION("""COMPUTED_VALUE"""),27.7)</f>
        <v>27.7</v>
      </c>
      <c r="E27" s="26">
        <f>IFERROR(__xludf.DUMMYFUNCTION("""COMPUTED_VALUE"""),29.0)</f>
        <v>29</v>
      </c>
      <c r="F27" s="26">
        <f>IFERROR(__xludf.DUMMYFUNCTION("""COMPUTED_VALUE"""),19.7)</f>
        <v>19.7</v>
      </c>
      <c r="G27" s="26">
        <f>IFERROR(__xludf.DUMMYFUNCTION("""COMPUTED_VALUE"""),30.0)</f>
        <v>30</v>
      </c>
      <c r="H27" s="26">
        <f>IFERROR(__xludf.DUMMYFUNCTION("""COMPUTED_VALUE"""),16.2)</f>
        <v>16.2</v>
      </c>
    </row>
    <row r="28">
      <c r="A28" s="24">
        <f>VLOOKUP(B28,map!B:C,2,false)</f>
        <v>24</v>
      </c>
      <c r="B28" s="25" t="str">
        <f>IFERROR(__xludf.DUMMYFUNCTION("""COMPUTED_VALUE"""),"Las Vegas")</f>
        <v>Las Vegas</v>
      </c>
      <c r="C28" s="26">
        <f>IFERROR(__xludf.DUMMYFUNCTION("""COMPUTED_VALUE"""),26.3)</f>
        <v>26.3</v>
      </c>
      <c r="D28" s="26">
        <f>IFERROR(__xludf.DUMMYFUNCTION("""COMPUTED_VALUE"""),26.3)</f>
        <v>26.3</v>
      </c>
      <c r="E28" s="26">
        <f>IFERROR(__xludf.DUMMYFUNCTION("""COMPUTED_VALUE"""),27.0)</f>
        <v>27</v>
      </c>
      <c r="F28" s="26">
        <f>IFERROR(__xludf.DUMMYFUNCTION("""COMPUTED_VALUE"""),27.8)</f>
        <v>27.8</v>
      </c>
      <c r="G28" s="26">
        <f>IFERROR(__xludf.DUMMYFUNCTION("""COMPUTED_VALUE"""),24.8)</f>
        <v>24.8</v>
      </c>
      <c r="H28" s="26">
        <f>IFERROR(__xludf.DUMMYFUNCTION("""COMPUTED_VALUE"""),19.5)</f>
        <v>19.5</v>
      </c>
    </row>
    <row r="29">
      <c r="A29" s="24">
        <f>VLOOKUP(B29,map!B:C,2,false)</f>
        <v>14</v>
      </c>
      <c r="B29" s="25" t="str">
        <f>IFERROR(__xludf.DUMMYFUNCTION("""COMPUTED_VALUE"""),"Tampa Bay")</f>
        <v>Tampa Bay</v>
      </c>
      <c r="C29" s="26">
        <f>IFERROR(__xludf.DUMMYFUNCTION("""COMPUTED_VALUE"""),26.6)</f>
        <v>26.6</v>
      </c>
      <c r="D29" s="26">
        <f>IFERROR(__xludf.DUMMYFUNCTION("""COMPUTED_VALUE"""),33.0)</f>
        <v>33</v>
      </c>
      <c r="E29" s="26">
        <f>IFERROR(__xludf.DUMMYFUNCTION("""COMPUTED_VALUE"""),31.0)</f>
        <v>31</v>
      </c>
      <c r="F29" s="26">
        <f>IFERROR(__xludf.DUMMYFUNCTION("""COMPUTED_VALUE"""),26.8)</f>
        <v>26.8</v>
      </c>
      <c r="G29" s="26">
        <f>IFERROR(__xludf.DUMMYFUNCTION("""COMPUTED_VALUE"""),26.3)</f>
        <v>26.3</v>
      </c>
      <c r="H29" s="26">
        <f>IFERROR(__xludf.DUMMYFUNCTION("""COMPUTED_VALUE"""),19.2)</f>
        <v>19.2</v>
      </c>
    </row>
    <row r="30">
      <c r="A30" s="24">
        <f>VLOOKUP(B30,map!B:C,2,false)</f>
        <v>6</v>
      </c>
      <c r="B30" s="25" t="str">
        <f>IFERROR(__xludf.DUMMYFUNCTION("""COMPUTED_VALUE"""),"Jacksonville")</f>
        <v>Jacksonville</v>
      </c>
      <c r="C30" s="26">
        <f>IFERROR(__xludf.DUMMYFUNCTION("""COMPUTED_VALUE"""),28.0)</f>
        <v>28</v>
      </c>
      <c r="D30" s="26">
        <f>IFERROR(__xludf.DUMMYFUNCTION("""COMPUTED_VALUE"""),27.0)</f>
        <v>27</v>
      </c>
      <c r="E30" s="26">
        <f>IFERROR(__xludf.DUMMYFUNCTION("""COMPUTED_VALUE"""),30.0)</f>
        <v>30</v>
      </c>
      <c r="F30" s="26">
        <f>IFERROR(__xludf.DUMMYFUNCTION("""COMPUTED_VALUE"""),27.3)</f>
        <v>27.3</v>
      </c>
      <c r="G30" s="26">
        <f>IFERROR(__xludf.DUMMYFUNCTION("""COMPUTED_VALUE"""),28.4)</f>
        <v>28.4</v>
      </c>
      <c r="H30" s="26">
        <f>IFERROR(__xludf.DUMMYFUNCTION("""COMPUTED_VALUE"""),21.8)</f>
        <v>21.8</v>
      </c>
    </row>
    <row r="31">
      <c r="A31" s="24">
        <f>VLOOKUP(B31,map!B:C,2,false)</f>
        <v>32</v>
      </c>
      <c r="B31" s="25" t="str">
        <f>IFERROR(__xludf.DUMMYFUNCTION("""COMPUTED_VALUE"""),"Tennessee")</f>
        <v>Tennessee</v>
      </c>
      <c r="C31" s="26">
        <f>IFERROR(__xludf.DUMMYFUNCTION("""COMPUTED_VALUE"""),28.0)</f>
        <v>28</v>
      </c>
      <c r="D31" s="26">
        <f>IFERROR(__xludf.DUMMYFUNCTION("""COMPUTED_VALUE"""),35.3)</f>
        <v>35.3</v>
      </c>
      <c r="E31" s="26">
        <f>IFERROR(__xludf.DUMMYFUNCTION("""COMPUTED_VALUE"""),52.0)</f>
        <v>52</v>
      </c>
      <c r="F31" s="26">
        <f>IFERROR(__xludf.DUMMYFUNCTION("""COMPUTED_VALUE"""),24.7)</f>
        <v>24.7</v>
      </c>
      <c r="G31" s="26">
        <f>IFERROR(__xludf.DUMMYFUNCTION("""COMPUTED_VALUE"""),30.5)</f>
        <v>30.5</v>
      </c>
      <c r="H31" s="26">
        <f>IFERROR(__xludf.DUMMYFUNCTION("""COMPUTED_VALUE"""),21.6)</f>
        <v>21.6</v>
      </c>
    </row>
    <row r="32">
      <c r="A32" s="24">
        <f>VLOOKUP(B32,map!B:C,2,false)</f>
        <v>1</v>
      </c>
      <c r="B32" s="25" t="str">
        <f>IFERROR(__xludf.DUMMYFUNCTION("""COMPUTED_VALUE"""),"Dallas")</f>
        <v>Dallas</v>
      </c>
      <c r="C32" s="26">
        <f>IFERROR(__xludf.DUMMYFUNCTION("""COMPUTED_VALUE"""),28.3)</f>
        <v>28.3</v>
      </c>
      <c r="D32" s="26">
        <f>IFERROR(__xludf.DUMMYFUNCTION("""COMPUTED_VALUE"""),31.3)</f>
        <v>31.3</v>
      </c>
      <c r="E32" s="26">
        <f>IFERROR(__xludf.DUMMYFUNCTION("""COMPUTED_VALUE"""),30.0)</f>
        <v>30</v>
      </c>
      <c r="F32" s="26">
        <f>IFERROR(__xludf.DUMMYFUNCTION("""COMPUTED_VALUE"""),39.7)</f>
        <v>39.7</v>
      </c>
      <c r="G32" s="26">
        <f>IFERROR(__xludf.DUMMYFUNCTION("""COMPUTED_VALUE"""),19.8)</f>
        <v>19.8</v>
      </c>
      <c r="H32" s="26">
        <f>IFERROR(__xludf.DUMMYFUNCTION("""COMPUTED_VALUE"""),20.2)</f>
        <v>20.2</v>
      </c>
    </row>
    <row r="33">
      <c r="A33" s="24">
        <f>VLOOKUP(B33,map!B:C,2,false)</f>
        <v>23</v>
      </c>
      <c r="B33" s="25" t="str">
        <f>IFERROR(__xludf.DUMMYFUNCTION("""COMPUTED_VALUE"""),"Carolina")</f>
        <v>Carolina</v>
      </c>
      <c r="C33" s="26">
        <f>IFERROR(__xludf.DUMMYFUNCTION("""COMPUTED_VALUE"""),33.9)</f>
        <v>33.9</v>
      </c>
      <c r="D33" s="26">
        <f>IFERROR(__xludf.DUMMYFUNCTION("""COMPUTED_VALUE"""),35.3)</f>
        <v>35.3</v>
      </c>
      <c r="E33" s="26">
        <f>IFERROR(__xludf.DUMMYFUNCTION("""COMPUTED_VALUE"""),28.0)</f>
        <v>28</v>
      </c>
      <c r="F33" s="26">
        <f>IFERROR(__xludf.DUMMYFUNCTION("""COMPUTED_VALUE"""),32.7)</f>
        <v>32.7</v>
      </c>
      <c r="G33" s="26">
        <f>IFERROR(__xludf.DUMMYFUNCTION("""COMPUTED_VALUE"""),34.6)</f>
        <v>34.6</v>
      </c>
      <c r="H33" s="26">
        <f>IFERROR(__xludf.DUMMYFUNCTION("""COMPUTED_VALUE"""),24.5)</f>
        <v>24.5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7"/>
      <c r="B1" s="21" t="str">
        <f>IFERROR(__xludf.DUMMYFUNCTION("QUERY(IMPORTHTML(""https://www.teamrankings.com/nfl/stat/yards-per-game?date="" &amp; TEXT(TODAY(),""yyyy-mm-dd""), ""table"", 1, ""en_US""), ""SELECT Col2, Col3, Col4, Col5, Col6, Col7, Col8"")
"),"Team")</f>
        <v>Team</v>
      </c>
      <c r="C1" s="22" t="str">
        <f>IFERROR(__xludf.DUMMYFUNCTION("""COMPUTED_VALUE"""),"2024")</f>
        <v>2024</v>
      </c>
      <c r="D1" s="23" t="str">
        <f>IFERROR(__xludf.DUMMYFUNCTION("""COMPUTED_VALUE"""),"Last 3")</f>
        <v>Last 3</v>
      </c>
      <c r="E1" s="23" t="str">
        <f>IFERROR(__xludf.DUMMYFUNCTION("""COMPUTED_VALUE"""),"Last 1")</f>
        <v>Last 1</v>
      </c>
      <c r="F1" s="22" t="str">
        <f>IFERROR(__xludf.DUMMYFUNCTION("""COMPUTED_VALUE"""),"Home")</f>
        <v>Home</v>
      </c>
      <c r="G1" s="22" t="str">
        <f>IFERROR(__xludf.DUMMYFUNCTION("""COMPUTED_VALUE"""),"Away")</f>
        <v>Away</v>
      </c>
      <c r="H1" s="22" t="str">
        <f>IFERROR(__xludf.DUMMYFUNCTION("""COMPUTED_VALUE"""),"2023")</f>
        <v>2023</v>
      </c>
    </row>
    <row r="2">
      <c r="A2" s="24">
        <f>VLOOKUP(B2,map!B:C,2,false)</f>
        <v>30</v>
      </c>
      <c r="B2" s="25" t="str">
        <f>IFERROR(__xludf.DUMMYFUNCTION("""COMPUTED_VALUE"""),"Baltimore")</f>
        <v>Baltimore</v>
      </c>
      <c r="C2" s="26">
        <f>IFERROR(__xludf.DUMMYFUNCTION("""COMPUTED_VALUE"""),452.1)</f>
        <v>452.1</v>
      </c>
      <c r="D2" s="26">
        <f>IFERROR(__xludf.DUMMYFUNCTION("""COMPUTED_VALUE"""),459.7)</f>
        <v>459.7</v>
      </c>
      <c r="E2" s="26">
        <f>IFERROR(__xludf.DUMMYFUNCTION("""COMPUTED_VALUE"""),387.0)</f>
        <v>387</v>
      </c>
      <c r="F2" s="26">
        <f>IFERROR(__xludf.DUMMYFUNCTION("""COMPUTED_VALUE"""),431.3)</f>
        <v>431.3</v>
      </c>
      <c r="G2" s="26">
        <f>IFERROR(__xludf.DUMMYFUNCTION("""COMPUTED_VALUE"""),464.6)</f>
        <v>464.6</v>
      </c>
      <c r="H2" s="26">
        <f>IFERROR(__xludf.DUMMYFUNCTION("""COMPUTED_VALUE"""),367.6)</f>
        <v>367.6</v>
      </c>
    </row>
    <row r="3">
      <c r="A3" s="24">
        <f>VLOOKUP(B3,map!B:C,2,false)</f>
        <v>25</v>
      </c>
      <c r="B3" s="25" t="str">
        <f>IFERROR(__xludf.DUMMYFUNCTION("""COMPUTED_VALUE"""),"San Francisco")</f>
        <v>San Francisco</v>
      </c>
      <c r="C3" s="26">
        <f>IFERROR(__xludf.DUMMYFUNCTION("""COMPUTED_VALUE"""),412.4)</f>
        <v>412.4</v>
      </c>
      <c r="D3" s="26">
        <f>IFERROR(__xludf.DUMMYFUNCTION("""COMPUTED_VALUE"""),420.7)</f>
        <v>420.7</v>
      </c>
      <c r="E3" s="26">
        <f>IFERROR(__xludf.DUMMYFUNCTION("""COMPUTED_VALUE"""),469.0)</f>
        <v>469</v>
      </c>
      <c r="F3" s="26">
        <f>IFERROR(__xludf.DUMMYFUNCTION("""COMPUTED_VALUE"""),399.0)</f>
        <v>399</v>
      </c>
      <c r="G3" s="26">
        <f>IFERROR(__xludf.DUMMYFUNCTION("""COMPUTED_VALUE"""),434.7)</f>
        <v>434.7</v>
      </c>
      <c r="H3" s="26">
        <f>IFERROR(__xludf.DUMMYFUNCTION("""COMPUTED_VALUE"""),396.2)</f>
        <v>396.2</v>
      </c>
    </row>
    <row r="4">
      <c r="A4" s="24">
        <f>VLOOKUP(B4,map!B:C,2,false)</f>
        <v>8</v>
      </c>
      <c r="B4" s="25" t="str">
        <f>IFERROR(__xludf.DUMMYFUNCTION("""COMPUTED_VALUE"""),"Washington")</f>
        <v>Washington</v>
      </c>
      <c r="C4" s="26">
        <f>IFERROR(__xludf.DUMMYFUNCTION("""COMPUTED_VALUE"""),396.3)</f>
        <v>396.3</v>
      </c>
      <c r="D4" s="26">
        <f>IFERROR(__xludf.DUMMYFUNCTION("""COMPUTED_VALUE"""),402.3)</f>
        <v>402.3</v>
      </c>
      <c r="E4" s="26">
        <f>IFERROR(__xludf.DUMMYFUNCTION("""COMPUTED_VALUE"""),481.0)</f>
        <v>481</v>
      </c>
      <c r="F4" s="26">
        <f>IFERROR(__xludf.DUMMYFUNCTION("""COMPUTED_VALUE"""),440.3)</f>
        <v>440.3</v>
      </c>
      <c r="G4" s="26">
        <f>IFERROR(__xludf.DUMMYFUNCTION("""COMPUTED_VALUE"""),352.3)</f>
        <v>352.3</v>
      </c>
      <c r="H4" s="26">
        <f>IFERROR(__xludf.DUMMYFUNCTION("""COMPUTED_VALUE"""),312.8)</f>
        <v>312.8</v>
      </c>
    </row>
    <row r="5">
      <c r="A5" s="24">
        <f>VLOOKUP(B5,map!B:C,2,false)</f>
        <v>14</v>
      </c>
      <c r="B5" s="25" t="str">
        <f>IFERROR(__xludf.DUMMYFUNCTION("""COMPUTED_VALUE"""),"Tampa Bay")</f>
        <v>Tampa Bay</v>
      </c>
      <c r="C5" s="26">
        <f>IFERROR(__xludf.DUMMYFUNCTION("""COMPUTED_VALUE"""),389.5)</f>
        <v>389.5</v>
      </c>
      <c r="D5" s="26">
        <f>IFERROR(__xludf.DUMMYFUNCTION("""COMPUTED_VALUE"""),502.3)</f>
        <v>502.3</v>
      </c>
      <c r="E5" s="26">
        <f>IFERROR(__xludf.DUMMYFUNCTION("""COMPUTED_VALUE"""),432.0)</f>
        <v>432</v>
      </c>
      <c r="F5" s="26">
        <f>IFERROR(__xludf.DUMMYFUNCTION("""COMPUTED_VALUE"""),394.6)</f>
        <v>394.6</v>
      </c>
      <c r="G5" s="26">
        <f>IFERROR(__xludf.DUMMYFUNCTION("""COMPUTED_VALUE"""),381.0)</f>
        <v>381</v>
      </c>
      <c r="H5" s="26">
        <f>IFERROR(__xludf.DUMMYFUNCTION("""COMPUTED_VALUE"""),323.9)</f>
        <v>323.9</v>
      </c>
    </row>
    <row r="6">
      <c r="A6" s="24">
        <f>VLOOKUP(B6,map!B:C,2,false)</f>
        <v>15</v>
      </c>
      <c r="B6" s="25" t="str">
        <f>IFERROR(__xludf.DUMMYFUNCTION("""COMPUTED_VALUE"""),"Green Bay")</f>
        <v>Green Bay</v>
      </c>
      <c r="C6" s="26">
        <f>IFERROR(__xludf.DUMMYFUNCTION("""COMPUTED_VALUE"""),387.4)</f>
        <v>387.4</v>
      </c>
      <c r="D6" s="26">
        <f>IFERROR(__xludf.DUMMYFUNCTION("""COMPUTED_VALUE"""),378.7)</f>
        <v>378.7</v>
      </c>
      <c r="E6" s="26">
        <f>IFERROR(__xludf.DUMMYFUNCTION("""COMPUTED_VALUE"""),422.0)</f>
        <v>422</v>
      </c>
      <c r="F6" s="26">
        <f>IFERROR(__xludf.DUMMYFUNCTION("""COMPUTED_VALUE"""),390.5)</f>
        <v>390.5</v>
      </c>
      <c r="G6" s="26">
        <f>IFERROR(__xludf.DUMMYFUNCTION("""COMPUTED_VALUE"""),384.3)</f>
        <v>384.3</v>
      </c>
      <c r="H6" s="26">
        <f>IFERROR(__xludf.DUMMYFUNCTION("""COMPUTED_VALUE"""),348.3)</f>
        <v>348.3</v>
      </c>
    </row>
    <row r="7">
      <c r="A7" s="24">
        <f>VLOOKUP(B7,map!B:C,2,false)</f>
        <v>5</v>
      </c>
      <c r="B7" s="25" t="str">
        <f>IFERROR(__xludf.DUMMYFUNCTION("""COMPUTED_VALUE"""),"Detroit")</f>
        <v>Detroit</v>
      </c>
      <c r="C7" s="26">
        <f>IFERROR(__xludf.DUMMYFUNCTION("""COMPUTED_VALUE"""),385.1)</f>
        <v>385.1</v>
      </c>
      <c r="D7" s="26">
        <f>IFERROR(__xludf.DUMMYFUNCTION("""COMPUTED_VALUE"""),369.3)</f>
        <v>369.3</v>
      </c>
      <c r="E7" s="26">
        <f>IFERROR(__xludf.DUMMYFUNCTION("""COMPUTED_VALUE"""),225.0)</f>
        <v>225</v>
      </c>
      <c r="F7" s="26">
        <f>IFERROR(__xludf.DUMMYFUNCTION("""COMPUTED_VALUE"""),360.0)</f>
        <v>360</v>
      </c>
      <c r="G7" s="26">
        <f>IFERROR(__xludf.DUMMYFUNCTION("""COMPUTED_VALUE"""),418.7)</f>
        <v>418.7</v>
      </c>
      <c r="H7" s="26">
        <f>IFERROR(__xludf.DUMMYFUNCTION("""COMPUTED_VALUE"""),394.0)</f>
        <v>394</v>
      </c>
    </row>
    <row r="8">
      <c r="A8" s="24">
        <f>VLOOKUP(B8,map!B:C,2,false)</f>
        <v>28</v>
      </c>
      <c r="B8" s="25" t="str">
        <f>IFERROR(__xludf.DUMMYFUNCTION("""COMPUTED_VALUE"""),"Atlanta")</f>
        <v>Atlanta</v>
      </c>
      <c r="C8" s="26">
        <f>IFERROR(__xludf.DUMMYFUNCTION("""COMPUTED_VALUE"""),371.6)</f>
        <v>371.6</v>
      </c>
      <c r="D8" s="26">
        <f>IFERROR(__xludf.DUMMYFUNCTION("""COMPUTED_VALUE"""),395.3)</f>
        <v>395.3</v>
      </c>
      <c r="E8" s="26">
        <f>IFERROR(__xludf.DUMMYFUNCTION("""COMPUTED_VALUE"""),394.0)</f>
        <v>394</v>
      </c>
      <c r="F8" s="26">
        <f>IFERROR(__xludf.DUMMYFUNCTION("""COMPUTED_VALUE"""),354.2)</f>
        <v>354.2</v>
      </c>
      <c r="G8" s="26">
        <f>IFERROR(__xludf.DUMMYFUNCTION("""COMPUTED_VALUE"""),400.7)</f>
        <v>400.7</v>
      </c>
      <c r="H8" s="26">
        <f>IFERROR(__xludf.DUMMYFUNCTION("""COMPUTED_VALUE"""),334.3)</f>
        <v>334.3</v>
      </c>
    </row>
    <row r="9">
      <c r="A9" s="24">
        <f>VLOOKUP(B9,map!B:C,2,false)</f>
        <v>12</v>
      </c>
      <c r="B9" s="25" t="str">
        <f>IFERROR(__xludf.DUMMYFUNCTION("""COMPUTED_VALUE"""),"Philadelphia")</f>
        <v>Philadelphia</v>
      </c>
      <c r="C9" s="26">
        <f>IFERROR(__xludf.DUMMYFUNCTION("""COMPUTED_VALUE"""),367.1)</f>
        <v>367.1</v>
      </c>
      <c r="D9" s="26">
        <f>IFERROR(__xludf.DUMMYFUNCTION("""COMPUTED_VALUE"""),369.3)</f>
        <v>369.3</v>
      </c>
      <c r="E9" s="26">
        <f>IFERROR(__xludf.DUMMYFUNCTION("""COMPUTED_VALUE"""),397.0)</f>
        <v>397</v>
      </c>
      <c r="F9" s="26">
        <f>IFERROR(__xludf.DUMMYFUNCTION("""COMPUTED_VALUE"""),368.5)</f>
        <v>368.5</v>
      </c>
      <c r="G9" s="26">
        <f>IFERROR(__xludf.DUMMYFUNCTION("""COMPUTED_VALUE"""),366.6)</f>
        <v>366.6</v>
      </c>
      <c r="H9" s="26">
        <f>IFERROR(__xludf.DUMMYFUNCTION("""COMPUTED_VALUE"""),350.0)</f>
        <v>350</v>
      </c>
    </row>
    <row r="10">
      <c r="A10" s="24">
        <f>VLOOKUP(B10,map!B:C,2,false)</f>
        <v>17</v>
      </c>
      <c r="B10" s="25" t="str">
        <f>IFERROR(__xludf.DUMMYFUNCTION("""COMPUTED_VALUE"""),"Houston")</f>
        <v>Houston</v>
      </c>
      <c r="C10" s="26">
        <f>IFERROR(__xludf.DUMMYFUNCTION("""COMPUTED_VALUE"""),351.4)</f>
        <v>351.4</v>
      </c>
      <c r="D10" s="26">
        <f>IFERROR(__xludf.DUMMYFUNCTION("""COMPUTED_VALUE"""),309.3)</f>
        <v>309.3</v>
      </c>
      <c r="E10" s="26">
        <f>IFERROR(__xludf.DUMMYFUNCTION("""COMPUTED_VALUE"""),363.0)</f>
        <v>363</v>
      </c>
      <c r="F10" s="26">
        <f>IFERROR(__xludf.DUMMYFUNCTION("""COMPUTED_VALUE"""),383.3)</f>
        <v>383.3</v>
      </c>
      <c r="G10" s="26">
        <f>IFERROR(__xludf.DUMMYFUNCTION("""COMPUTED_VALUE"""),319.5)</f>
        <v>319.5</v>
      </c>
      <c r="H10" s="26">
        <f>IFERROR(__xludf.DUMMYFUNCTION("""COMPUTED_VALUE"""),336.3)</f>
        <v>336.3</v>
      </c>
    </row>
    <row r="11">
      <c r="A11" s="24">
        <f>VLOOKUP(B11,map!B:C,2,false)</f>
        <v>13</v>
      </c>
      <c r="B11" s="25" t="str">
        <f>IFERROR(__xludf.DUMMYFUNCTION("""COMPUTED_VALUE"""),"Seattle")</f>
        <v>Seattle</v>
      </c>
      <c r="C11" s="26">
        <f>IFERROR(__xludf.DUMMYFUNCTION("""COMPUTED_VALUE"""),351.4)</f>
        <v>351.4</v>
      </c>
      <c r="D11" s="26">
        <f>IFERROR(__xludf.DUMMYFUNCTION("""COMPUTED_VALUE"""),310.0)</f>
        <v>310</v>
      </c>
      <c r="E11" s="26">
        <f>IFERROR(__xludf.DUMMYFUNCTION("""COMPUTED_VALUE"""),233.0)</f>
        <v>233</v>
      </c>
      <c r="F11" s="26">
        <f>IFERROR(__xludf.DUMMYFUNCTION("""COMPUTED_VALUE"""),319.6)</f>
        <v>319.6</v>
      </c>
      <c r="G11" s="26">
        <f>IFERROR(__xludf.DUMMYFUNCTION("""COMPUTED_VALUE"""),404.3)</f>
        <v>404.3</v>
      </c>
      <c r="H11" s="26">
        <f>IFERROR(__xludf.DUMMYFUNCTION("""COMPUTED_VALUE"""),322.9)</f>
        <v>322.9</v>
      </c>
    </row>
    <row r="12">
      <c r="A12" s="24">
        <f>VLOOKUP(B12,map!B:C,2,false)</f>
        <v>2</v>
      </c>
      <c r="B12" s="25" t="str">
        <f>IFERROR(__xludf.DUMMYFUNCTION("""COMPUTED_VALUE"""),"Kansas City")</f>
        <v>Kansas City</v>
      </c>
      <c r="C12" s="26">
        <f>IFERROR(__xludf.DUMMYFUNCTION("""COMPUTED_VALUE"""),348.0)</f>
        <v>348</v>
      </c>
      <c r="D12" s="26">
        <f>IFERROR(__xludf.DUMMYFUNCTION("""COMPUTED_VALUE"""),374.3)</f>
        <v>374.3</v>
      </c>
      <c r="E12" s="26">
        <f>IFERROR(__xludf.DUMMYFUNCTION("""COMPUTED_VALUE"""),334.0)</f>
        <v>334</v>
      </c>
      <c r="F12" s="26">
        <f>IFERROR(__xludf.DUMMYFUNCTION("""COMPUTED_VALUE"""),366.3)</f>
        <v>366.3</v>
      </c>
      <c r="G12" s="26">
        <f>IFERROR(__xludf.DUMMYFUNCTION("""COMPUTED_VALUE"""),334.3)</f>
        <v>334.3</v>
      </c>
      <c r="H12" s="26">
        <f>IFERROR(__xludf.DUMMYFUNCTION("""COMPUTED_VALUE"""),357.9)</f>
        <v>357.9</v>
      </c>
    </row>
    <row r="13">
      <c r="A13" s="24">
        <f>VLOOKUP(B13,map!B:C,2,false)</f>
        <v>21</v>
      </c>
      <c r="B13" s="25" t="str">
        <f>IFERROR(__xludf.DUMMYFUNCTION("""COMPUTED_VALUE"""),"Arizona")</f>
        <v>Arizona</v>
      </c>
      <c r="C13" s="26">
        <f>IFERROR(__xludf.DUMMYFUNCTION("""COMPUTED_VALUE"""),338.5)</f>
        <v>338.5</v>
      </c>
      <c r="D13" s="26">
        <f>IFERROR(__xludf.DUMMYFUNCTION("""COMPUTED_VALUE"""),339.3)</f>
        <v>339.3</v>
      </c>
      <c r="E13" s="26">
        <f>IFERROR(__xludf.DUMMYFUNCTION("""COMPUTED_VALUE"""),389.0)</f>
        <v>389</v>
      </c>
      <c r="F13" s="26">
        <f>IFERROR(__xludf.DUMMYFUNCTION("""COMPUTED_VALUE"""),347.0)</f>
        <v>347</v>
      </c>
      <c r="G13" s="26">
        <f>IFERROR(__xludf.DUMMYFUNCTION("""COMPUTED_VALUE"""),330.0)</f>
        <v>330</v>
      </c>
      <c r="H13" s="26">
        <f>IFERROR(__xludf.DUMMYFUNCTION("""COMPUTED_VALUE"""),324.1)</f>
        <v>324.1</v>
      </c>
    </row>
    <row r="14">
      <c r="A14" s="24">
        <f>VLOOKUP(B14,map!B:C,2,false)</f>
        <v>11</v>
      </c>
      <c r="B14" s="25" t="str">
        <f>IFERROR(__xludf.DUMMYFUNCTION("""COMPUTED_VALUE"""),"Buffalo")</f>
        <v>Buffalo</v>
      </c>
      <c r="C14" s="26">
        <f>IFERROR(__xludf.DUMMYFUNCTION("""COMPUTED_VALUE"""),336.5)</f>
        <v>336.5</v>
      </c>
      <c r="D14" s="26">
        <f>IFERROR(__xludf.DUMMYFUNCTION("""COMPUTED_VALUE"""),397.7)</f>
        <v>397.7</v>
      </c>
      <c r="E14" s="26">
        <f>IFERROR(__xludf.DUMMYFUNCTION("""COMPUTED_VALUE"""),445.0)</f>
        <v>445</v>
      </c>
      <c r="F14" s="26">
        <f>IFERROR(__xludf.DUMMYFUNCTION("""COMPUTED_VALUE"""),376.3)</f>
        <v>376.3</v>
      </c>
      <c r="G14" s="26">
        <f>IFERROR(__xludf.DUMMYFUNCTION("""COMPUTED_VALUE"""),312.6)</f>
        <v>312.6</v>
      </c>
      <c r="H14" s="26">
        <f>IFERROR(__xludf.DUMMYFUNCTION("""COMPUTED_VALUE"""),373.8)</f>
        <v>373.8</v>
      </c>
    </row>
    <row r="15">
      <c r="A15" s="24">
        <f>VLOOKUP(B15,map!B:C,2,false)</f>
        <v>6</v>
      </c>
      <c r="B15" s="25" t="str">
        <f>IFERROR(__xludf.DUMMYFUNCTION("""COMPUTED_VALUE"""),"Jacksonville")</f>
        <v>Jacksonville</v>
      </c>
      <c r="C15" s="26">
        <f>IFERROR(__xludf.DUMMYFUNCTION("""COMPUTED_VALUE"""),333.9)</f>
        <v>333.9</v>
      </c>
      <c r="D15" s="26">
        <f>IFERROR(__xludf.DUMMYFUNCTION("""COMPUTED_VALUE"""),344.0)</f>
        <v>344</v>
      </c>
      <c r="E15" s="26">
        <f>IFERROR(__xludf.DUMMYFUNCTION("""COMPUTED_VALUE"""),390.0)</f>
        <v>390</v>
      </c>
      <c r="F15" s="26">
        <f>IFERROR(__xludf.DUMMYFUNCTION("""COMPUTED_VALUE"""),403.3)</f>
        <v>403.3</v>
      </c>
      <c r="G15" s="26">
        <f>IFERROR(__xludf.DUMMYFUNCTION("""COMPUTED_VALUE"""),292.2)</f>
        <v>292.2</v>
      </c>
      <c r="H15" s="26">
        <f>IFERROR(__xludf.DUMMYFUNCTION("""COMPUTED_VALUE"""),339.5)</f>
        <v>339.5</v>
      </c>
    </row>
    <row r="16">
      <c r="A16" s="24">
        <f>VLOOKUP(B16,map!B:C,2,false)</f>
        <v>1</v>
      </c>
      <c r="B16" s="25" t="str">
        <f>IFERROR(__xludf.DUMMYFUNCTION("""COMPUTED_VALUE"""),"Dallas")</f>
        <v>Dallas</v>
      </c>
      <c r="C16" s="26">
        <f>IFERROR(__xludf.DUMMYFUNCTION("""COMPUTED_VALUE"""),330.1)</f>
        <v>330.1</v>
      </c>
      <c r="D16" s="26">
        <f>IFERROR(__xludf.DUMMYFUNCTION("""COMPUTED_VALUE"""),329.3)</f>
        <v>329.3</v>
      </c>
      <c r="E16" s="26">
        <f>IFERROR(__xludf.DUMMYFUNCTION("""COMPUTED_VALUE"""),292.0)</f>
        <v>292</v>
      </c>
      <c r="F16" s="26">
        <f>IFERROR(__xludf.DUMMYFUNCTION("""COMPUTED_VALUE"""),338.7)</f>
        <v>338.7</v>
      </c>
      <c r="G16" s="26">
        <f>IFERROR(__xludf.DUMMYFUNCTION("""COMPUTED_VALUE"""),323.8)</f>
        <v>323.8</v>
      </c>
      <c r="H16" s="26">
        <f>IFERROR(__xludf.DUMMYFUNCTION("""COMPUTED_VALUE"""),379.3)</f>
        <v>379.3</v>
      </c>
    </row>
    <row r="17">
      <c r="A17" s="24">
        <f>VLOOKUP(B17,map!B:C,2,false)</f>
        <v>20</v>
      </c>
      <c r="B17" s="25" t="str">
        <f>IFERROR(__xludf.DUMMYFUNCTION("""COMPUTED_VALUE"""),"Indianapolis")</f>
        <v>Indianapolis</v>
      </c>
      <c r="C17" s="26">
        <f>IFERROR(__xludf.DUMMYFUNCTION("""COMPUTED_VALUE"""),326.0)</f>
        <v>326</v>
      </c>
      <c r="D17" s="26">
        <f>IFERROR(__xludf.DUMMYFUNCTION("""COMPUTED_VALUE"""),285.3)</f>
        <v>285.3</v>
      </c>
      <c r="E17" s="26">
        <f>IFERROR(__xludf.DUMMYFUNCTION("""COMPUTED_VALUE"""),303.0)</f>
        <v>303</v>
      </c>
      <c r="F17" s="26">
        <f>IFERROR(__xludf.DUMMYFUNCTION("""COMPUTED_VALUE"""),312.8)</f>
        <v>312.8</v>
      </c>
      <c r="G17" s="26">
        <f>IFERROR(__xludf.DUMMYFUNCTION("""COMPUTED_VALUE"""),339.3)</f>
        <v>339.3</v>
      </c>
      <c r="H17" s="26">
        <f>IFERROR(__xludf.DUMMYFUNCTION("""COMPUTED_VALUE"""),336.8)</f>
        <v>336.8</v>
      </c>
    </row>
    <row r="18">
      <c r="A18" s="24">
        <f>VLOOKUP(B18,map!B:C,2,false)</f>
        <v>4</v>
      </c>
      <c r="B18" s="25" t="str">
        <f>IFERROR(__xludf.DUMMYFUNCTION("""COMPUTED_VALUE"""),"Cincinnati")</f>
        <v>Cincinnati</v>
      </c>
      <c r="C18" s="26">
        <f>IFERROR(__xludf.DUMMYFUNCTION("""COMPUTED_VALUE"""),325.3)</f>
        <v>325.3</v>
      </c>
      <c r="D18" s="26">
        <f>IFERROR(__xludf.DUMMYFUNCTION("""COMPUTED_VALUE"""),269.0)</f>
        <v>269</v>
      </c>
      <c r="E18" s="26">
        <f>IFERROR(__xludf.DUMMYFUNCTION("""COMPUTED_VALUE"""),280.0)</f>
        <v>280</v>
      </c>
      <c r="F18" s="26">
        <f>IFERROR(__xludf.DUMMYFUNCTION("""COMPUTED_VALUE"""),345.5)</f>
        <v>345.5</v>
      </c>
      <c r="G18" s="26">
        <f>IFERROR(__xludf.DUMMYFUNCTION("""COMPUTED_VALUE"""),305.0)</f>
        <v>305</v>
      </c>
      <c r="H18" s="26">
        <f>IFERROR(__xludf.DUMMYFUNCTION("""COMPUTED_VALUE"""),318.9)</f>
        <v>318.9</v>
      </c>
    </row>
    <row r="19">
      <c r="A19" s="24">
        <f>VLOOKUP(B19,map!B:C,2,false)</f>
        <v>3</v>
      </c>
      <c r="B19" s="25" t="str">
        <f>IFERROR(__xludf.DUMMYFUNCTION("""COMPUTED_VALUE"""),"Minnesota")</f>
        <v>Minnesota</v>
      </c>
      <c r="C19" s="26">
        <f>IFERROR(__xludf.DUMMYFUNCTION("""COMPUTED_VALUE"""),325.0)</f>
        <v>325</v>
      </c>
      <c r="D19" s="26">
        <f>IFERROR(__xludf.DUMMYFUNCTION("""COMPUTED_VALUE"""),304.0)</f>
        <v>304</v>
      </c>
      <c r="E19" s="26">
        <f>IFERROR(__xludf.DUMMYFUNCTION("""COMPUTED_VALUE"""),276.0)</f>
        <v>276</v>
      </c>
      <c r="F19" s="26">
        <f>IFERROR(__xludf.DUMMYFUNCTION("""COMPUTED_VALUE"""),353.3)</f>
        <v>353.3</v>
      </c>
      <c r="G19" s="26">
        <f>IFERROR(__xludf.DUMMYFUNCTION("""COMPUTED_VALUE"""),303.8)</f>
        <v>303.8</v>
      </c>
      <c r="H19" s="26">
        <f>IFERROR(__xludf.DUMMYFUNCTION("""COMPUTED_VALUE"""),347.8)</f>
        <v>347.8</v>
      </c>
    </row>
    <row r="20">
      <c r="A20" s="24">
        <f>VLOOKUP(B20,map!B:C,2,false)</f>
        <v>18</v>
      </c>
      <c r="B20" s="25" t="str">
        <f>IFERROR(__xludf.DUMMYFUNCTION("""COMPUTED_VALUE"""),"LA Rams")</f>
        <v>LA Rams</v>
      </c>
      <c r="C20" s="26">
        <f>IFERROR(__xludf.DUMMYFUNCTION("""COMPUTED_VALUE"""),323.6)</f>
        <v>323.6</v>
      </c>
      <c r="D20" s="26">
        <f>IFERROR(__xludf.DUMMYFUNCTION("""COMPUTED_VALUE"""),338.3)</f>
        <v>338.3</v>
      </c>
      <c r="E20" s="26">
        <f>IFERROR(__xludf.DUMMYFUNCTION("""COMPUTED_VALUE"""),386.0)</f>
        <v>386</v>
      </c>
      <c r="F20" s="26">
        <f>IFERROR(__xludf.DUMMYFUNCTION("""COMPUTED_VALUE"""),327.8)</f>
        <v>327.8</v>
      </c>
      <c r="G20" s="26">
        <f>IFERROR(__xludf.DUMMYFUNCTION("""COMPUTED_VALUE"""),318.0)</f>
        <v>318</v>
      </c>
      <c r="H20" s="26">
        <f>IFERROR(__xludf.DUMMYFUNCTION("""COMPUTED_VALUE"""),362.9)</f>
        <v>362.9</v>
      </c>
    </row>
    <row r="21">
      <c r="A21" s="24">
        <f>VLOOKUP(B21,map!B:C,2,false)</f>
        <v>9</v>
      </c>
      <c r="B21" s="25" t="str">
        <f>IFERROR(__xludf.DUMMYFUNCTION("""COMPUTED_VALUE"""),"New Orleans")</f>
        <v>New Orleans</v>
      </c>
      <c r="C21" s="26">
        <f>IFERROR(__xludf.DUMMYFUNCTION("""COMPUTED_VALUE"""),319.5)</f>
        <v>319.5</v>
      </c>
      <c r="D21" s="26">
        <f>IFERROR(__xludf.DUMMYFUNCTION("""COMPUTED_VALUE"""),313.3)</f>
        <v>313.3</v>
      </c>
      <c r="E21" s="26">
        <f>IFERROR(__xludf.DUMMYFUNCTION("""COMPUTED_VALUE"""),366.0)</f>
        <v>366</v>
      </c>
      <c r="F21" s="26">
        <f>IFERROR(__xludf.DUMMYFUNCTION("""COMPUTED_VALUE"""),293.0)</f>
        <v>293</v>
      </c>
      <c r="G21" s="26">
        <f>IFERROR(__xludf.DUMMYFUNCTION("""COMPUTED_VALUE"""),346.0)</f>
        <v>346</v>
      </c>
      <c r="H21" s="26">
        <f>IFERROR(__xludf.DUMMYFUNCTION("""COMPUTED_VALUE"""),337.2)</f>
        <v>337.2</v>
      </c>
    </row>
    <row r="22">
      <c r="A22" s="24">
        <f>VLOOKUP(B22,map!B:C,2,false)</f>
        <v>10</v>
      </c>
      <c r="B22" s="25" t="str">
        <f>IFERROR(__xludf.DUMMYFUNCTION("""COMPUTED_VALUE"""),"Miami")</f>
        <v>Miami</v>
      </c>
      <c r="C22" s="26">
        <f>IFERROR(__xludf.DUMMYFUNCTION("""COMPUTED_VALUE"""),318.0)</f>
        <v>318</v>
      </c>
      <c r="D22" s="26">
        <f>IFERROR(__xludf.DUMMYFUNCTION("""COMPUTED_VALUE"""),362.0)</f>
        <v>362</v>
      </c>
      <c r="E22" s="26">
        <f>IFERROR(__xludf.DUMMYFUNCTION("""COMPUTED_VALUE"""),377.0)</f>
        <v>377</v>
      </c>
      <c r="F22" s="26">
        <f>IFERROR(__xludf.DUMMYFUNCTION("""COMPUTED_VALUE"""),328.0)</f>
        <v>328</v>
      </c>
      <c r="G22" s="26">
        <f>IFERROR(__xludf.DUMMYFUNCTION("""COMPUTED_VALUE"""),304.7)</f>
        <v>304.7</v>
      </c>
      <c r="H22" s="26">
        <f>IFERROR(__xludf.DUMMYFUNCTION("""COMPUTED_VALUE"""),393.7)</f>
        <v>393.7</v>
      </c>
    </row>
    <row r="23">
      <c r="A23" s="24">
        <f>VLOOKUP(B23,map!B:C,2,false)</f>
        <v>29</v>
      </c>
      <c r="B23" s="25" t="str">
        <f>IFERROR(__xludf.DUMMYFUNCTION("""COMPUTED_VALUE"""),"Pittsburgh")</f>
        <v>Pittsburgh</v>
      </c>
      <c r="C23" s="26">
        <f>IFERROR(__xludf.DUMMYFUNCTION("""COMPUTED_VALUE"""),314.1)</f>
        <v>314.1</v>
      </c>
      <c r="D23" s="26">
        <f>IFERROR(__xludf.DUMMYFUNCTION("""COMPUTED_VALUE"""),309.3)</f>
        <v>309.3</v>
      </c>
      <c r="E23" s="26">
        <f>IFERROR(__xludf.DUMMYFUNCTION("""COMPUTED_VALUE"""),409.0)</f>
        <v>409</v>
      </c>
      <c r="F23" s="26">
        <f>IFERROR(__xludf.DUMMYFUNCTION("""COMPUTED_VALUE"""),327.0)</f>
        <v>327</v>
      </c>
      <c r="G23" s="26">
        <f>IFERROR(__xludf.DUMMYFUNCTION("""COMPUTED_VALUE"""),304.5)</f>
        <v>304.5</v>
      </c>
      <c r="H23" s="26">
        <f>IFERROR(__xludf.DUMMYFUNCTION("""COMPUTED_VALUE"""),305.4)</f>
        <v>305.4</v>
      </c>
    </row>
    <row r="24">
      <c r="A24" s="24">
        <f>VLOOKUP(B24,map!B:C,2,false)</f>
        <v>7</v>
      </c>
      <c r="B24" s="25" t="str">
        <f>IFERROR(__xludf.DUMMYFUNCTION("""COMPUTED_VALUE"""),"LA Chargers")</f>
        <v>LA Chargers</v>
      </c>
      <c r="C24" s="26">
        <f>IFERROR(__xludf.DUMMYFUNCTION("""COMPUTED_VALUE"""),311.1)</f>
        <v>311.1</v>
      </c>
      <c r="D24" s="26">
        <f>IFERROR(__xludf.DUMMYFUNCTION("""COMPUTED_VALUE"""),374.3)</f>
        <v>374.3</v>
      </c>
      <c r="E24" s="26">
        <f>IFERROR(__xludf.DUMMYFUNCTION("""COMPUTED_VALUE"""),378.0)</f>
        <v>378</v>
      </c>
      <c r="F24" s="26">
        <f>IFERROR(__xludf.DUMMYFUNCTION("""COMPUTED_VALUE"""),306.0)</f>
        <v>306</v>
      </c>
      <c r="G24" s="26">
        <f>IFERROR(__xludf.DUMMYFUNCTION("""COMPUTED_VALUE"""),315.0)</f>
        <v>315</v>
      </c>
      <c r="H24" s="26">
        <f>IFERROR(__xludf.DUMMYFUNCTION("""COMPUTED_VALUE"""),329.4)</f>
        <v>329.4</v>
      </c>
    </row>
    <row r="25">
      <c r="A25" s="24">
        <f>VLOOKUP(B25,map!B:C,2,false)</f>
        <v>19</v>
      </c>
      <c r="B25" s="25" t="str">
        <f>IFERROR(__xludf.DUMMYFUNCTION("""COMPUTED_VALUE"""),"NY Jets")</f>
        <v>NY Jets</v>
      </c>
      <c r="C25" s="26">
        <f>IFERROR(__xludf.DUMMYFUNCTION("""COMPUTED_VALUE"""),310.6)</f>
        <v>310.6</v>
      </c>
      <c r="D25" s="26">
        <f>IFERROR(__xludf.DUMMYFUNCTION("""COMPUTED_VALUE"""),350.7)</f>
        <v>350.7</v>
      </c>
      <c r="E25" s="26">
        <f>IFERROR(__xludf.DUMMYFUNCTION("""COMPUTED_VALUE"""),336.0)</f>
        <v>336</v>
      </c>
      <c r="F25" s="26">
        <f>IFERROR(__xludf.DUMMYFUNCTION("""COMPUTED_VALUE"""),347.0)</f>
        <v>347</v>
      </c>
      <c r="G25" s="26">
        <f>IFERROR(__xludf.DUMMYFUNCTION("""COMPUTED_VALUE"""),288.8)</f>
        <v>288.8</v>
      </c>
      <c r="H25" s="26">
        <f>IFERROR(__xludf.DUMMYFUNCTION("""COMPUTED_VALUE"""),268.6)</f>
        <v>268.6</v>
      </c>
    </row>
    <row r="26">
      <c r="A26" s="24">
        <f>VLOOKUP(B26,map!B:C,2,false)</f>
        <v>27</v>
      </c>
      <c r="B26" s="25" t="str">
        <f>IFERROR(__xludf.DUMMYFUNCTION("""COMPUTED_VALUE"""),"Denver")</f>
        <v>Denver</v>
      </c>
      <c r="C26" s="26">
        <f>IFERROR(__xludf.DUMMYFUNCTION("""COMPUTED_VALUE"""),307.3)</f>
        <v>307.3</v>
      </c>
      <c r="D26" s="26">
        <f>IFERROR(__xludf.DUMMYFUNCTION("""COMPUTED_VALUE"""),368.3)</f>
        <v>368.3</v>
      </c>
      <c r="E26" s="26">
        <f>IFERROR(__xludf.DUMMYFUNCTION("""COMPUTED_VALUE"""),400.0)</f>
        <v>400</v>
      </c>
      <c r="F26" s="26">
        <f>IFERROR(__xludf.DUMMYFUNCTION("""COMPUTED_VALUE"""),325.0)</f>
        <v>325</v>
      </c>
      <c r="G26" s="26">
        <f>IFERROR(__xludf.DUMMYFUNCTION("""COMPUTED_VALUE"""),289.5)</f>
        <v>289.5</v>
      </c>
      <c r="H26" s="26">
        <f>IFERROR(__xludf.DUMMYFUNCTION("""COMPUTED_VALUE"""),298.4)</f>
        <v>298.4</v>
      </c>
    </row>
    <row r="27">
      <c r="A27" s="24">
        <f>VLOOKUP(B27,map!B:C,2,false)</f>
        <v>31</v>
      </c>
      <c r="B27" s="25" t="str">
        <f>IFERROR(__xludf.DUMMYFUNCTION("""COMPUTED_VALUE"""),"Chicago")</f>
        <v>Chicago</v>
      </c>
      <c r="C27" s="26">
        <f>IFERROR(__xludf.DUMMYFUNCTION("""COMPUTED_VALUE"""),302.3)</f>
        <v>302.3</v>
      </c>
      <c r="D27" s="26">
        <f>IFERROR(__xludf.DUMMYFUNCTION("""COMPUTED_VALUE"""),368.0)</f>
        <v>368</v>
      </c>
      <c r="E27" s="26">
        <f>IFERROR(__xludf.DUMMYFUNCTION("""COMPUTED_VALUE"""),307.0)</f>
        <v>307</v>
      </c>
      <c r="F27" s="26">
        <f>IFERROR(__xludf.DUMMYFUNCTION("""COMPUTED_VALUE"""),278.7)</f>
        <v>278.7</v>
      </c>
      <c r="G27" s="26">
        <f>IFERROR(__xludf.DUMMYFUNCTION("""COMPUTED_VALUE"""),320.0)</f>
        <v>320</v>
      </c>
      <c r="H27" s="26">
        <f>IFERROR(__xludf.DUMMYFUNCTION("""COMPUTED_VALUE"""),323.2)</f>
        <v>323.2</v>
      </c>
    </row>
    <row r="28">
      <c r="A28" s="24">
        <f>VLOOKUP(B28,map!B:C,2,false)</f>
        <v>26</v>
      </c>
      <c r="B28" s="25" t="str">
        <f>IFERROR(__xludf.DUMMYFUNCTION("""COMPUTED_VALUE"""),"NY Giants")</f>
        <v>NY Giants</v>
      </c>
      <c r="C28" s="26">
        <f>IFERROR(__xludf.DUMMYFUNCTION("""COMPUTED_VALUE"""),290.7)</f>
        <v>290.7</v>
      </c>
      <c r="D28" s="26">
        <f>IFERROR(__xludf.DUMMYFUNCTION("""COMPUTED_VALUE"""),282.7)</f>
        <v>282.7</v>
      </c>
      <c r="E28" s="26">
        <f>IFERROR(__xludf.DUMMYFUNCTION("""COMPUTED_VALUE"""),119.0)</f>
        <v>119</v>
      </c>
      <c r="F28" s="26">
        <f>IFERROR(__xludf.DUMMYFUNCTION("""COMPUTED_VALUE"""),242.8)</f>
        <v>242.8</v>
      </c>
      <c r="G28" s="26">
        <f>IFERROR(__xludf.DUMMYFUNCTION("""COMPUTED_VALUE"""),354.7)</f>
        <v>354.7</v>
      </c>
      <c r="H28" s="26">
        <f>IFERROR(__xludf.DUMMYFUNCTION("""COMPUTED_VALUE"""),280.0)</f>
        <v>280</v>
      </c>
    </row>
    <row r="29">
      <c r="A29" s="24">
        <f>VLOOKUP(B29,map!B:C,2,false)</f>
        <v>24</v>
      </c>
      <c r="B29" s="25" t="str">
        <f>IFERROR(__xludf.DUMMYFUNCTION("""COMPUTED_VALUE"""),"Las Vegas")</f>
        <v>Las Vegas</v>
      </c>
      <c r="C29" s="26">
        <f>IFERROR(__xludf.DUMMYFUNCTION("""COMPUTED_VALUE"""),288.1)</f>
        <v>288.1</v>
      </c>
      <c r="D29" s="26">
        <f>IFERROR(__xludf.DUMMYFUNCTION("""COMPUTED_VALUE"""),273.3)</f>
        <v>273.3</v>
      </c>
      <c r="E29" s="26">
        <f>IFERROR(__xludf.DUMMYFUNCTION("""COMPUTED_VALUE"""),228.0)</f>
        <v>228</v>
      </c>
      <c r="F29" s="26">
        <f>IFERROR(__xludf.DUMMYFUNCTION("""COMPUTED_VALUE"""),275.5)</f>
        <v>275.5</v>
      </c>
      <c r="G29" s="26">
        <f>IFERROR(__xludf.DUMMYFUNCTION("""COMPUTED_VALUE"""),300.8)</f>
        <v>300.8</v>
      </c>
      <c r="H29" s="26">
        <f>IFERROR(__xludf.DUMMYFUNCTION("""COMPUTED_VALUE"""),289.5)</f>
        <v>289.5</v>
      </c>
    </row>
    <row r="30">
      <c r="A30" s="24">
        <f>VLOOKUP(B30,map!B:C,2,false)</f>
        <v>23</v>
      </c>
      <c r="B30" s="25" t="str">
        <f>IFERROR(__xludf.DUMMYFUNCTION("""COMPUTED_VALUE"""),"Carolina")</f>
        <v>Carolina</v>
      </c>
      <c r="C30" s="26">
        <f>IFERROR(__xludf.DUMMYFUNCTION("""COMPUTED_VALUE"""),281.9)</f>
        <v>281.9</v>
      </c>
      <c r="D30" s="26">
        <f>IFERROR(__xludf.DUMMYFUNCTION("""COMPUTED_VALUE"""),266.3)</f>
        <v>266.3</v>
      </c>
      <c r="E30" s="26">
        <f>IFERROR(__xludf.DUMMYFUNCTION("""COMPUTED_VALUE"""),284.0)</f>
        <v>284</v>
      </c>
      <c r="F30" s="26">
        <f>IFERROR(__xludf.DUMMYFUNCTION("""COMPUTED_VALUE"""),289.7)</f>
        <v>289.7</v>
      </c>
      <c r="G30" s="26">
        <f>IFERROR(__xludf.DUMMYFUNCTION("""COMPUTED_VALUE"""),277.2)</f>
        <v>277.2</v>
      </c>
      <c r="H30" s="26">
        <f>IFERROR(__xludf.DUMMYFUNCTION("""COMPUTED_VALUE"""),265.3)</f>
        <v>265.3</v>
      </c>
    </row>
    <row r="31">
      <c r="A31" s="24">
        <f>VLOOKUP(B31,map!B:C,2,false)</f>
        <v>32</v>
      </c>
      <c r="B31" s="25" t="str">
        <f>IFERROR(__xludf.DUMMYFUNCTION("""COMPUTED_VALUE"""),"Tennessee")</f>
        <v>Tennessee</v>
      </c>
      <c r="C31" s="26">
        <f>IFERROR(__xludf.DUMMYFUNCTION("""COMPUTED_VALUE"""),281.6)</f>
        <v>281.6</v>
      </c>
      <c r="D31" s="26">
        <f>IFERROR(__xludf.DUMMYFUNCTION("""COMPUTED_VALUE"""),315.3)</f>
        <v>315.3</v>
      </c>
      <c r="E31" s="26">
        <f>IFERROR(__xludf.DUMMYFUNCTION("""COMPUTED_VALUE"""),416.0)</f>
        <v>416</v>
      </c>
      <c r="F31" s="26">
        <f>IFERROR(__xludf.DUMMYFUNCTION("""COMPUTED_VALUE"""),259.3)</f>
        <v>259.3</v>
      </c>
      <c r="G31" s="26">
        <f>IFERROR(__xludf.DUMMYFUNCTION("""COMPUTED_VALUE"""),298.3)</f>
        <v>298.3</v>
      </c>
      <c r="H31" s="26">
        <f>IFERROR(__xludf.DUMMYFUNCTION("""COMPUTED_VALUE"""),289.0)</f>
        <v>289</v>
      </c>
    </row>
    <row r="32">
      <c r="A32" s="24">
        <f>VLOOKUP(B32,map!B:C,2,false)</f>
        <v>16</v>
      </c>
      <c r="B32" s="25" t="str">
        <f>IFERROR(__xludf.DUMMYFUNCTION("""COMPUTED_VALUE"""),"Cleveland")</f>
        <v>Cleveland</v>
      </c>
      <c r="C32" s="26">
        <f>IFERROR(__xludf.DUMMYFUNCTION("""COMPUTED_VALUE"""),272.3)</f>
        <v>272.3</v>
      </c>
      <c r="D32" s="26">
        <f>IFERROR(__xludf.DUMMYFUNCTION("""COMPUTED_VALUE"""),327.0)</f>
        <v>327</v>
      </c>
      <c r="E32" s="26">
        <f>IFERROR(__xludf.DUMMYFUNCTION("""COMPUTED_VALUE"""),401.0)</f>
        <v>401</v>
      </c>
      <c r="F32" s="26">
        <f>IFERROR(__xludf.DUMMYFUNCTION("""COMPUTED_VALUE"""),296.0)</f>
        <v>296</v>
      </c>
      <c r="G32" s="26">
        <f>IFERROR(__xludf.DUMMYFUNCTION("""COMPUTED_VALUE"""),248.5)</f>
        <v>248.5</v>
      </c>
      <c r="H32" s="26">
        <f>IFERROR(__xludf.DUMMYFUNCTION("""COMPUTED_VALUE"""),335.2)</f>
        <v>335.2</v>
      </c>
    </row>
    <row r="33">
      <c r="A33" s="24">
        <f>VLOOKUP(B33,map!B:C,2,false)</f>
        <v>22</v>
      </c>
      <c r="B33" s="25" t="str">
        <f>IFERROR(__xludf.DUMMYFUNCTION("""COMPUTED_VALUE"""),"New England")</f>
        <v>New England</v>
      </c>
      <c r="C33" s="26">
        <f>IFERROR(__xludf.DUMMYFUNCTION("""COMPUTED_VALUE"""),260.9)</f>
        <v>260.9</v>
      </c>
      <c r="D33" s="26">
        <f>IFERROR(__xludf.DUMMYFUNCTION("""COMPUTED_VALUE"""),277.7)</f>
        <v>277.7</v>
      </c>
      <c r="E33" s="26">
        <f>IFERROR(__xludf.DUMMYFUNCTION("""COMPUTED_VALUE"""),247.0)</f>
        <v>247</v>
      </c>
      <c r="F33" s="26">
        <f>IFERROR(__xludf.DUMMYFUNCTION("""COMPUTED_VALUE"""),286.8)</f>
        <v>286.8</v>
      </c>
      <c r="G33" s="26">
        <f>IFERROR(__xludf.DUMMYFUNCTION("""COMPUTED_VALUE"""),235.0)</f>
        <v>235</v>
      </c>
      <c r="H33" s="26">
        <f>IFERROR(__xludf.DUMMYFUNCTION("""COMPUTED_VALUE"""),276.2)</f>
        <v>276.2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7"/>
      <c r="B1" s="21" t="str">
        <f>IFERROR(__xludf.DUMMYFUNCTION("QUERY(IMPORTHTML(""https://www.teamrankings.com/nfl/stat/plays-per-game?date="" &amp; TEXT(TODAY(),""yyyy-mm-dd""), ""table"", 1, ""en_US""), ""SELECT Col2, Col3, Col4, Col5, Col6, Col7, Col8"")
"),"Team")</f>
        <v>Team</v>
      </c>
      <c r="C1" s="22" t="str">
        <f>IFERROR(__xludf.DUMMYFUNCTION("""COMPUTED_VALUE"""),"2024")</f>
        <v>2024</v>
      </c>
      <c r="D1" s="23" t="str">
        <f>IFERROR(__xludf.DUMMYFUNCTION("""COMPUTED_VALUE"""),"Last 3")</f>
        <v>Last 3</v>
      </c>
      <c r="E1" s="23" t="str">
        <f>IFERROR(__xludf.DUMMYFUNCTION("""COMPUTED_VALUE"""),"Last 1")</f>
        <v>Last 1</v>
      </c>
      <c r="F1" s="22" t="str">
        <f>IFERROR(__xludf.DUMMYFUNCTION("""COMPUTED_VALUE"""),"Home")</f>
        <v>Home</v>
      </c>
      <c r="G1" s="22" t="str">
        <f>IFERROR(__xludf.DUMMYFUNCTION("""COMPUTED_VALUE"""),"Away")</f>
        <v>Away</v>
      </c>
      <c r="H1" s="22" t="str">
        <f>IFERROR(__xludf.DUMMYFUNCTION("""COMPUTED_VALUE"""),"2023")</f>
        <v>2023</v>
      </c>
    </row>
    <row r="2">
      <c r="A2" s="24">
        <f>VLOOKUP(B2,map!B:C,2,false)</f>
        <v>17</v>
      </c>
      <c r="B2" s="25" t="str">
        <f>IFERROR(__xludf.DUMMYFUNCTION("""COMPUTED_VALUE"""),"Houston")</f>
        <v>Houston</v>
      </c>
      <c r="C2" s="26">
        <f>IFERROR(__xludf.DUMMYFUNCTION("""COMPUTED_VALUE"""),65.4)</f>
        <v>65.4</v>
      </c>
      <c r="D2" s="26">
        <f>IFERROR(__xludf.DUMMYFUNCTION("""COMPUTED_VALUE"""),62.7)</f>
        <v>62.7</v>
      </c>
      <c r="E2" s="26">
        <f>IFERROR(__xludf.DUMMYFUNCTION("""COMPUTED_VALUE"""),68.0)</f>
        <v>68</v>
      </c>
      <c r="F2" s="26">
        <f>IFERROR(__xludf.DUMMYFUNCTION("""COMPUTED_VALUE"""),66.0)</f>
        <v>66</v>
      </c>
      <c r="G2" s="26">
        <f>IFERROR(__xludf.DUMMYFUNCTION("""COMPUTED_VALUE"""),64.8)</f>
        <v>64.8</v>
      </c>
      <c r="H2" s="26">
        <f>IFERROR(__xludf.DUMMYFUNCTION("""COMPUTED_VALUE"""),61.8)</f>
        <v>61.8</v>
      </c>
    </row>
    <row r="3">
      <c r="A3" s="24">
        <f>VLOOKUP(B3,map!B:C,2,false)</f>
        <v>10</v>
      </c>
      <c r="B3" s="25" t="str">
        <f>IFERROR(__xludf.DUMMYFUNCTION("""COMPUTED_VALUE"""),"Miami")</f>
        <v>Miami</v>
      </c>
      <c r="C3" s="26">
        <f>IFERROR(__xludf.DUMMYFUNCTION("""COMPUTED_VALUE"""),65.3)</f>
        <v>65.3</v>
      </c>
      <c r="D3" s="26">
        <f>IFERROR(__xludf.DUMMYFUNCTION("""COMPUTED_VALUE"""),69.0)</f>
        <v>69</v>
      </c>
      <c r="E3" s="26">
        <f>IFERROR(__xludf.DUMMYFUNCTION("""COMPUTED_VALUE"""),64.0)</f>
        <v>64</v>
      </c>
      <c r="F3" s="26">
        <f>IFERROR(__xludf.DUMMYFUNCTION("""COMPUTED_VALUE"""),64.5)</f>
        <v>64.5</v>
      </c>
      <c r="G3" s="26">
        <f>IFERROR(__xludf.DUMMYFUNCTION("""COMPUTED_VALUE"""),66.3)</f>
        <v>66.3</v>
      </c>
      <c r="H3" s="26">
        <f>IFERROR(__xludf.DUMMYFUNCTION("""COMPUTED_VALUE"""),61.8)</f>
        <v>61.8</v>
      </c>
    </row>
    <row r="4">
      <c r="A4" s="24">
        <f>VLOOKUP(B4,map!B:C,2,false)</f>
        <v>2</v>
      </c>
      <c r="B4" s="25" t="str">
        <f>IFERROR(__xludf.DUMMYFUNCTION("""COMPUTED_VALUE"""),"Kansas City")</f>
        <v>Kansas City</v>
      </c>
      <c r="C4" s="26">
        <f>IFERROR(__xludf.DUMMYFUNCTION("""COMPUTED_VALUE"""),65.0)</f>
        <v>65</v>
      </c>
      <c r="D4" s="26">
        <f>IFERROR(__xludf.DUMMYFUNCTION("""COMPUTED_VALUE"""),72.0)</f>
        <v>72</v>
      </c>
      <c r="E4" s="26">
        <f>IFERROR(__xludf.DUMMYFUNCTION("""COMPUTED_VALUE"""),68.0)</f>
        <v>68</v>
      </c>
      <c r="F4" s="26">
        <f>IFERROR(__xludf.DUMMYFUNCTION("""COMPUTED_VALUE"""),63.0)</f>
        <v>63</v>
      </c>
      <c r="G4" s="26">
        <f>IFERROR(__xludf.DUMMYFUNCTION("""COMPUTED_VALUE"""),66.5)</f>
        <v>66.5</v>
      </c>
      <c r="H4" s="26">
        <f>IFERROR(__xludf.DUMMYFUNCTION("""COMPUTED_VALUE"""),64.5)</f>
        <v>64.5</v>
      </c>
    </row>
    <row r="5">
      <c r="A5" s="24">
        <f>VLOOKUP(B5,map!B:C,2,false)</f>
        <v>26</v>
      </c>
      <c r="B5" s="25" t="str">
        <f>IFERROR(__xludf.DUMMYFUNCTION("""COMPUTED_VALUE"""),"NY Giants")</f>
        <v>NY Giants</v>
      </c>
      <c r="C5" s="26">
        <f>IFERROR(__xludf.DUMMYFUNCTION("""COMPUTED_VALUE"""),64.7)</f>
        <v>64.7</v>
      </c>
      <c r="D5" s="26">
        <f>IFERROR(__xludf.DUMMYFUNCTION("""COMPUTED_VALUE"""),66.7)</f>
        <v>66.7</v>
      </c>
      <c r="E5" s="26">
        <f>IFERROR(__xludf.DUMMYFUNCTION("""COMPUTED_VALUE"""),55.0)</f>
        <v>55</v>
      </c>
      <c r="F5" s="26">
        <f>IFERROR(__xludf.DUMMYFUNCTION("""COMPUTED_VALUE"""),65.5)</f>
        <v>65.5</v>
      </c>
      <c r="G5" s="26">
        <f>IFERROR(__xludf.DUMMYFUNCTION("""COMPUTED_VALUE"""),63.7)</f>
        <v>63.7</v>
      </c>
      <c r="H5" s="26">
        <f>IFERROR(__xludf.DUMMYFUNCTION("""COMPUTED_VALUE"""),62.2)</f>
        <v>62.2</v>
      </c>
    </row>
    <row r="6">
      <c r="A6" s="24">
        <f>VLOOKUP(B6,map!B:C,2,false)</f>
        <v>12</v>
      </c>
      <c r="B6" s="25" t="str">
        <f>IFERROR(__xludf.DUMMYFUNCTION("""COMPUTED_VALUE"""),"Philadelphia")</f>
        <v>Philadelphia</v>
      </c>
      <c r="C6" s="26">
        <f>IFERROR(__xludf.DUMMYFUNCTION("""COMPUTED_VALUE"""),64.4)</f>
        <v>64.4</v>
      </c>
      <c r="D6" s="26">
        <f>IFERROR(__xludf.DUMMYFUNCTION("""COMPUTED_VALUE"""),62.0)</f>
        <v>62</v>
      </c>
      <c r="E6" s="26">
        <f>IFERROR(__xludf.DUMMYFUNCTION("""COMPUTED_VALUE"""),59.0)</f>
        <v>59</v>
      </c>
      <c r="F6" s="26">
        <f>IFERROR(__xludf.DUMMYFUNCTION("""COMPUTED_VALUE"""),65.0)</f>
        <v>65</v>
      </c>
      <c r="G6" s="26">
        <f>IFERROR(__xludf.DUMMYFUNCTION("""COMPUTED_VALUE"""),64.2)</f>
        <v>64.2</v>
      </c>
      <c r="H6" s="26">
        <f>IFERROR(__xludf.DUMMYFUNCTION("""COMPUTED_VALUE"""),64.7)</f>
        <v>64.7</v>
      </c>
    </row>
    <row r="7">
      <c r="A7" s="24">
        <f>VLOOKUP(B7,map!B:C,2,false)</f>
        <v>14</v>
      </c>
      <c r="B7" s="25" t="str">
        <f>IFERROR(__xludf.DUMMYFUNCTION("""COMPUTED_VALUE"""),"Tampa Bay")</f>
        <v>Tampa Bay</v>
      </c>
      <c r="C7" s="26">
        <f>IFERROR(__xludf.DUMMYFUNCTION("""COMPUTED_VALUE"""),63.9)</f>
        <v>63.9</v>
      </c>
      <c r="D7" s="26">
        <f>IFERROR(__xludf.DUMMYFUNCTION("""COMPUTED_VALUE"""),74.0)</f>
        <v>74</v>
      </c>
      <c r="E7" s="26">
        <f>IFERROR(__xludf.DUMMYFUNCTION("""COMPUTED_VALUE"""),72.0)</f>
        <v>72</v>
      </c>
      <c r="F7" s="26">
        <f>IFERROR(__xludf.DUMMYFUNCTION("""COMPUTED_VALUE"""),68.2)</f>
        <v>68.2</v>
      </c>
      <c r="G7" s="26">
        <f>IFERROR(__xludf.DUMMYFUNCTION("""COMPUTED_VALUE"""),56.7)</f>
        <v>56.7</v>
      </c>
      <c r="H7" s="26">
        <f>IFERROR(__xludf.DUMMYFUNCTION("""COMPUTED_VALUE"""),61.9)</f>
        <v>61.9</v>
      </c>
    </row>
    <row r="8">
      <c r="A8" s="24">
        <f>VLOOKUP(B8,map!B:C,2,false)</f>
        <v>31</v>
      </c>
      <c r="B8" s="25" t="str">
        <f>IFERROR(__xludf.DUMMYFUNCTION("""COMPUTED_VALUE"""),"Chicago")</f>
        <v>Chicago</v>
      </c>
      <c r="C8" s="26">
        <f>IFERROR(__xludf.DUMMYFUNCTION("""COMPUTED_VALUE"""),63.9)</f>
        <v>63.9</v>
      </c>
      <c r="D8" s="26">
        <f>IFERROR(__xludf.DUMMYFUNCTION("""COMPUTED_VALUE"""),63.3)</f>
        <v>63.3</v>
      </c>
      <c r="E8" s="26">
        <f>IFERROR(__xludf.DUMMYFUNCTION("""COMPUTED_VALUE"""),60.0)</f>
        <v>60</v>
      </c>
      <c r="F8" s="26">
        <f>IFERROR(__xludf.DUMMYFUNCTION("""COMPUTED_VALUE"""),58.7)</f>
        <v>58.7</v>
      </c>
      <c r="G8" s="26">
        <f>IFERROR(__xludf.DUMMYFUNCTION("""COMPUTED_VALUE"""),67.8)</f>
        <v>67.8</v>
      </c>
      <c r="H8" s="26">
        <f>IFERROR(__xludf.DUMMYFUNCTION("""COMPUTED_VALUE"""),64.5)</f>
        <v>64.5</v>
      </c>
    </row>
    <row r="9">
      <c r="A9" s="24">
        <f>VLOOKUP(B9,map!B:C,2,false)</f>
        <v>16</v>
      </c>
      <c r="B9" s="25" t="str">
        <f>IFERROR(__xludf.DUMMYFUNCTION("""COMPUTED_VALUE"""),"Cleveland")</f>
        <v>Cleveland</v>
      </c>
      <c r="C9" s="26">
        <f>IFERROR(__xludf.DUMMYFUNCTION("""COMPUTED_VALUE"""),63.8)</f>
        <v>63.8</v>
      </c>
      <c r="D9" s="26">
        <f>IFERROR(__xludf.DUMMYFUNCTION("""COMPUTED_VALUE"""),65.3)</f>
        <v>65.3</v>
      </c>
      <c r="E9" s="26">
        <f>IFERROR(__xludf.DUMMYFUNCTION("""COMPUTED_VALUE"""),66.0)</f>
        <v>66</v>
      </c>
      <c r="F9" s="26">
        <f>IFERROR(__xludf.DUMMYFUNCTION("""COMPUTED_VALUE"""),69.0)</f>
        <v>69</v>
      </c>
      <c r="G9" s="26">
        <f>IFERROR(__xludf.DUMMYFUNCTION("""COMPUTED_VALUE"""),58.5)</f>
        <v>58.5</v>
      </c>
      <c r="H9" s="26">
        <f>IFERROR(__xludf.DUMMYFUNCTION("""COMPUTED_VALUE"""),69.8)</f>
        <v>69.8</v>
      </c>
    </row>
    <row r="10">
      <c r="A10" s="24">
        <f>VLOOKUP(B10,map!B:C,2,false)</f>
        <v>1</v>
      </c>
      <c r="B10" s="25" t="str">
        <f>IFERROR(__xludf.DUMMYFUNCTION("""COMPUTED_VALUE"""),"Dallas")</f>
        <v>Dallas</v>
      </c>
      <c r="C10" s="26">
        <f>IFERROR(__xludf.DUMMYFUNCTION("""COMPUTED_VALUE"""),63.7)</f>
        <v>63.7</v>
      </c>
      <c r="D10" s="26">
        <f>IFERROR(__xludf.DUMMYFUNCTION("""COMPUTED_VALUE"""),66.3)</f>
        <v>66.3</v>
      </c>
      <c r="E10" s="26">
        <f>IFERROR(__xludf.DUMMYFUNCTION("""COMPUTED_VALUE"""),59.0)</f>
        <v>59</v>
      </c>
      <c r="F10" s="26">
        <f>IFERROR(__xludf.DUMMYFUNCTION("""COMPUTED_VALUE"""),67.0)</f>
        <v>67</v>
      </c>
      <c r="G10" s="26">
        <f>IFERROR(__xludf.DUMMYFUNCTION("""COMPUTED_VALUE"""),61.3)</f>
        <v>61.3</v>
      </c>
      <c r="H10" s="26">
        <f>IFERROR(__xludf.DUMMYFUNCTION("""COMPUTED_VALUE"""),67.3)</f>
        <v>67.3</v>
      </c>
    </row>
    <row r="11">
      <c r="A11" s="24">
        <f>VLOOKUP(B11,map!B:C,2,false)</f>
        <v>15</v>
      </c>
      <c r="B11" s="25" t="str">
        <f>IFERROR(__xludf.DUMMYFUNCTION("""COMPUTED_VALUE"""),"Green Bay")</f>
        <v>Green Bay</v>
      </c>
      <c r="C11" s="26">
        <f>IFERROR(__xludf.DUMMYFUNCTION("""COMPUTED_VALUE"""),63.6)</f>
        <v>63.6</v>
      </c>
      <c r="D11" s="26">
        <f>IFERROR(__xludf.DUMMYFUNCTION("""COMPUTED_VALUE"""),64.3)</f>
        <v>64.3</v>
      </c>
      <c r="E11" s="26">
        <f>IFERROR(__xludf.DUMMYFUNCTION("""COMPUTED_VALUE"""),67.0)</f>
        <v>67</v>
      </c>
      <c r="F11" s="26">
        <f>IFERROR(__xludf.DUMMYFUNCTION("""COMPUTED_VALUE"""),66.8)</f>
        <v>66.8</v>
      </c>
      <c r="G11" s="26">
        <f>IFERROR(__xludf.DUMMYFUNCTION("""COMPUTED_VALUE"""),60.5)</f>
        <v>60.5</v>
      </c>
      <c r="H11" s="26">
        <f>IFERROR(__xludf.DUMMYFUNCTION("""COMPUTED_VALUE"""),61.5)</f>
        <v>61.5</v>
      </c>
    </row>
    <row r="12">
      <c r="A12" s="24">
        <f>VLOOKUP(B12,map!B:C,2,false)</f>
        <v>30</v>
      </c>
      <c r="B12" s="25" t="str">
        <f>IFERROR(__xludf.DUMMYFUNCTION("""COMPUTED_VALUE"""),"Baltimore")</f>
        <v>Baltimore</v>
      </c>
      <c r="C12" s="26">
        <f>IFERROR(__xludf.DUMMYFUNCTION("""COMPUTED_VALUE"""),63.6)</f>
        <v>63.6</v>
      </c>
      <c r="D12" s="26">
        <f>IFERROR(__xludf.DUMMYFUNCTION("""COMPUTED_VALUE"""),60.3)</f>
        <v>60.3</v>
      </c>
      <c r="E12" s="26">
        <f>IFERROR(__xludf.DUMMYFUNCTION("""COMPUTED_VALUE"""),62.0)</f>
        <v>62</v>
      </c>
      <c r="F12" s="26">
        <f>IFERROR(__xludf.DUMMYFUNCTION("""COMPUTED_VALUE"""),60.7)</f>
        <v>60.7</v>
      </c>
      <c r="G12" s="26">
        <f>IFERROR(__xludf.DUMMYFUNCTION("""COMPUTED_VALUE"""),65.4)</f>
        <v>65.4</v>
      </c>
      <c r="H12" s="26">
        <f>IFERROR(__xludf.DUMMYFUNCTION("""COMPUTED_VALUE"""),63.2)</f>
        <v>63.2</v>
      </c>
    </row>
    <row r="13">
      <c r="A13" s="24">
        <f>VLOOKUP(B13,map!B:C,2,false)</f>
        <v>25</v>
      </c>
      <c r="B13" s="25" t="str">
        <f>IFERROR(__xludf.DUMMYFUNCTION("""COMPUTED_VALUE"""),"San Francisco")</f>
        <v>San Francisco</v>
      </c>
      <c r="C13" s="26">
        <f>IFERROR(__xludf.DUMMYFUNCTION("""COMPUTED_VALUE"""),63.3)</f>
        <v>63.3</v>
      </c>
      <c r="D13" s="26">
        <f>IFERROR(__xludf.DUMMYFUNCTION("""COMPUTED_VALUE"""),60.3)</f>
        <v>60.3</v>
      </c>
      <c r="E13" s="26">
        <f>IFERROR(__xludf.DUMMYFUNCTION("""COMPUTED_VALUE"""),64.0)</f>
        <v>64</v>
      </c>
      <c r="F13" s="26">
        <f>IFERROR(__xludf.DUMMYFUNCTION("""COMPUTED_VALUE"""),62.6)</f>
        <v>62.6</v>
      </c>
      <c r="G13" s="26">
        <f>IFERROR(__xludf.DUMMYFUNCTION("""COMPUTED_VALUE"""),64.3)</f>
        <v>64.3</v>
      </c>
      <c r="H13" s="26">
        <f>IFERROR(__xludf.DUMMYFUNCTION("""COMPUTED_VALUE"""),61.3)</f>
        <v>61.3</v>
      </c>
    </row>
    <row r="14">
      <c r="A14" s="24">
        <f>VLOOKUP(B14,map!B:C,2,false)</f>
        <v>29</v>
      </c>
      <c r="B14" s="25" t="str">
        <f>IFERROR(__xludf.DUMMYFUNCTION("""COMPUTED_VALUE"""),"Pittsburgh")</f>
        <v>Pittsburgh</v>
      </c>
      <c r="C14" s="26">
        <f>IFERROR(__xludf.DUMMYFUNCTION("""COMPUTED_VALUE"""),63.1)</f>
        <v>63.1</v>
      </c>
      <c r="D14" s="26">
        <f>IFERROR(__xludf.DUMMYFUNCTION("""COMPUTED_VALUE"""),61.7)</f>
        <v>61.7</v>
      </c>
      <c r="E14" s="26">
        <f>IFERROR(__xludf.DUMMYFUNCTION("""COMPUTED_VALUE"""),66.0)</f>
        <v>66</v>
      </c>
      <c r="F14" s="26">
        <f>IFERROR(__xludf.DUMMYFUNCTION("""COMPUTED_VALUE"""),62.7)</f>
        <v>62.7</v>
      </c>
      <c r="G14" s="26">
        <f>IFERROR(__xludf.DUMMYFUNCTION("""COMPUTED_VALUE"""),63.5)</f>
        <v>63.5</v>
      </c>
      <c r="H14" s="26">
        <f>IFERROR(__xludf.DUMMYFUNCTION("""COMPUTED_VALUE"""),60.7)</f>
        <v>60.7</v>
      </c>
    </row>
    <row r="15">
      <c r="A15" s="24">
        <f>VLOOKUP(B15,map!B:C,2,false)</f>
        <v>8</v>
      </c>
      <c r="B15" s="25" t="str">
        <f>IFERROR(__xludf.DUMMYFUNCTION("""COMPUTED_VALUE"""),"Washington")</f>
        <v>Washington</v>
      </c>
      <c r="C15" s="26">
        <f>IFERROR(__xludf.DUMMYFUNCTION("""COMPUTED_VALUE"""),63.1)</f>
        <v>63.1</v>
      </c>
      <c r="D15" s="26">
        <f>IFERROR(__xludf.DUMMYFUNCTION("""COMPUTED_VALUE"""),63.7)</f>
        <v>63.7</v>
      </c>
      <c r="E15" s="26">
        <f>IFERROR(__xludf.DUMMYFUNCTION("""COMPUTED_VALUE"""),72.0)</f>
        <v>72</v>
      </c>
      <c r="F15" s="26">
        <f>IFERROR(__xludf.DUMMYFUNCTION("""COMPUTED_VALUE"""),67.3)</f>
        <v>67.3</v>
      </c>
      <c r="G15" s="26">
        <f>IFERROR(__xludf.DUMMYFUNCTION("""COMPUTED_VALUE"""),59.0)</f>
        <v>59</v>
      </c>
      <c r="H15" s="26">
        <f>IFERROR(__xludf.DUMMYFUNCTION("""COMPUTED_VALUE"""),62.4)</f>
        <v>62.4</v>
      </c>
    </row>
    <row r="16">
      <c r="A16" s="24">
        <f>VLOOKUP(B16,map!B:C,2,false)</f>
        <v>13</v>
      </c>
      <c r="B16" s="25" t="str">
        <f>IFERROR(__xludf.DUMMYFUNCTION("""COMPUTED_VALUE"""),"Seattle")</f>
        <v>Seattle</v>
      </c>
      <c r="C16" s="26">
        <f>IFERROR(__xludf.DUMMYFUNCTION("""COMPUTED_VALUE"""),62.3)</f>
        <v>62.3</v>
      </c>
      <c r="D16" s="26">
        <f>IFERROR(__xludf.DUMMYFUNCTION("""COMPUTED_VALUE"""),58.7)</f>
        <v>58.7</v>
      </c>
      <c r="E16" s="26">
        <f>IFERROR(__xludf.DUMMYFUNCTION("""COMPUTED_VALUE"""),47.0)</f>
        <v>47</v>
      </c>
      <c r="F16" s="26">
        <f>IFERROR(__xludf.DUMMYFUNCTION("""COMPUTED_VALUE"""),59.6)</f>
        <v>59.6</v>
      </c>
      <c r="G16" s="26">
        <f>IFERROR(__xludf.DUMMYFUNCTION("""COMPUTED_VALUE"""),66.7)</f>
        <v>66.7</v>
      </c>
      <c r="H16" s="26">
        <f>IFERROR(__xludf.DUMMYFUNCTION("""COMPUTED_VALUE"""),58.5)</f>
        <v>58.5</v>
      </c>
    </row>
    <row r="17">
      <c r="A17" s="24">
        <f>VLOOKUP(B17,map!B:C,2,false)</f>
        <v>28</v>
      </c>
      <c r="B17" s="25" t="str">
        <f>IFERROR(__xludf.DUMMYFUNCTION("""COMPUTED_VALUE"""),"Atlanta")</f>
        <v>Atlanta</v>
      </c>
      <c r="C17" s="26">
        <f>IFERROR(__xludf.DUMMYFUNCTION("""COMPUTED_VALUE"""),61.9)</f>
        <v>61.9</v>
      </c>
      <c r="D17" s="26">
        <f>IFERROR(__xludf.DUMMYFUNCTION("""COMPUTED_VALUE"""),66.3)</f>
        <v>66.3</v>
      </c>
      <c r="E17" s="26">
        <f>IFERROR(__xludf.DUMMYFUNCTION("""COMPUTED_VALUE"""),60.0)</f>
        <v>60</v>
      </c>
      <c r="F17" s="26">
        <f>IFERROR(__xludf.DUMMYFUNCTION("""COMPUTED_VALUE"""),61.8)</f>
        <v>61.8</v>
      </c>
      <c r="G17" s="26">
        <f>IFERROR(__xludf.DUMMYFUNCTION("""COMPUTED_VALUE"""),62.0)</f>
        <v>62</v>
      </c>
      <c r="H17" s="26">
        <f>IFERROR(__xludf.DUMMYFUNCTION("""COMPUTED_VALUE"""),64.2)</f>
        <v>64.2</v>
      </c>
    </row>
    <row r="18">
      <c r="A18" s="24">
        <f>VLOOKUP(B18,map!B:C,2,false)</f>
        <v>18</v>
      </c>
      <c r="B18" s="25" t="str">
        <f>IFERROR(__xludf.DUMMYFUNCTION("""COMPUTED_VALUE"""),"LA Rams")</f>
        <v>LA Rams</v>
      </c>
      <c r="C18" s="26">
        <f>IFERROR(__xludf.DUMMYFUNCTION("""COMPUTED_VALUE"""),61.9)</f>
        <v>61.9</v>
      </c>
      <c r="D18" s="26">
        <f>IFERROR(__xludf.DUMMYFUNCTION("""COMPUTED_VALUE"""),64.7)</f>
        <v>64.7</v>
      </c>
      <c r="E18" s="26">
        <f>IFERROR(__xludf.DUMMYFUNCTION("""COMPUTED_VALUE"""),66.0)</f>
        <v>66</v>
      </c>
      <c r="F18" s="26">
        <f>IFERROR(__xludf.DUMMYFUNCTION("""COMPUTED_VALUE"""),62.3)</f>
        <v>62.3</v>
      </c>
      <c r="G18" s="26">
        <f>IFERROR(__xludf.DUMMYFUNCTION("""COMPUTED_VALUE"""),61.3)</f>
        <v>61.3</v>
      </c>
      <c r="H18" s="26">
        <f>IFERROR(__xludf.DUMMYFUNCTION("""COMPUTED_VALUE"""),63.8)</f>
        <v>63.8</v>
      </c>
    </row>
    <row r="19">
      <c r="A19" s="24">
        <f>VLOOKUP(B19,map!B:C,2,false)</f>
        <v>9</v>
      </c>
      <c r="B19" s="25" t="str">
        <f>IFERROR(__xludf.DUMMYFUNCTION("""COMPUTED_VALUE"""),"New Orleans")</f>
        <v>New Orleans</v>
      </c>
      <c r="C19" s="26">
        <f>IFERROR(__xludf.DUMMYFUNCTION("""COMPUTED_VALUE"""),61.8)</f>
        <v>61.8</v>
      </c>
      <c r="D19" s="26">
        <f>IFERROR(__xludf.DUMMYFUNCTION("""COMPUTED_VALUE"""),66.7)</f>
        <v>66.7</v>
      </c>
      <c r="E19" s="26">
        <f>IFERROR(__xludf.DUMMYFUNCTION("""COMPUTED_VALUE"""),68.0)</f>
        <v>68</v>
      </c>
      <c r="F19" s="26">
        <f>IFERROR(__xludf.DUMMYFUNCTION("""COMPUTED_VALUE"""),62.3)</f>
        <v>62.3</v>
      </c>
      <c r="G19" s="26">
        <f>IFERROR(__xludf.DUMMYFUNCTION("""COMPUTED_VALUE"""),61.3)</f>
        <v>61.3</v>
      </c>
      <c r="H19" s="26">
        <f>IFERROR(__xludf.DUMMYFUNCTION("""COMPUTED_VALUE"""),65.9)</f>
        <v>65.9</v>
      </c>
    </row>
    <row r="20">
      <c r="A20" s="24">
        <f>VLOOKUP(B20,map!B:C,2,false)</f>
        <v>5</v>
      </c>
      <c r="B20" s="25" t="str">
        <f>IFERROR(__xludf.DUMMYFUNCTION("""COMPUTED_VALUE"""),"Detroit")</f>
        <v>Detroit</v>
      </c>
      <c r="C20" s="26">
        <f>IFERROR(__xludf.DUMMYFUNCTION("""COMPUTED_VALUE"""),61.6)</f>
        <v>61.6</v>
      </c>
      <c r="D20" s="26">
        <f>IFERROR(__xludf.DUMMYFUNCTION("""COMPUTED_VALUE"""),56.3)</f>
        <v>56.3</v>
      </c>
      <c r="E20" s="26">
        <f>IFERROR(__xludf.DUMMYFUNCTION("""COMPUTED_VALUE"""),47.0)</f>
        <v>47</v>
      </c>
      <c r="F20" s="26">
        <f>IFERROR(__xludf.DUMMYFUNCTION("""COMPUTED_VALUE"""),60.3)</f>
        <v>60.3</v>
      </c>
      <c r="G20" s="26">
        <f>IFERROR(__xludf.DUMMYFUNCTION("""COMPUTED_VALUE"""),63.3)</f>
        <v>63.3</v>
      </c>
      <c r="H20" s="26">
        <f>IFERROR(__xludf.DUMMYFUNCTION("""COMPUTED_VALUE"""),66.8)</f>
        <v>66.8</v>
      </c>
    </row>
    <row r="21">
      <c r="A21" s="24">
        <f>VLOOKUP(B21,map!B:C,2,false)</f>
        <v>32</v>
      </c>
      <c r="B21" s="25" t="str">
        <f>IFERROR(__xludf.DUMMYFUNCTION("""COMPUTED_VALUE"""),"Tennessee")</f>
        <v>Tennessee</v>
      </c>
      <c r="C21" s="26">
        <f>IFERROR(__xludf.DUMMYFUNCTION("""COMPUTED_VALUE"""),61.3)</f>
        <v>61.3</v>
      </c>
      <c r="D21" s="26">
        <f>IFERROR(__xludf.DUMMYFUNCTION("""COMPUTED_VALUE"""),64.3)</f>
        <v>64.3</v>
      </c>
      <c r="E21" s="26">
        <f>IFERROR(__xludf.DUMMYFUNCTION("""COMPUTED_VALUE"""),71.0)</f>
        <v>71</v>
      </c>
      <c r="F21" s="26">
        <f>IFERROR(__xludf.DUMMYFUNCTION("""COMPUTED_VALUE"""),56.0)</f>
        <v>56</v>
      </c>
      <c r="G21" s="26">
        <f>IFERROR(__xludf.DUMMYFUNCTION("""COMPUTED_VALUE"""),65.3)</f>
        <v>65.3</v>
      </c>
      <c r="H21" s="26">
        <f>IFERROR(__xludf.DUMMYFUNCTION("""COMPUTED_VALUE"""),58.9)</f>
        <v>58.9</v>
      </c>
    </row>
    <row r="22">
      <c r="A22" s="24">
        <f>VLOOKUP(B22,map!B:C,2,false)</f>
        <v>27</v>
      </c>
      <c r="B22" s="25" t="str">
        <f>IFERROR(__xludf.DUMMYFUNCTION("""COMPUTED_VALUE"""),"Denver")</f>
        <v>Denver</v>
      </c>
      <c r="C22" s="26">
        <f>IFERROR(__xludf.DUMMYFUNCTION("""COMPUTED_VALUE"""),61.3)</f>
        <v>61.3</v>
      </c>
      <c r="D22" s="26">
        <f>IFERROR(__xludf.DUMMYFUNCTION("""COMPUTED_VALUE"""),62.3)</f>
        <v>62.3</v>
      </c>
      <c r="E22" s="26">
        <f>IFERROR(__xludf.DUMMYFUNCTION("""COMPUTED_VALUE"""),73.0)</f>
        <v>73</v>
      </c>
      <c r="F22" s="26">
        <f>IFERROR(__xludf.DUMMYFUNCTION("""COMPUTED_VALUE"""),60.0)</f>
        <v>60</v>
      </c>
      <c r="G22" s="26">
        <f>IFERROR(__xludf.DUMMYFUNCTION("""COMPUTED_VALUE"""),62.5)</f>
        <v>62.5</v>
      </c>
      <c r="H22" s="26">
        <f>IFERROR(__xludf.DUMMYFUNCTION("""COMPUTED_VALUE"""),59.8)</f>
        <v>59.8</v>
      </c>
    </row>
    <row r="23">
      <c r="A23" s="24">
        <f>VLOOKUP(B23,map!B:C,2,false)</f>
        <v>24</v>
      </c>
      <c r="B23" s="25" t="str">
        <f>IFERROR(__xludf.DUMMYFUNCTION("""COMPUTED_VALUE"""),"Las Vegas")</f>
        <v>Las Vegas</v>
      </c>
      <c r="C23" s="26">
        <f>IFERROR(__xludf.DUMMYFUNCTION("""COMPUTED_VALUE"""),61.1)</f>
        <v>61.1</v>
      </c>
      <c r="D23" s="26">
        <f>IFERROR(__xludf.DUMMYFUNCTION("""COMPUTED_VALUE"""),63.7)</f>
        <v>63.7</v>
      </c>
      <c r="E23" s="26">
        <f>IFERROR(__xludf.DUMMYFUNCTION("""COMPUTED_VALUE"""),56.0)</f>
        <v>56</v>
      </c>
      <c r="F23" s="26">
        <f>IFERROR(__xludf.DUMMYFUNCTION("""COMPUTED_VALUE"""),57.5)</f>
        <v>57.5</v>
      </c>
      <c r="G23" s="26">
        <f>IFERROR(__xludf.DUMMYFUNCTION("""COMPUTED_VALUE"""),64.8)</f>
        <v>64.8</v>
      </c>
      <c r="H23" s="26">
        <f>IFERROR(__xludf.DUMMYFUNCTION("""COMPUTED_VALUE"""),59.4)</f>
        <v>59.4</v>
      </c>
    </row>
    <row r="24">
      <c r="A24" s="24">
        <f>VLOOKUP(B24,map!B:C,2,false)</f>
        <v>19</v>
      </c>
      <c r="B24" s="25" t="str">
        <f>IFERROR(__xludf.DUMMYFUNCTION("""COMPUTED_VALUE"""),"NY Jets")</f>
        <v>NY Jets</v>
      </c>
      <c r="C24" s="26">
        <f>IFERROR(__xludf.DUMMYFUNCTION("""COMPUTED_VALUE"""),60.9)</f>
        <v>60.9</v>
      </c>
      <c r="D24" s="26">
        <f>IFERROR(__xludf.DUMMYFUNCTION("""COMPUTED_VALUE"""),57.0)</f>
        <v>57</v>
      </c>
      <c r="E24" s="26">
        <f>IFERROR(__xludf.DUMMYFUNCTION("""COMPUTED_VALUE"""),57.0)</f>
        <v>57</v>
      </c>
      <c r="F24" s="26">
        <f>IFERROR(__xludf.DUMMYFUNCTION("""COMPUTED_VALUE"""),66.3)</f>
        <v>66.3</v>
      </c>
      <c r="G24" s="26">
        <f>IFERROR(__xludf.DUMMYFUNCTION("""COMPUTED_VALUE"""),57.6)</f>
        <v>57.6</v>
      </c>
      <c r="H24" s="26">
        <f>IFERROR(__xludf.DUMMYFUNCTION("""COMPUTED_VALUE"""),61.9)</f>
        <v>61.9</v>
      </c>
    </row>
    <row r="25">
      <c r="A25" s="24">
        <f>VLOOKUP(B25,map!B:C,2,false)</f>
        <v>7</v>
      </c>
      <c r="B25" s="25" t="str">
        <f>IFERROR(__xludf.DUMMYFUNCTION("""COMPUTED_VALUE"""),"LA Chargers")</f>
        <v>LA Chargers</v>
      </c>
      <c r="C25" s="26">
        <f>IFERROR(__xludf.DUMMYFUNCTION("""COMPUTED_VALUE"""),60.0)</f>
        <v>60</v>
      </c>
      <c r="D25" s="26">
        <f>IFERROR(__xludf.DUMMYFUNCTION("""COMPUTED_VALUE"""),67.7)</f>
        <v>67.7</v>
      </c>
      <c r="E25" s="26">
        <f>IFERROR(__xludf.DUMMYFUNCTION("""COMPUTED_VALUE"""),64.0)</f>
        <v>64</v>
      </c>
      <c r="F25" s="26">
        <f>IFERROR(__xludf.DUMMYFUNCTION("""COMPUTED_VALUE"""),57.0)</f>
        <v>57</v>
      </c>
      <c r="G25" s="26">
        <f>IFERROR(__xludf.DUMMYFUNCTION("""COMPUTED_VALUE"""),62.3)</f>
        <v>62.3</v>
      </c>
      <c r="H25" s="26">
        <f>IFERROR(__xludf.DUMMYFUNCTION("""COMPUTED_VALUE"""),65.1)</f>
        <v>65.1</v>
      </c>
    </row>
    <row r="26">
      <c r="A26" s="24">
        <f>VLOOKUP(B26,map!B:C,2,false)</f>
        <v>22</v>
      </c>
      <c r="B26" s="25" t="str">
        <f>IFERROR(__xludf.DUMMYFUNCTION("""COMPUTED_VALUE"""),"New England")</f>
        <v>New England</v>
      </c>
      <c r="C26" s="26">
        <f>IFERROR(__xludf.DUMMYFUNCTION("""COMPUTED_VALUE"""),59.4)</f>
        <v>59.4</v>
      </c>
      <c r="D26" s="26">
        <f>IFERROR(__xludf.DUMMYFUNCTION("""COMPUTED_VALUE"""),60.0)</f>
        <v>60</v>
      </c>
      <c r="E26" s="26">
        <f>IFERROR(__xludf.DUMMYFUNCTION("""COMPUTED_VALUE"""),63.0)</f>
        <v>63</v>
      </c>
      <c r="F26" s="26">
        <f>IFERROR(__xludf.DUMMYFUNCTION("""COMPUTED_VALUE"""),61.8)</f>
        <v>61.8</v>
      </c>
      <c r="G26" s="26">
        <f>IFERROR(__xludf.DUMMYFUNCTION("""COMPUTED_VALUE"""),57.0)</f>
        <v>57</v>
      </c>
      <c r="H26" s="26">
        <f>IFERROR(__xludf.DUMMYFUNCTION("""COMPUTED_VALUE"""),60.0)</f>
        <v>60</v>
      </c>
    </row>
    <row r="27">
      <c r="A27" s="24">
        <f>VLOOKUP(B27,map!B:C,2,false)</f>
        <v>20</v>
      </c>
      <c r="B27" s="25" t="str">
        <f>IFERROR(__xludf.DUMMYFUNCTION("""COMPUTED_VALUE"""),"Indianapolis")</f>
        <v>Indianapolis</v>
      </c>
      <c r="C27" s="26">
        <f>IFERROR(__xludf.DUMMYFUNCTION("""COMPUTED_VALUE"""),59.1)</f>
        <v>59.1</v>
      </c>
      <c r="D27" s="26">
        <f>IFERROR(__xludf.DUMMYFUNCTION("""COMPUTED_VALUE"""),63.3)</f>
        <v>63.3</v>
      </c>
      <c r="E27" s="26">
        <f>IFERROR(__xludf.DUMMYFUNCTION("""COMPUTED_VALUE"""),63.0)</f>
        <v>63</v>
      </c>
      <c r="F27" s="26">
        <f>IFERROR(__xludf.DUMMYFUNCTION("""COMPUTED_VALUE"""),55.5)</f>
        <v>55.5</v>
      </c>
      <c r="G27" s="26">
        <f>IFERROR(__xludf.DUMMYFUNCTION("""COMPUTED_VALUE"""),62.8)</f>
        <v>62.8</v>
      </c>
      <c r="H27" s="26">
        <f>IFERROR(__xludf.DUMMYFUNCTION("""COMPUTED_VALUE"""),64.4)</f>
        <v>64.4</v>
      </c>
    </row>
    <row r="28">
      <c r="A28" s="24">
        <f>VLOOKUP(B28,map!B:C,2,false)</f>
        <v>23</v>
      </c>
      <c r="B28" s="25" t="str">
        <f>IFERROR(__xludf.DUMMYFUNCTION("""COMPUTED_VALUE"""),"Carolina")</f>
        <v>Carolina</v>
      </c>
      <c r="C28" s="26">
        <f>IFERROR(__xludf.DUMMYFUNCTION("""COMPUTED_VALUE"""),58.0)</f>
        <v>58</v>
      </c>
      <c r="D28" s="26">
        <f>IFERROR(__xludf.DUMMYFUNCTION("""COMPUTED_VALUE"""),55.0)</f>
        <v>55</v>
      </c>
      <c r="E28" s="26">
        <f>IFERROR(__xludf.DUMMYFUNCTION("""COMPUTED_VALUE"""),60.0)</f>
        <v>60</v>
      </c>
      <c r="F28" s="26">
        <f>IFERROR(__xludf.DUMMYFUNCTION("""COMPUTED_VALUE"""),59.3)</f>
        <v>59.3</v>
      </c>
      <c r="G28" s="26">
        <f>IFERROR(__xludf.DUMMYFUNCTION("""COMPUTED_VALUE"""),57.2)</f>
        <v>57.2</v>
      </c>
      <c r="H28" s="26">
        <f>IFERROR(__xludf.DUMMYFUNCTION("""COMPUTED_VALUE"""),64.5)</f>
        <v>64.5</v>
      </c>
    </row>
    <row r="29">
      <c r="A29" s="24">
        <f>VLOOKUP(B29,map!B:C,2,false)</f>
        <v>6</v>
      </c>
      <c r="B29" s="25" t="str">
        <f>IFERROR(__xludf.DUMMYFUNCTION("""COMPUTED_VALUE"""),"Jacksonville")</f>
        <v>Jacksonville</v>
      </c>
      <c r="C29" s="26">
        <f>IFERROR(__xludf.DUMMYFUNCTION("""COMPUTED_VALUE"""),57.9)</f>
        <v>57.9</v>
      </c>
      <c r="D29" s="26">
        <f>IFERROR(__xludf.DUMMYFUNCTION("""COMPUTED_VALUE"""),58.3)</f>
        <v>58.3</v>
      </c>
      <c r="E29" s="26">
        <f>IFERROR(__xludf.DUMMYFUNCTION("""COMPUTED_VALUE"""),56.0)</f>
        <v>56</v>
      </c>
      <c r="F29" s="26">
        <f>IFERROR(__xludf.DUMMYFUNCTION("""COMPUTED_VALUE"""),56.0)</f>
        <v>56</v>
      </c>
      <c r="G29" s="26">
        <f>IFERROR(__xludf.DUMMYFUNCTION("""COMPUTED_VALUE"""),59.0)</f>
        <v>59</v>
      </c>
      <c r="H29" s="26">
        <f>IFERROR(__xludf.DUMMYFUNCTION("""COMPUTED_VALUE"""),65.5)</f>
        <v>65.5</v>
      </c>
    </row>
    <row r="30">
      <c r="A30" s="24">
        <f>VLOOKUP(B30,map!B:C,2,false)</f>
        <v>21</v>
      </c>
      <c r="B30" s="25" t="str">
        <f>IFERROR(__xludf.DUMMYFUNCTION("""COMPUTED_VALUE"""),"Arizona")</f>
        <v>Arizona</v>
      </c>
      <c r="C30" s="26">
        <f>IFERROR(__xludf.DUMMYFUNCTION("""COMPUTED_VALUE"""),57.8)</f>
        <v>57.8</v>
      </c>
      <c r="D30" s="26">
        <f>IFERROR(__xludf.DUMMYFUNCTION("""COMPUTED_VALUE"""),57.3)</f>
        <v>57.3</v>
      </c>
      <c r="E30" s="26">
        <f>IFERROR(__xludf.DUMMYFUNCTION("""COMPUTED_VALUE"""),62.0)</f>
        <v>62</v>
      </c>
      <c r="F30" s="26">
        <f>IFERROR(__xludf.DUMMYFUNCTION("""COMPUTED_VALUE"""),57.0)</f>
        <v>57</v>
      </c>
      <c r="G30" s="26">
        <f>IFERROR(__xludf.DUMMYFUNCTION("""COMPUTED_VALUE"""),58.5)</f>
        <v>58.5</v>
      </c>
      <c r="H30" s="26">
        <f>IFERROR(__xludf.DUMMYFUNCTION("""COMPUTED_VALUE"""),62.8)</f>
        <v>62.8</v>
      </c>
    </row>
    <row r="31">
      <c r="A31" s="24">
        <f>VLOOKUP(B31,map!B:C,2,false)</f>
        <v>11</v>
      </c>
      <c r="B31" s="25" t="str">
        <f>IFERROR(__xludf.DUMMYFUNCTION("""COMPUTED_VALUE"""),"Buffalo")</f>
        <v>Buffalo</v>
      </c>
      <c r="C31" s="26">
        <f>IFERROR(__xludf.DUMMYFUNCTION("""COMPUTED_VALUE"""),57.8)</f>
        <v>57.8</v>
      </c>
      <c r="D31" s="26">
        <f>IFERROR(__xludf.DUMMYFUNCTION("""COMPUTED_VALUE"""),61.0)</f>
        <v>61</v>
      </c>
      <c r="E31" s="26">
        <f>IFERROR(__xludf.DUMMYFUNCTION("""COMPUTED_VALUE"""),69.0)</f>
        <v>69</v>
      </c>
      <c r="F31" s="26">
        <f>IFERROR(__xludf.DUMMYFUNCTION("""COMPUTED_VALUE"""),57.3)</f>
        <v>57.3</v>
      </c>
      <c r="G31" s="26">
        <f>IFERROR(__xludf.DUMMYFUNCTION("""COMPUTED_VALUE"""),58.0)</f>
        <v>58</v>
      </c>
      <c r="H31" s="26">
        <f>IFERROR(__xludf.DUMMYFUNCTION("""COMPUTED_VALUE"""),66.3)</f>
        <v>66.3</v>
      </c>
    </row>
    <row r="32">
      <c r="A32" s="24">
        <f>VLOOKUP(B32,map!B:C,2,false)</f>
        <v>4</v>
      </c>
      <c r="B32" s="25" t="str">
        <f>IFERROR(__xludf.DUMMYFUNCTION("""COMPUTED_VALUE"""),"Cincinnati")</f>
        <v>Cincinnati</v>
      </c>
      <c r="C32" s="26">
        <f>IFERROR(__xludf.DUMMYFUNCTION("""COMPUTED_VALUE"""),57.4)</f>
        <v>57.4</v>
      </c>
      <c r="D32" s="26">
        <f>IFERROR(__xludf.DUMMYFUNCTION("""COMPUTED_VALUE"""),54.3)</f>
        <v>54.3</v>
      </c>
      <c r="E32" s="26">
        <f>IFERROR(__xludf.DUMMYFUNCTION("""COMPUTED_VALUE"""),58.0)</f>
        <v>58</v>
      </c>
      <c r="F32" s="26">
        <f>IFERROR(__xludf.DUMMYFUNCTION("""COMPUTED_VALUE"""),57.8)</f>
        <v>57.8</v>
      </c>
      <c r="G32" s="26">
        <f>IFERROR(__xludf.DUMMYFUNCTION("""COMPUTED_VALUE"""),57.0)</f>
        <v>57</v>
      </c>
      <c r="H32" s="26">
        <f>IFERROR(__xludf.DUMMYFUNCTION("""COMPUTED_VALUE"""),61.6)</f>
        <v>61.6</v>
      </c>
    </row>
    <row r="33">
      <c r="A33" s="24">
        <f>VLOOKUP(B33,map!B:C,2,false)</f>
        <v>3</v>
      </c>
      <c r="B33" s="25" t="str">
        <f>IFERROR(__xludf.DUMMYFUNCTION("""COMPUTED_VALUE"""),"Minnesota")</f>
        <v>Minnesota</v>
      </c>
      <c r="C33" s="26">
        <f>IFERROR(__xludf.DUMMYFUNCTION("""COMPUTED_VALUE"""),56.7)</f>
        <v>56.7</v>
      </c>
      <c r="D33" s="26">
        <f>IFERROR(__xludf.DUMMYFUNCTION("""COMPUTED_VALUE"""),56.0)</f>
        <v>56</v>
      </c>
      <c r="E33" s="26">
        <f>IFERROR(__xludf.DUMMYFUNCTION("""COMPUTED_VALUE"""),50.0)</f>
        <v>50</v>
      </c>
      <c r="F33" s="26">
        <f>IFERROR(__xludf.DUMMYFUNCTION("""COMPUTED_VALUE"""),55.3)</f>
        <v>55.3</v>
      </c>
      <c r="G33" s="26">
        <f>IFERROR(__xludf.DUMMYFUNCTION("""COMPUTED_VALUE"""),57.8)</f>
        <v>57.8</v>
      </c>
      <c r="H33" s="26">
        <f>IFERROR(__xludf.DUMMYFUNCTION("""COMPUTED_VALUE"""),63.0)</f>
        <v>63</v>
      </c>
    </row>
  </sheetData>
  <drawing r:id="rId1"/>
</worksheet>
</file>