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" sheetId="1" r:id="rId4"/>
    <sheet state="visible" name="map" sheetId="2" r:id="rId5"/>
    <sheet state="visible" name="ats" sheetId="3" r:id="rId6"/>
    <sheet state="visible" name="totals" sheetId="4" r:id="rId7"/>
    <sheet state="visible" name="data" sheetId="5" r:id="rId8"/>
    <sheet state="visible" name="ppp" sheetId="6" r:id="rId9"/>
    <sheet state="visible" name="oppp" sheetId="7" r:id="rId10"/>
    <sheet state="visible" name="ppg" sheetId="8" r:id="rId11"/>
    <sheet state="visible" name="oppg" sheetId="9" r:id="rId12"/>
    <sheet state="visible" name="ypp" sheetId="10" r:id="rId13"/>
    <sheet state="visible" name="oypp" sheetId="11" r:id="rId14"/>
    <sheet state="visible" name="ypg" sheetId="12" r:id="rId15"/>
    <sheet state="visible" name="oypg" sheetId="13" r:id="rId16"/>
    <sheet state="visible" name="pts_allowed" sheetId="14" r:id="rId17"/>
    <sheet state="visible" name="pts" sheetId="15" r:id="rId18"/>
  </sheets>
  <definedNames/>
  <calcPr/>
</workbook>
</file>

<file path=xl/sharedStrings.xml><?xml version="1.0" encoding="utf-8"?>
<sst xmlns="http://schemas.openxmlformats.org/spreadsheetml/2006/main" count="489" uniqueCount="434">
  <si>
    <t>h_map</t>
  </si>
  <si>
    <t>a_map</t>
  </si>
  <si>
    <t>Game ID</t>
  </si>
  <si>
    <t>home</t>
  </si>
  <si>
    <t>away</t>
  </si>
  <si>
    <t>home expected plays</t>
  </si>
  <si>
    <t>Away expected plays</t>
  </si>
  <si>
    <t>home predicted ppp</t>
  </si>
  <si>
    <t>away predicted ppp</t>
  </si>
  <si>
    <t>home predicted pts/yds</t>
  </si>
  <si>
    <t>away predicted pts/yds</t>
  </si>
  <si>
    <t>home avg points</t>
  </si>
  <si>
    <t>away avg points</t>
  </si>
  <si>
    <t>Home predicted points</t>
  </si>
  <si>
    <t>Away predicted points</t>
  </si>
  <si>
    <t>predicted total</t>
  </si>
  <si>
    <t>line</t>
  </si>
  <si>
    <t>delta ref</t>
  </si>
  <si>
    <t>delta</t>
  </si>
  <si>
    <t>total bet</t>
  </si>
  <si>
    <t>home margin</t>
  </si>
  <si>
    <t>home spread</t>
  </si>
  <si>
    <t>spread delta</t>
  </si>
  <si>
    <t>spread bet</t>
  </si>
  <si>
    <t>Dallas</t>
  </si>
  <si>
    <t>Dallas Cowboys</t>
  </si>
  <si>
    <t>Kansas City</t>
  </si>
  <si>
    <t>Kansas City Chiefs</t>
  </si>
  <si>
    <t>Minnesota</t>
  </si>
  <si>
    <t>Minnesota Vikings</t>
  </si>
  <si>
    <t>Cincinnati</t>
  </si>
  <si>
    <t>Cincinnati Bengals</t>
  </si>
  <si>
    <t>Detroit</t>
  </si>
  <si>
    <t>Detroit Lions</t>
  </si>
  <si>
    <t>Jacksonville</t>
  </si>
  <si>
    <t>Jacksonville Jaguars</t>
  </si>
  <si>
    <t>LA Chargers</t>
  </si>
  <si>
    <t>Los Angeles Chargers</t>
  </si>
  <si>
    <t>Washington</t>
  </si>
  <si>
    <t>Washington Commanders</t>
  </si>
  <si>
    <t>New Orleans</t>
  </si>
  <si>
    <t>New Orleans Saints</t>
  </si>
  <si>
    <t>Miami</t>
  </si>
  <si>
    <t>Miami Dolphins</t>
  </si>
  <si>
    <t>Buffalo</t>
  </si>
  <si>
    <t>Buffalo Bills</t>
  </si>
  <si>
    <t>Philadelphia</t>
  </si>
  <si>
    <t>Philadelphia Eagles</t>
  </si>
  <si>
    <t>Seattle</t>
  </si>
  <si>
    <t>Seattle Seahawks</t>
  </si>
  <si>
    <t>Tampa Bay</t>
  </si>
  <si>
    <t>Tampa Bay Buccaneers</t>
  </si>
  <si>
    <t>Green Bay</t>
  </si>
  <si>
    <t>Green Bay Packers</t>
  </si>
  <si>
    <t>Cleveland</t>
  </si>
  <si>
    <t>Cleveland Browns</t>
  </si>
  <si>
    <t>Houston</t>
  </si>
  <si>
    <t>Houston Texans</t>
  </si>
  <si>
    <t>LA Rams</t>
  </si>
  <si>
    <t>Los Angeles Rams</t>
  </si>
  <si>
    <t>NY Jets</t>
  </si>
  <si>
    <t>New York Jets</t>
  </si>
  <si>
    <t>Indianapolis</t>
  </si>
  <si>
    <t>Indianapolis Colts</t>
  </si>
  <si>
    <t>Arizona</t>
  </si>
  <si>
    <t>Arizona Cardinals</t>
  </si>
  <si>
    <t>New England</t>
  </si>
  <si>
    <t>New England Patriots</t>
  </si>
  <si>
    <t>Carolina</t>
  </si>
  <si>
    <t>Carolina Panthers</t>
  </si>
  <si>
    <t>Las Vegas</t>
  </si>
  <si>
    <t>Las Vegas Raiders</t>
  </si>
  <si>
    <t>San Francisco</t>
  </si>
  <si>
    <t>San Francisco 49ers</t>
  </si>
  <si>
    <t>NY Giants</t>
  </si>
  <si>
    <t>New York Giants</t>
  </si>
  <si>
    <t>Denver</t>
  </si>
  <si>
    <t>Denver Broncos</t>
  </si>
  <si>
    <t>Atlanta</t>
  </si>
  <si>
    <t>Atlanta Falcons</t>
  </si>
  <si>
    <t>Pittsburgh</t>
  </si>
  <si>
    <t>Pittsburgh Steelers</t>
  </si>
  <si>
    <t>Baltimore</t>
  </si>
  <si>
    <t>Baltimore Ravens</t>
  </si>
  <si>
    <t>Chicago</t>
  </si>
  <si>
    <t>Chicago Bears</t>
  </si>
  <si>
    <t>Tennessee</t>
  </si>
  <si>
    <t>Tennessee Titans</t>
  </si>
  <si>
    <t>Team</t>
  </si>
  <si>
    <t>Points per Play (PPP)</t>
  </si>
  <si>
    <t>Opponent Points per Play (Opp_PPP)</t>
  </si>
  <si>
    <t>Plays Per Game</t>
  </si>
  <si>
    <t>Opp_Plays Per Game</t>
  </si>
  <si>
    <t>points from play</t>
  </si>
  <si>
    <t>opp points from play</t>
  </si>
  <si>
    <t>yards per point</t>
  </si>
  <si>
    <t>opp yards per point</t>
  </si>
  <si>
    <t>yards/gm</t>
  </si>
  <si>
    <t>opp yards/gm</t>
  </si>
  <si>
    <t>avg pts</t>
  </si>
  <si>
    <t>avg pts allowed</t>
  </si>
  <si>
    <t>points from yards</t>
  </si>
  <si>
    <t>opp points from yards</t>
  </si>
  <si>
    <t>avg points</t>
  </si>
  <si>
    <t>opp avg points</t>
  </si>
  <si>
    <t>PPP^2</t>
  </si>
  <si>
    <t>Opp_PPP^2</t>
  </si>
  <si>
    <t>PPP * Opp_PPP</t>
  </si>
  <si>
    <t>Predicted Score (Polynomial Formula)</t>
  </si>
  <si>
    <t>Rank</t>
  </si>
  <si>
    <t>Last 3</t>
  </si>
  <si>
    <t>Last 1</t>
  </si>
  <si>
    <t>Home</t>
  </si>
  <si>
    <t>Away</t>
  </si>
  <si>
    <r>
      <rPr>
        <rFont val="&quot;Helvetica Neue&quot;, Helvetica, Arial, sans-serif"/>
        <color rgb="FF1155CC"/>
        <sz val="11.0"/>
        <u/>
      </rPr>
      <t>Buffalo</t>
    </r>
  </si>
  <si>
    <r>
      <rPr>
        <rFont val="&quot;Helvetica Neue&quot;, Helvetica, Arial, sans-serif"/>
        <color rgb="FF1155CC"/>
        <sz val="11.0"/>
        <u/>
      </rPr>
      <t>Washington</t>
    </r>
  </si>
  <si>
    <r>
      <rPr>
        <rFont val="&quot;Helvetica Neue&quot;, Helvetica, Arial, sans-serif"/>
        <color rgb="FF1155CC"/>
        <sz val="11.0"/>
        <u/>
      </rPr>
      <t>Baltimore</t>
    </r>
  </si>
  <si>
    <r>
      <rPr>
        <rFont val="&quot;Helvetica Neue&quot;, Helvetica, Arial, sans-serif"/>
        <color rgb="FF1155CC"/>
        <sz val="11.0"/>
        <u/>
      </rPr>
      <t>Tampa Bay</t>
    </r>
  </si>
  <si>
    <r>
      <rPr>
        <rFont val="&quot;Helvetica Neue&quot;, Helvetica, Arial, sans-serif"/>
        <color rgb="FF1155CC"/>
        <sz val="11.0"/>
        <u/>
      </rPr>
      <t>Detroit</t>
    </r>
  </si>
  <si>
    <r>
      <rPr>
        <rFont val="&quot;Helvetica Neue&quot;, Helvetica, Arial, sans-serif"/>
        <color rgb="FF1155CC"/>
        <sz val="11.0"/>
        <u/>
      </rPr>
      <t>Minnesota</t>
    </r>
  </si>
  <si>
    <r>
      <rPr>
        <rFont val="&quot;Helvetica Neue&quot;, Helvetica, Arial, sans-serif"/>
        <color rgb="FF1155CC"/>
        <sz val="11.0"/>
        <u/>
      </rPr>
      <t>Cincinnati</t>
    </r>
  </si>
  <si>
    <r>
      <rPr>
        <rFont val="&quot;Helvetica Neue&quot;, Helvetica, Arial, sans-serif"/>
        <color rgb="FF1155CC"/>
        <sz val="11.0"/>
        <u/>
      </rPr>
      <t>Green Bay</t>
    </r>
  </si>
  <si>
    <r>
      <rPr>
        <rFont val="&quot;Helvetica Neue&quot;, Helvetica, Arial, sans-serif"/>
        <color rgb="FF1155CC"/>
        <sz val="11.0"/>
        <u/>
      </rPr>
      <t>New Orleans</t>
    </r>
  </si>
  <si>
    <r>
      <rPr>
        <rFont val="&quot;Helvetica Neue&quot;, Helvetica, Arial, sans-serif"/>
        <color rgb="FF1155CC"/>
        <sz val="11.0"/>
        <u/>
      </rPr>
      <t>San Francisco</t>
    </r>
  </si>
  <si>
    <r>
      <rPr>
        <rFont val="&quot;Helvetica Neue&quot;, Helvetica, Arial, sans-serif"/>
        <color rgb="FF1155CC"/>
        <sz val="11.0"/>
        <u/>
      </rPr>
      <t>Seattle</t>
    </r>
  </si>
  <si>
    <r>
      <rPr>
        <rFont val="&quot;Helvetica Neue&quot;, Helvetica, Arial, sans-serif"/>
        <color rgb="FF1155CC"/>
        <sz val="11.0"/>
        <u/>
      </rPr>
      <t>Chicago</t>
    </r>
  </si>
  <si>
    <r>
      <rPr>
        <rFont val="&quot;Helvetica Neue&quot;, Helvetica, Arial, sans-serif"/>
        <color rgb="FF1155CC"/>
        <sz val="11.0"/>
        <u/>
      </rPr>
      <t>Indianapolis</t>
    </r>
  </si>
  <si>
    <r>
      <rPr>
        <rFont val="&quot;Helvetica Neue&quot;, Helvetica, Arial, sans-serif"/>
        <color rgb="FF1155CC"/>
        <sz val="11.0"/>
        <u/>
      </rPr>
      <t>Kansas City</t>
    </r>
  </si>
  <si>
    <r>
      <rPr>
        <rFont val="&quot;Helvetica Neue&quot;, Helvetica, Arial, sans-serif"/>
        <color rgb="FF1155CC"/>
        <sz val="11.0"/>
        <u/>
      </rPr>
      <t>Arizona</t>
    </r>
  </si>
  <si>
    <r>
      <rPr>
        <rFont val="&quot;Helvetica Neue&quot;, Helvetica, Arial, sans-serif"/>
        <color rgb="FF1155CC"/>
        <sz val="11.0"/>
        <u/>
      </rPr>
      <t>Atlanta</t>
    </r>
  </si>
  <si>
    <r>
      <rPr>
        <rFont val="&quot;Helvetica Neue&quot;, Helvetica, Arial, sans-serif"/>
        <color rgb="FF1155CC"/>
        <sz val="11.0"/>
        <u/>
      </rPr>
      <t>Pittsburgh</t>
    </r>
  </si>
  <si>
    <r>
      <rPr>
        <rFont val="&quot;Helvetica Neue&quot;, Helvetica, Arial, sans-serif"/>
        <color rgb="FF1155CC"/>
        <sz val="11.0"/>
        <u/>
      </rPr>
      <t>Houston</t>
    </r>
  </si>
  <si>
    <r>
      <rPr>
        <rFont val="&quot;Helvetica Neue&quot;, Helvetica, Arial, sans-serif"/>
        <color rgb="FF1155CC"/>
        <sz val="11.0"/>
        <u/>
      </rPr>
      <t>Jacksonville</t>
    </r>
  </si>
  <si>
    <r>
      <rPr>
        <rFont val="&quot;Helvetica Neue&quot;, Helvetica, Arial, sans-serif"/>
        <color rgb="FF1155CC"/>
        <sz val="11.0"/>
        <u/>
      </rPr>
      <t>Denver</t>
    </r>
  </si>
  <si>
    <r>
      <rPr>
        <rFont val="&quot;Helvetica Neue&quot;, Helvetica, Arial, sans-serif"/>
        <color rgb="FF1155CC"/>
        <sz val="11.0"/>
        <u/>
      </rPr>
      <t>Philadelphia</t>
    </r>
  </si>
  <si>
    <r>
      <rPr>
        <rFont val="&quot;Helvetica Neue&quot;, Helvetica, Arial, sans-serif"/>
        <color rgb="FF1155CC"/>
        <sz val="11.0"/>
        <u/>
      </rPr>
      <t>LA Rams</t>
    </r>
  </si>
  <si>
    <r>
      <rPr>
        <rFont val="&quot;Helvetica Neue&quot;, Helvetica, Arial, sans-serif"/>
        <color rgb="FF1155CC"/>
        <sz val="11.0"/>
        <u/>
      </rPr>
      <t>Dallas</t>
    </r>
  </si>
  <si>
    <r>
      <rPr>
        <rFont val="&quot;Helvetica Neue&quot;, Helvetica, Arial, sans-serif"/>
        <color rgb="FF1155CC"/>
        <sz val="11.0"/>
        <u/>
      </rPr>
      <t>LA Chargers</t>
    </r>
  </si>
  <si>
    <r>
      <rPr>
        <rFont val="&quot;Helvetica Neue&quot;, Helvetica, Arial, sans-serif"/>
        <color rgb="FF1155CC"/>
        <sz val="11.0"/>
        <u/>
      </rPr>
      <t>NY Jets</t>
    </r>
  </si>
  <si>
    <r>
      <rPr>
        <rFont val="&quot;Helvetica Neue&quot;, Helvetica, Arial, sans-serif"/>
        <color rgb="FF1155CC"/>
        <sz val="11.0"/>
        <u/>
      </rPr>
      <t>Tennessee</t>
    </r>
  </si>
  <si>
    <r>
      <rPr>
        <rFont val="&quot;Helvetica Neue&quot;, Helvetica, Arial, sans-serif"/>
        <color rgb="FF1155CC"/>
        <sz val="11.0"/>
        <u/>
      </rPr>
      <t>Las Vegas</t>
    </r>
  </si>
  <si>
    <r>
      <rPr>
        <rFont val="&quot;Helvetica Neue&quot;, Helvetica, Arial, sans-serif"/>
        <color rgb="FF1155CC"/>
        <sz val="11.0"/>
        <u/>
      </rPr>
      <t>Carolina</t>
    </r>
  </si>
  <si>
    <r>
      <rPr>
        <rFont val="&quot;Helvetica Neue&quot;, Helvetica, Arial, sans-serif"/>
        <color rgb="FF1155CC"/>
        <sz val="11.0"/>
        <u/>
      </rPr>
      <t>Cleveland</t>
    </r>
  </si>
  <si>
    <r>
      <rPr>
        <rFont val="&quot;Helvetica Neue&quot;, Helvetica, Arial, sans-serif"/>
        <color rgb="FF1155CC"/>
        <sz val="11.0"/>
        <u/>
      </rPr>
      <t>New England</t>
    </r>
  </si>
  <si>
    <r>
      <rPr>
        <rFont val="&quot;Helvetica Neue&quot;, Helvetica, Arial, sans-serif"/>
        <color rgb="FF1155CC"/>
        <sz val="11.0"/>
        <u/>
      </rPr>
      <t>NY Giants</t>
    </r>
  </si>
  <si>
    <r>
      <rPr>
        <rFont val="&quot;Helvetica Neue&quot;, Helvetica, Arial, sans-serif"/>
        <color rgb="FF1155CC"/>
        <sz val="11.0"/>
        <u/>
      </rPr>
      <t>Miami</t>
    </r>
  </si>
  <si>
    <r>
      <rPr>
        <rFont val="&quot;Helvetica Neue&quot;, Helvetica, Arial, sans-serif"/>
        <color rgb="FF1155CC"/>
        <sz val="11.0"/>
        <u/>
      </rPr>
      <t>Denver</t>
    </r>
  </si>
  <si>
    <r>
      <rPr>
        <rFont val="&quot;Helvetica Neue&quot;, Helvetica, Arial, sans-serif"/>
        <color rgb="FF1155CC"/>
        <sz val="11.0"/>
        <u/>
      </rPr>
      <t>LA Chargers</t>
    </r>
  </si>
  <si>
    <r>
      <rPr>
        <rFont val="&quot;Helvetica Neue&quot;, Helvetica, Arial, sans-serif"/>
        <color rgb="FF1155CC"/>
        <sz val="11.0"/>
        <u/>
      </rPr>
      <t>Pittsburgh</t>
    </r>
  </si>
  <si>
    <r>
      <rPr>
        <rFont val="&quot;Helvetica Neue&quot;, Helvetica, Arial, sans-serif"/>
        <color rgb="FF1155CC"/>
        <sz val="11.0"/>
        <u/>
      </rPr>
      <t>Chicago</t>
    </r>
  </si>
  <si>
    <r>
      <rPr>
        <rFont val="&quot;Helvetica Neue&quot;, Helvetica, Arial, sans-serif"/>
        <color rgb="FF1155CC"/>
        <sz val="11.0"/>
        <u/>
      </rPr>
      <t>Kansas City</t>
    </r>
  </si>
  <si>
    <r>
      <rPr>
        <rFont val="&quot;Helvetica Neue&quot;, Helvetica, Arial, sans-serif"/>
        <color rgb="FF1155CC"/>
        <sz val="11.0"/>
        <u/>
      </rPr>
      <t>Minnesota</t>
    </r>
  </si>
  <si>
    <r>
      <rPr>
        <rFont val="&quot;Helvetica Neue&quot;, Helvetica, Arial, sans-serif"/>
        <color rgb="FF1155CC"/>
        <sz val="11.0"/>
        <u/>
      </rPr>
      <t>Buffalo</t>
    </r>
  </si>
  <si>
    <r>
      <rPr>
        <rFont val="&quot;Helvetica Neue&quot;, Helvetica, Arial, sans-serif"/>
        <color rgb="FF1155CC"/>
        <sz val="11.0"/>
        <u/>
      </rPr>
      <t>Indianapolis</t>
    </r>
  </si>
  <si>
    <r>
      <rPr>
        <rFont val="&quot;Helvetica Neue&quot;, Helvetica, Arial, sans-serif"/>
        <color rgb="FF1155CC"/>
        <sz val="11.0"/>
        <u/>
      </rPr>
      <t>Detroit</t>
    </r>
  </si>
  <si>
    <r>
      <rPr>
        <rFont val="&quot;Helvetica Neue&quot;, Helvetica, Arial, sans-serif"/>
        <color rgb="FF1155CC"/>
        <sz val="11.0"/>
        <u/>
      </rPr>
      <t>Philadelphia</t>
    </r>
  </si>
  <si>
    <r>
      <rPr>
        <rFont val="&quot;Helvetica Neue&quot;, Helvetica, Arial, sans-serif"/>
        <color rgb="FF1155CC"/>
        <sz val="11.0"/>
        <u/>
      </rPr>
      <t>Green Bay</t>
    </r>
  </si>
  <si>
    <r>
      <rPr>
        <rFont val="&quot;Helvetica Neue&quot;, Helvetica, Arial, sans-serif"/>
        <color rgb="FF1155CC"/>
        <sz val="11.0"/>
        <u/>
      </rPr>
      <t>NY Jets</t>
    </r>
  </si>
  <si>
    <r>
      <rPr>
        <rFont val="&quot;Helvetica Neue&quot;, Helvetica, Arial, sans-serif"/>
        <color rgb="FF1155CC"/>
        <sz val="11.0"/>
        <u/>
      </rPr>
      <t>Cincinnati</t>
    </r>
  </si>
  <si>
    <r>
      <rPr>
        <rFont val="&quot;Helvetica Neue&quot;, Helvetica, Arial, sans-serif"/>
        <color rgb="FF1155CC"/>
        <sz val="11.0"/>
        <u/>
      </rPr>
      <t>NY Giants</t>
    </r>
  </si>
  <si>
    <r>
      <rPr>
        <rFont val="&quot;Helvetica Neue&quot;, Helvetica, Arial, sans-serif"/>
        <color rgb="FF1155CC"/>
        <sz val="11.0"/>
        <u/>
      </rPr>
      <t>Seattle</t>
    </r>
  </si>
  <si>
    <r>
      <rPr>
        <rFont val="&quot;Helvetica Neue&quot;, Helvetica, Arial, sans-serif"/>
        <color rgb="FF1155CC"/>
        <sz val="11.0"/>
        <u/>
      </rPr>
      <t>San Francisco</t>
    </r>
  </si>
  <si>
    <r>
      <rPr>
        <rFont val="&quot;Helvetica Neue&quot;, Helvetica, Arial, sans-serif"/>
        <color rgb="FF1155CC"/>
        <sz val="11.0"/>
        <u/>
      </rPr>
      <t>Atlanta</t>
    </r>
  </si>
  <si>
    <r>
      <rPr>
        <rFont val="&quot;Helvetica Neue&quot;, Helvetica, Arial, sans-serif"/>
        <color rgb="FF1155CC"/>
        <sz val="11.0"/>
        <u/>
      </rPr>
      <t>Washington</t>
    </r>
  </si>
  <si>
    <r>
      <rPr>
        <rFont val="&quot;Helvetica Neue&quot;, Helvetica, Arial, sans-serif"/>
        <color rgb="FF1155CC"/>
        <sz val="11.0"/>
        <u/>
      </rPr>
      <t>Cleveland</t>
    </r>
  </si>
  <si>
    <r>
      <rPr>
        <rFont val="&quot;Helvetica Neue&quot;, Helvetica, Arial, sans-serif"/>
        <color rgb="FF1155CC"/>
        <sz val="11.0"/>
        <u/>
      </rPr>
      <t>Miami</t>
    </r>
  </si>
  <si>
    <r>
      <rPr>
        <rFont val="&quot;Helvetica Neue&quot;, Helvetica, Arial, sans-serif"/>
        <color rgb="FF1155CC"/>
        <sz val="11.0"/>
        <u/>
      </rPr>
      <t>Houston</t>
    </r>
  </si>
  <si>
    <r>
      <rPr>
        <rFont val="&quot;Helvetica Neue&quot;, Helvetica, Arial, sans-serif"/>
        <color rgb="FF1155CC"/>
        <sz val="11.0"/>
        <u/>
      </rPr>
      <t>Tampa Bay</t>
    </r>
  </si>
  <si>
    <r>
      <rPr>
        <rFont val="&quot;Helvetica Neue&quot;, Helvetica, Arial, sans-serif"/>
        <color rgb="FF1155CC"/>
        <sz val="11.0"/>
        <u/>
      </rPr>
      <t>New England</t>
    </r>
  </si>
  <si>
    <r>
      <rPr>
        <rFont val="&quot;Helvetica Neue&quot;, Helvetica, Arial, sans-serif"/>
        <color rgb="FF1155CC"/>
        <sz val="11.0"/>
        <u/>
      </rPr>
      <t>New Orleans</t>
    </r>
  </si>
  <si>
    <r>
      <rPr>
        <rFont val="&quot;Helvetica Neue&quot;, Helvetica, Arial, sans-serif"/>
        <color rgb="FF1155CC"/>
        <sz val="11.0"/>
        <u/>
      </rPr>
      <t>Arizona</t>
    </r>
  </si>
  <si>
    <r>
      <rPr>
        <rFont val="&quot;Helvetica Neue&quot;, Helvetica, Arial, sans-serif"/>
        <color rgb="FF1155CC"/>
        <sz val="11.0"/>
        <u/>
      </rPr>
      <t>LA Rams</t>
    </r>
  </si>
  <si>
    <r>
      <rPr>
        <rFont val="&quot;Helvetica Neue&quot;, Helvetica, Arial, sans-serif"/>
        <color rgb="FF1155CC"/>
        <sz val="11.0"/>
        <u/>
      </rPr>
      <t>Baltimore</t>
    </r>
  </si>
  <si>
    <r>
      <rPr>
        <rFont val="&quot;Helvetica Neue&quot;, Helvetica, Arial, sans-serif"/>
        <color rgb="FF1155CC"/>
        <sz val="11.0"/>
        <u/>
      </rPr>
      <t>Tennessee</t>
    </r>
  </si>
  <si>
    <r>
      <rPr>
        <rFont val="&quot;Helvetica Neue&quot;, Helvetica, Arial, sans-serif"/>
        <color rgb="FF1155CC"/>
        <sz val="11.0"/>
        <u/>
      </rPr>
      <t>Jacksonville</t>
    </r>
  </si>
  <si>
    <r>
      <rPr>
        <rFont val="&quot;Helvetica Neue&quot;, Helvetica, Arial, sans-serif"/>
        <color rgb="FF1155CC"/>
        <sz val="11.0"/>
        <u/>
      </rPr>
      <t>Las Vegas</t>
    </r>
  </si>
  <si>
    <r>
      <rPr>
        <rFont val="&quot;Helvetica Neue&quot;, Helvetica, Arial, sans-serif"/>
        <color rgb="FF1155CC"/>
        <sz val="11.0"/>
        <u/>
      </rPr>
      <t>Dallas</t>
    </r>
  </si>
  <si>
    <r>
      <rPr>
        <rFont val="&quot;Helvetica Neue&quot;, Helvetica, Arial, sans-serif"/>
        <color rgb="FF1155CC"/>
        <sz val="11.0"/>
        <u/>
      </rPr>
      <t>Carolina</t>
    </r>
  </si>
  <si>
    <r>
      <rPr>
        <rFont val="&quot;Helvetica Neue&quot;, Helvetica, Arial, sans-serif"/>
        <color rgb="FF1155CC"/>
        <sz val="11.0"/>
        <u/>
      </rPr>
      <t>Miami</t>
    </r>
  </si>
  <si>
    <r>
      <rPr>
        <rFont val="&quot;Helvetica Neue&quot;, Helvetica, Arial, sans-serif"/>
        <color rgb="FF1155CC"/>
        <sz val="11.0"/>
        <u/>
      </rPr>
      <t>Philadelphia</t>
    </r>
  </si>
  <si>
    <r>
      <rPr>
        <rFont val="&quot;Helvetica Neue&quot;, Helvetica, Arial, sans-serif"/>
        <color rgb="FF1155CC"/>
        <sz val="11.0"/>
        <u/>
      </rPr>
      <t>Houston</t>
    </r>
  </si>
  <si>
    <r>
      <rPr>
        <rFont val="&quot;Helvetica Neue&quot;, Helvetica, Arial, sans-serif"/>
        <color rgb="FF1155CC"/>
        <sz val="11.0"/>
        <u/>
      </rPr>
      <t>NY Giants</t>
    </r>
  </si>
  <si>
    <r>
      <rPr>
        <rFont val="&quot;Helvetica Neue&quot;, Helvetica, Arial, sans-serif"/>
        <color rgb="FF1155CC"/>
        <sz val="11.0"/>
        <u/>
      </rPr>
      <t>Kansas City</t>
    </r>
  </si>
  <si>
    <r>
      <rPr>
        <rFont val="&quot;Helvetica Neue&quot;, Helvetica, Arial, sans-serif"/>
        <color rgb="FF1155CC"/>
        <sz val="11.0"/>
        <u/>
      </rPr>
      <t>Dallas</t>
    </r>
  </si>
  <si>
    <r>
      <rPr>
        <rFont val="&quot;Helvetica Neue&quot;, Helvetica, Arial, sans-serif"/>
        <color rgb="FF1155CC"/>
        <sz val="11.0"/>
        <u/>
      </rPr>
      <t>Chicago</t>
    </r>
  </si>
  <si>
    <r>
      <rPr>
        <rFont val="&quot;Helvetica Neue&quot;, Helvetica, Arial, sans-serif"/>
        <color rgb="FF1155CC"/>
        <sz val="11.0"/>
        <u/>
      </rPr>
      <t>Seattle</t>
    </r>
  </si>
  <si>
    <r>
      <rPr>
        <rFont val="&quot;Helvetica Neue&quot;, Helvetica, Arial, sans-serif"/>
        <color rgb="FF1155CC"/>
        <sz val="11.0"/>
        <u/>
      </rPr>
      <t>Detroit</t>
    </r>
  </si>
  <si>
    <r>
      <rPr>
        <rFont val="&quot;Helvetica Neue&quot;, Helvetica, Arial, sans-serif"/>
        <color rgb="FF1155CC"/>
        <sz val="11.0"/>
        <u/>
      </rPr>
      <t>Baltimore</t>
    </r>
  </si>
  <si>
    <r>
      <rPr>
        <rFont val="&quot;Helvetica Neue&quot;, Helvetica, Arial, sans-serif"/>
        <color rgb="FF1155CC"/>
        <sz val="11.0"/>
        <u/>
      </rPr>
      <t>Cleveland</t>
    </r>
  </si>
  <si>
    <r>
      <rPr>
        <rFont val="&quot;Helvetica Neue&quot;, Helvetica, Arial, sans-serif"/>
        <color rgb="FF1155CC"/>
        <sz val="11.0"/>
        <u/>
      </rPr>
      <t>Green Bay</t>
    </r>
  </si>
  <si>
    <r>
      <rPr>
        <rFont val="&quot;Helvetica Neue&quot;, Helvetica, Arial, sans-serif"/>
        <color rgb="FF1155CC"/>
        <sz val="11.0"/>
        <u/>
      </rPr>
      <t>Pittsburgh</t>
    </r>
  </si>
  <si>
    <r>
      <rPr>
        <rFont val="&quot;Helvetica Neue&quot;, Helvetica, Arial, sans-serif"/>
        <color rgb="FF1155CC"/>
        <sz val="11.0"/>
        <u/>
      </rPr>
      <t>San Francisco</t>
    </r>
  </si>
  <si>
    <r>
      <rPr>
        <rFont val="&quot;Helvetica Neue&quot;, Helvetica, Arial, sans-serif"/>
        <color rgb="FF1155CC"/>
        <sz val="11.0"/>
        <u/>
      </rPr>
      <t>Tampa Bay</t>
    </r>
  </si>
  <si>
    <r>
      <rPr>
        <rFont val="&quot;Helvetica Neue&quot;, Helvetica, Arial, sans-serif"/>
        <color rgb="FF1155CC"/>
        <sz val="11.0"/>
        <u/>
      </rPr>
      <t>Atlanta</t>
    </r>
  </si>
  <si>
    <r>
      <rPr>
        <rFont val="&quot;Helvetica Neue&quot;, Helvetica, Arial, sans-serif"/>
        <color rgb="FF1155CC"/>
        <sz val="11.0"/>
        <u/>
      </rPr>
      <t>LA Rams</t>
    </r>
  </si>
  <si>
    <r>
      <rPr>
        <rFont val="&quot;Helvetica Neue&quot;, Helvetica, Arial, sans-serif"/>
        <color rgb="FF1155CC"/>
        <sz val="11.0"/>
        <u/>
      </rPr>
      <t>Washington</t>
    </r>
  </si>
  <si>
    <r>
      <rPr>
        <rFont val="&quot;Helvetica Neue&quot;, Helvetica, Arial, sans-serif"/>
        <color rgb="FF1155CC"/>
        <sz val="11.0"/>
        <u/>
      </rPr>
      <t>Las Vegas</t>
    </r>
  </si>
  <si>
    <r>
      <rPr>
        <rFont val="&quot;Helvetica Neue&quot;, Helvetica, Arial, sans-serif"/>
        <color rgb="FF1155CC"/>
        <sz val="11.0"/>
        <u/>
      </rPr>
      <t>NY Jets</t>
    </r>
  </si>
  <si>
    <r>
      <rPr>
        <rFont val="&quot;Helvetica Neue&quot;, Helvetica, Arial, sans-serif"/>
        <color rgb="FF1155CC"/>
        <sz val="11.0"/>
        <u/>
      </rPr>
      <t>New Orleans</t>
    </r>
  </si>
  <si>
    <r>
      <rPr>
        <rFont val="&quot;Helvetica Neue&quot;, Helvetica, Arial, sans-serif"/>
        <color rgb="FF1155CC"/>
        <sz val="11.0"/>
        <u/>
      </rPr>
      <t>Tennessee</t>
    </r>
  </si>
  <si>
    <r>
      <rPr>
        <rFont val="&quot;Helvetica Neue&quot;, Helvetica, Arial, sans-serif"/>
        <color rgb="FF1155CC"/>
        <sz val="11.0"/>
        <u/>
      </rPr>
      <t>Denver</t>
    </r>
  </si>
  <si>
    <r>
      <rPr>
        <rFont val="&quot;Helvetica Neue&quot;, Helvetica, Arial, sans-serif"/>
        <color rgb="FF1155CC"/>
        <sz val="11.0"/>
        <u/>
      </rPr>
      <t>LA Chargers</t>
    </r>
  </si>
  <si>
    <r>
      <rPr>
        <rFont val="&quot;Helvetica Neue&quot;, Helvetica, Arial, sans-serif"/>
        <color rgb="FF1155CC"/>
        <sz val="11.0"/>
        <u/>
      </rPr>
      <t>New England</t>
    </r>
  </si>
  <si>
    <r>
      <rPr>
        <rFont val="&quot;Helvetica Neue&quot;, Helvetica, Arial, sans-serif"/>
        <color rgb="FF1155CC"/>
        <sz val="11.0"/>
        <u/>
      </rPr>
      <t>Indianapolis</t>
    </r>
  </si>
  <si>
    <r>
      <rPr>
        <rFont val="&quot;Helvetica Neue&quot;, Helvetica, Arial, sans-serif"/>
        <color rgb="FF1155CC"/>
        <sz val="11.0"/>
        <u/>
      </rPr>
      <t>Jacksonville</t>
    </r>
  </si>
  <si>
    <r>
      <rPr>
        <rFont val="&quot;Helvetica Neue&quot;, Helvetica, Arial, sans-serif"/>
        <color rgb="FF1155CC"/>
        <sz val="11.0"/>
        <u/>
      </rPr>
      <t>Carolina</t>
    </r>
  </si>
  <si>
    <r>
      <rPr>
        <rFont val="&quot;Helvetica Neue&quot;, Helvetica, Arial, sans-serif"/>
        <color rgb="FF1155CC"/>
        <sz val="11.0"/>
        <u/>
      </rPr>
      <t>Cincinnati</t>
    </r>
  </si>
  <si>
    <r>
      <rPr>
        <rFont val="&quot;Helvetica Neue&quot;, Helvetica, Arial, sans-serif"/>
        <color rgb="FF1155CC"/>
        <sz val="11.0"/>
        <u/>
      </rPr>
      <t>Arizona</t>
    </r>
  </si>
  <si>
    <r>
      <rPr>
        <rFont val="&quot;Helvetica Neue&quot;, Helvetica, Arial, sans-serif"/>
        <color rgb="FF1155CC"/>
        <sz val="11.0"/>
        <u/>
      </rPr>
      <t>Minnesota</t>
    </r>
  </si>
  <si>
    <r>
      <rPr>
        <rFont val="&quot;Helvetica Neue&quot;, Helvetica, Arial, sans-serif"/>
        <color rgb="FF1155CC"/>
        <sz val="11.0"/>
        <u/>
      </rPr>
      <t>Buffalo</t>
    </r>
  </si>
  <si>
    <r>
      <rPr>
        <rFont val="&quot;Helvetica Neue&quot;, Helvetica, Arial, sans-serif"/>
        <color rgb="FF1155CC"/>
        <sz val="11.0"/>
        <u/>
      </rPr>
      <t>Miami</t>
    </r>
  </si>
  <si>
    <r>
      <rPr>
        <rFont val="&quot;Helvetica Neue&quot;, Helvetica, Arial, sans-serif"/>
        <color rgb="FF1155CC"/>
        <sz val="11.0"/>
        <u/>
      </rPr>
      <t>LA Chargers</t>
    </r>
  </si>
  <si>
    <r>
      <rPr>
        <rFont val="&quot;Helvetica Neue&quot;, Helvetica, Arial, sans-serif"/>
        <color rgb="FF1155CC"/>
        <sz val="11.0"/>
        <u/>
      </rPr>
      <t>Washington</t>
    </r>
  </si>
  <si>
    <r>
      <rPr>
        <rFont val="&quot;Helvetica Neue&quot;, Helvetica, Arial, sans-serif"/>
        <color rgb="FF1155CC"/>
        <sz val="11.0"/>
        <u/>
      </rPr>
      <t>Tennessee</t>
    </r>
  </si>
  <si>
    <r>
      <rPr>
        <rFont val="&quot;Helvetica Neue&quot;, Helvetica, Arial, sans-serif"/>
        <color rgb="FF1155CC"/>
        <sz val="11.0"/>
        <u/>
      </rPr>
      <t>Houston</t>
    </r>
  </si>
  <si>
    <r>
      <rPr>
        <rFont val="&quot;Helvetica Neue&quot;, Helvetica, Arial, sans-serif"/>
        <color rgb="FF1155CC"/>
        <sz val="11.0"/>
        <u/>
      </rPr>
      <t>Pittsburgh</t>
    </r>
  </si>
  <si>
    <r>
      <rPr>
        <rFont val="&quot;Helvetica Neue&quot;, Helvetica, Arial, sans-serif"/>
        <color rgb="FF1155CC"/>
        <sz val="11.0"/>
        <u/>
      </rPr>
      <t>NY Giants</t>
    </r>
  </si>
  <si>
    <r>
      <rPr>
        <rFont val="&quot;Helvetica Neue&quot;, Helvetica, Arial, sans-serif"/>
        <color rgb="FF1155CC"/>
        <sz val="11.0"/>
        <u/>
      </rPr>
      <t>Kansas City</t>
    </r>
  </si>
  <si>
    <r>
      <rPr>
        <rFont val="&quot;Helvetica Neue&quot;, Helvetica, Arial, sans-serif"/>
        <color rgb="FF1155CC"/>
        <sz val="11.0"/>
        <u/>
      </rPr>
      <t>Chicago</t>
    </r>
  </si>
  <si>
    <r>
      <rPr>
        <rFont val="&quot;Helvetica Neue&quot;, Helvetica, Arial, sans-serif"/>
        <color rgb="FF1155CC"/>
        <sz val="11.0"/>
        <u/>
      </rPr>
      <t>Philadelphia</t>
    </r>
  </si>
  <si>
    <r>
      <rPr>
        <rFont val="&quot;Helvetica Neue&quot;, Helvetica, Arial, sans-serif"/>
        <color rgb="FF1155CC"/>
        <sz val="11.0"/>
        <u/>
      </rPr>
      <t>Las Vegas</t>
    </r>
  </si>
  <si>
    <r>
      <rPr>
        <rFont val="&quot;Helvetica Neue&quot;, Helvetica, Arial, sans-serif"/>
        <color rgb="FF1155CC"/>
        <sz val="11.0"/>
        <u/>
      </rPr>
      <t>San Francisco</t>
    </r>
  </si>
  <si>
    <r>
      <rPr>
        <rFont val="&quot;Helvetica Neue&quot;, Helvetica, Arial, sans-serif"/>
        <color rgb="FF1155CC"/>
        <sz val="11.0"/>
        <u/>
      </rPr>
      <t>Cleveland</t>
    </r>
  </si>
  <si>
    <r>
      <rPr>
        <rFont val="&quot;Helvetica Neue&quot;, Helvetica, Arial, sans-serif"/>
        <color rgb="FF1155CC"/>
        <sz val="11.0"/>
        <u/>
      </rPr>
      <t>LA Rams</t>
    </r>
  </si>
  <si>
    <r>
      <rPr>
        <rFont val="&quot;Helvetica Neue&quot;, Helvetica, Arial, sans-serif"/>
        <color rgb="FF1155CC"/>
        <sz val="11.0"/>
        <u/>
      </rPr>
      <t>NY Jets</t>
    </r>
  </si>
  <si>
    <r>
      <rPr>
        <rFont val="&quot;Helvetica Neue&quot;, Helvetica, Arial, sans-serif"/>
        <color rgb="FF1155CC"/>
        <sz val="11.0"/>
        <u/>
      </rPr>
      <t>Detroit</t>
    </r>
  </si>
  <si>
    <r>
      <rPr>
        <rFont val="&quot;Helvetica Neue&quot;, Helvetica, Arial, sans-serif"/>
        <color rgb="FF1155CC"/>
        <sz val="11.0"/>
        <u/>
      </rPr>
      <t>Green Bay</t>
    </r>
  </si>
  <si>
    <r>
      <rPr>
        <rFont val="&quot;Helvetica Neue&quot;, Helvetica, Arial, sans-serif"/>
        <color rgb="FF1155CC"/>
        <sz val="11.0"/>
        <u/>
      </rPr>
      <t>Baltimore</t>
    </r>
  </si>
  <si>
    <r>
      <rPr>
        <rFont val="&quot;Helvetica Neue&quot;, Helvetica, Arial, sans-serif"/>
        <color rgb="FF1155CC"/>
        <sz val="11.0"/>
        <u/>
      </rPr>
      <t>Dallas</t>
    </r>
  </si>
  <si>
    <r>
      <rPr>
        <rFont val="&quot;Helvetica Neue&quot;, Helvetica, Arial, sans-serif"/>
        <color rgb="FF1155CC"/>
        <sz val="11.0"/>
        <u/>
      </rPr>
      <t>New England</t>
    </r>
  </si>
  <si>
    <r>
      <rPr>
        <rFont val="&quot;Helvetica Neue&quot;, Helvetica, Arial, sans-serif"/>
        <color rgb="FF1155CC"/>
        <sz val="11.0"/>
        <u/>
      </rPr>
      <t>Jacksonville</t>
    </r>
  </si>
  <si>
    <r>
      <rPr>
        <rFont val="&quot;Helvetica Neue&quot;, Helvetica, Arial, sans-serif"/>
        <color rgb="FF1155CC"/>
        <sz val="11.0"/>
        <u/>
      </rPr>
      <t>Arizona</t>
    </r>
  </si>
  <si>
    <r>
      <rPr>
        <rFont val="&quot;Helvetica Neue&quot;, Helvetica, Arial, sans-serif"/>
        <color rgb="FF1155CC"/>
        <sz val="11.0"/>
        <u/>
      </rPr>
      <t>Seattle</t>
    </r>
  </si>
  <si>
    <r>
      <rPr>
        <rFont val="&quot;Helvetica Neue&quot;, Helvetica, Arial, sans-serif"/>
        <color rgb="FF1155CC"/>
        <sz val="11.0"/>
        <u/>
      </rPr>
      <t>Atlanta</t>
    </r>
  </si>
  <si>
    <r>
      <rPr>
        <rFont val="&quot;Helvetica Neue&quot;, Helvetica, Arial, sans-serif"/>
        <color rgb="FF1155CC"/>
        <sz val="11.0"/>
        <u/>
      </rPr>
      <t>Carolina</t>
    </r>
  </si>
  <si>
    <r>
      <rPr>
        <rFont val="&quot;Helvetica Neue&quot;, Helvetica, Arial, sans-serif"/>
        <color rgb="FF1155CC"/>
        <sz val="11.0"/>
        <u/>
      </rPr>
      <t>Denver</t>
    </r>
  </si>
  <si>
    <r>
      <rPr>
        <rFont val="&quot;Helvetica Neue&quot;, Helvetica, Arial, sans-serif"/>
        <color rgb="FF1155CC"/>
        <sz val="11.0"/>
        <u/>
      </rPr>
      <t>Buffalo</t>
    </r>
  </si>
  <si>
    <r>
      <rPr>
        <rFont val="&quot;Helvetica Neue&quot;, Helvetica, Arial, sans-serif"/>
        <color rgb="FF1155CC"/>
        <sz val="11.0"/>
        <u/>
      </rPr>
      <t>New Orleans</t>
    </r>
  </si>
  <si>
    <r>
      <rPr>
        <rFont val="&quot;Helvetica Neue&quot;, Helvetica, Arial, sans-serif"/>
        <color rgb="FF1155CC"/>
        <sz val="11.0"/>
        <u/>
      </rPr>
      <t>Tampa Bay</t>
    </r>
  </si>
  <si>
    <r>
      <rPr>
        <rFont val="&quot;Helvetica Neue&quot;, Helvetica, Arial, sans-serif"/>
        <color rgb="FF1155CC"/>
        <sz val="11.0"/>
        <u/>
      </rPr>
      <t>Minnesota</t>
    </r>
  </si>
  <si>
    <r>
      <rPr>
        <rFont val="&quot;Helvetica Neue&quot;, Helvetica, Arial, sans-serif"/>
        <color rgb="FF1155CC"/>
        <sz val="11.0"/>
        <u/>
      </rPr>
      <t>Indianapolis</t>
    </r>
  </si>
  <si>
    <r>
      <rPr>
        <rFont val="&quot;Helvetica Neue&quot;, Helvetica, Arial, sans-serif"/>
        <color rgb="FF1155CC"/>
        <sz val="11.0"/>
        <u/>
      </rPr>
      <t>Cincinnati</t>
    </r>
  </si>
  <si>
    <r>
      <rPr>
        <rFont val="&quot;Helvetica Neue&quot;, Helvetica, Arial, sans-serif"/>
        <color rgb="FF1155CC"/>
        <sz val="11.0"/>
        <u/>
      </rPr>
      <t>Buffalo</t>
    </r>
  </si>
  <si>
    <r>
      <rPr>
        <rFont val="&quot;Helvetica Neue&quot;, Helvetica, Arial, sans-serif"/>
        <color rgb="FF1155CC"/>
        <sz val="11.0"/>
        <u/>
      </rPr>
      <t>Minnesota</t>
    </r>
  </si>
  <si>
    <r>
      <rPr>
        <rFont val="&quot;Helvetica Neue&quot;, Helvetica, Arial, sans-serif"/>
        <color rgb="FF1155CC"/>
        <sz val="11.0"/>
        <u/>
      </rPr>
      <t>Chicago</t>
    </r>
  </si>
  <si>
    <r>
      <rPr>
        <rFont val="&quot;Helvetica Neue&quot;, Helvetica, Arial, sans-serif"/>
        <color rgb="FF1155CC"/>
        <sz val="11.0"/>
        <u/>
      </rPr>
      <t>Washington</t>
    </r>
  </si>
  <si>
    <r>
      <rPr>
        <rFont val="&quot;Helvetica Neue&quot;, Helvetica, Arial, sans-serif"/>
        <color rgb="FF1155CC"/>
        <sz val="11.0"/>
        <u/>
      </rPr>
      <t>New Orleans</t>
    </r>
  </si>
  <si>
    <r>
      <rPr>
        <rFont val="&quot;Helvetica Neue&quot;, Helvetica, Arial, sans-serif"/>
        <color rgb="FF1155CC"/>
        <sz val="11.0"/>
        <u/>
      </rPr>
      <t>Tampa Bay</t>
    </r>
  </si>
  <si>
    <r>
      <rPr>
        <rFont val="&quot;Helvetica Neue&quot;, Helvetica, Arial, sans-serif"/>
        <color rgb="FF1155CC"/>
        <sz val="11.0"/>
        <u/>
      </rPr>
      <t>Cincinnati</t>
    </r>
  </si>
  <si>
    <r>
      <rPr>
        <rFont val="&quot;Helvetica Neue&quot;, Helvetica, Arial, sans-serif"/>
        <color rgb="FF1155CC"/>
        <sz val="11.0"/>
        <u/>
      </rPr>
      <t>Detroit</t>
    </r>
  </si>
  <si>
    <r>
      <rPr>
        <rFont val="&quot;Helvetica Neue&quot;, Helvetica, Arial, sans-serif"/>
        <color rgb="FF1155CC"/>
        <sz val="11.0"/>
        <u/>
      </rPr>
      <t>Pittsburgh</t>
    </r>
  </si>
  <si>
    <r>
      <rPr>
        <rFont val="&quot;Helvetica Neue&quot;, Helvetica, Arial, sans-serif"/>
        <color rgb="FF1155CC"/>
        <sz val="11.0"/>
        <u/>
      </rPr>
      <t>Denver</t>
    </r>
  </si>
  <si>
    <r>
      <rPr>
        <rFont val="&quot;Helvetica Neue&quot;, Helvetica, Arial, sans-serif"/>
        <color rgb="FF1155CC"/>
        <sz val="11.0"/>
        <u/>
      </rPr>
      <t>Seattle</t>
    </r>
  </si>
  <si>
    <r>
      <rPr>
        <rFont val="&quot;Helvetica Neue&quot;, Helvetica, Arial, sans-serif"/>
        <color rgb="FF1155CC"/>
        <sz val="11.0"/>
        <u/>
      </rPr>
      <t>Green Bay</t>
    </r>
  </si>
  <si>
    <r>
      <rPr>
        <rFont val="&quot;Helvetica Neue&quot;, Helvetica, Arial, sans-serif"/>
        <color rgb="FF1155CC"/>
        <sz val="11.0"/>
        <u/>
      </rPr>
      <t>Kansas City</t>
    </r>
  </si>
  <si>
    <r>
      <rPr>
        <rFont val="&quot;Helvetica Neue&quot;, Helvetica, Arial, sans-serif"/>
        <color rgb="FF1155CC"/>
        <sz val="11.0"/>
        <u/>
      </rPr>
      <t>Tennessee</t>
    </r>
  </si>
  <si>
    <r>
      <rPr>
        <rFont val="&quot;Helvetica Neue&quot;, Helvetica, Arial, sans-serif"/>
        <color rgb="FF1155CC"/>
        <sz val="11.0"/>
        <u/>
      </rPr>
      <t>Baltimore</t>
    </r>
  </si>
  <si>
    <r>
      <rPr>
        <rFont val="&quot;Helvetica Neue&quot;, Helvetica, Arial, sans-serif"/>
        <color rgb="FF1155CC"/>
        <sz val="11.0"/>
        <u/>
      </rPr>
      <t>Houston</t>
    </r>
  </si>
  <si>
    <r>
      <rPr>
        <rFont val="&quot;Helvetica Neue&quot;, Helvetica, Arial, sans-serif"/>
        <color rgb="FF1155CC"/>
        <sz val="11.0"/>
        <u/>
      </rPr>
      <t>Indianapolis</t>
    </r>
  </si>
  <si>
    <r>
      <rPr>
        <rFont val="&quot;Helvetica Neue&quot;, Helvetica, Arial, sans-serif"/>
        <color rgb="FF1155CC"/>
        <sz val="11.0"/>
        <u/>
      </rPr>
      <t>Arizona</t>
    </r>
  </si>
  <si>
    <r>
      <rPr>
        <rFont val="&quot;Helvetica Neue&quot;, Helvetica, Arial, sans-serif"/>
        <color rgb="FF1155CC"/>
        <sz val="11.0"/>
        <u/>
      </rPr>
      <t>San Francisco</t>
    </r>
  </si>
  <si>
    <r>
      <rPr>
        <rFont val="&quot;Helvetica Neue&quot;, Helvetica, Arial, sans-serif"/>
        <color rgb="FF1155CC"/>
        <sz val="11.0"/>
        <u/>
      </rPr>
      <t>LA Rams</t>
    </r>
  </si>
  <si>
    <r>
      <rPr>
        <rFont val="&quot;Helvetica Neue&quot;, Helvetica, Arial, sans-serif"/>
        <color rgb="FF1155CC"/>
        <sz val="11.0"/>
        <u/>
      </rPr>
      <t>Jacksonville</t>
    </r>
  </si>
  <si>
    <r>
      <rPr>
        <rFont val="&quot;Helvetica Neue&quot;, Helvetica, Arial, sans-serif"/>
        <color rgb="FF1155CC"/>
        <sz val="11.0"/>
        <u/>
      </rPr>
      <t>Atlanta</t>
    </r>
  </si>
  <si>
    <r>
      <rPr>
        <rFont val="&quot;Helvetica Neue&quot;, Helvetica, Arial, sans-serif"/>
        <color rgb="FF1155CC"/>
        <sz val="11.0"/>
        <u/>
      </rPr>
      <t>Dallas</t>
    </r>
  </si>
  <si>
    <r>
      <rPr>
        <rFont val="&quot;Helvetica Neue&quot;, Helvetica, Arial, sans-serif"/>
        <color rgb="FF1155CC"/>
        <sz val="11.0"/>
        <u/>
      </rPr>
      <t>Philadelphia</t>
    </r>
  </si>
  <si>
    <r>
      <rPr>
        <rFont val="&quot;Helvetica Neue&quot;, Helvetica, Arial, sans-serif"/>
        <color rgb="FF1155CC"/>
        <sz val="11.0"/>
        <u/>
      </rPr>
      <t>Cleveland</t>
    </r>
  </si>
  <si>
    <r>
      <rPr>
        <rFont val="&quot;Helvetica Neue&quot;, Helvetica, Arial, sans-serif"/>
        <color rgb="FF1155CC"/>
        <sz val="11.0"/>
        <u/>
      </rPr>
      <t>Las Vegas</t>
    </r>
  </si>
  <si>
    <r>
      <rPr>
        <rFont val="&quot;Helvetica Neue&quot;, Helvetica, Arial, sans-serif"/>
        <color rgb="FF1155CC"/>
        <sz val="11.0"/>
        <u/>
      </rPr>
      <t>NY Jets</t>
    </r>
  </si>
  <si>
    <r>
      <rPr>
        <rFont val="&quot;Helvetica Neue&quot;, Helvetica, Arial, sans-serif"/>
        <color rgb="FF1155CC"/>
        <sz val="11.0"/>
        <u/>
      </rPr>
      <t>LA Chargers</t>
    </r>
  </si>
  <si>
    <r>
      <rPr>
        <rFont val="&quot;Helvetica Neue&quot;, Helvetica, Arial, sans-serif"/>
        <color rgb="FF1155CC"/>
        <sz val="11.0"/>
        <u/>
      </rPr>
      <t>Carolina</t>
    </r>
  </si>
  <si>
    <r>
      <rPr>
        <rFont val="&quot;Helvetica Neue&quot;, Helvetica, Arial, sans-serif"/>
        <color rgb="FF1155CC"/>
        <sz val="11.0"/>
        <u/>
      </rPr>
      <t>New England</t>
    </r>
  </si>
  <si>
    <r>
      <rPr>
        <rFont val="&quot;Helvetica Neue&quot;, Helvetica, Arial, sans-serif"/>
        <color rgb="FF1155CC"/>
        <sz val="11.0"/>
        <u/>
      </rPr>
      <t>NY Giants</t>
    </r>
  </si>
  <si>
    <r>
      <rPr>
        <rFont val="&quot;Helvetica Neue&quot;, Helvetica, Arial, sans-serif"/>
        <color rgb="FF1155CC"/>
        <sz val="11.0"/>
        <u/>
      </rPr>
      <t>Miami</t>
    </r>
  </si>
  <si>
    <r>
      <rPr>
        <rFont val="inherit"/>
        <color rgb="FF1155CC"/>
        <u/>
      </rPr>
      <t>LA Chargers</t>
    </r>
  </si>
  <si>
    <r>
      <rPr>
        <rFont val="inherit"/>
        <color rgb="FF1155CC"/>
        <u/>
      </rPr>
      <t>Pittsburgh</t>
    </r>
  </si>
  <si>
    <r>
      <rPr>
        <rFont val="inherit"/>
        <color rgb="FF1155CC"/>
        <u/>
      </rPr>
      <t>Denver</t>
    </r>
  </si>
  <si>
    <r>
      <rPr>
        <rFont val="inherit"/>
        <color rgb="FF1155CC"/>
        <u/>
      </rPr>
      <t>Indianapolis</t>
    </r>
  </si>
  <si>
    <r>
      <rPr>
        <rFont val="inherit"/>
        <color rgb="FF1155CC"/>
        <u/>
      </rPr>
      <t>Kansas City</t>
    </r>
  </si>
  <si>
    <r>
      <rPr>
        <rFont val="inherit"/>
        <color rgb="FF1155CC"/>
        <u/>
      </rPr>
      <t>Minnesota</t>
    </r>
  </si>
  <si>
    <r>
      <rPr>
        <rFont val="inherit"/>
        <color rgb="FF1155CC"/>
        <u/>
      </rPr>
      <t>Buffalo</t>
    </r>
  </si>
  <si>
    <r>
      <rPr>
        <rFont val="inherit"/>
        <color rgb="FF1155CC"/>
        <u/>
      </rPr>
      <t>Chicago</t>
    </r>
  </si>
  <si>
    <r>
      <rPr>
        <rFont val="inherit"/>
        <color rgb="FF1155CC"/>
        <u/>
      </rPr>
      <t>Detroit</t>
    </r>
  </si>
  <si>
    <r>
      <rPr>
        <rFont val="inherit"/>
        <color rgb="FF1155CC"/>
        <u/>
      </rPr>
      <t>Philadelphia</t>
    </r>
  </si>
  <si>
    <r>
      <rPr>
        <rFont val="inherit"/>
        <color rgb="FF1155CC"/>
        <u/>
      </rPr>
      <t>Green Bay</t>
    </r>
  </si>
  <si>
    <r>
      <rPr>
        <rFont val="inherit"/>
        <color rgb="FF1155CC"/>
        <u/>
      </rPr>
      <t>New Orleans</t>
    </r>
  </si>
  <si>
    <r>
      <rPr>
        <rFont val="inherit"/>
        <color rgb="FF1155CC"/>
        <u/>
      </rPr>
      <t>Washington</t>
    </r>
  </si>
  <si>
    <r>
      <rPr>
        <rFont val="inherit"/>
        <color rgb="FF1155CC"/>
        <u/>
      </rPr>
      <t>NY Giants</t>
    </r>
  </si>
  <si>
    <r>
      <rPr>
        <rFont val="inherit"/>
        <color rgb="FF1155CC"/>
        <u/>
      </rPr>
      <t>Cincinnati</t>
    </r>
  </si>
  <si>
    <r>
      <rPr>
        <rFont val="inherit"/>
        <color rgb="FF1155CC"/>
        <u/>
      </rPr>
      <t>Tampa Bay</t>
    </r>
  </si>
  <si>
    <r>
      <rPr>
        <rFont val="inherit"/>
        <color rgb="FF1155CC"/>
        <u/>
      </rPr>
      <t>Arizona</t>
    </r>
  </si>
  <si>
    <r>
      <rPr>
        <rFont val="inherit"/>
        <color rgb="FF1155CC"/>
        <u/>
      </rPr>
      <t>Seattle</t>
    </r>
  </si>
  <si>
    <r>
      <rPr>
        <rFont val="inherit"/>
        <color rgb="FF1155CC"/>
        <u/>
      </rPr>
      <t>New England</t>
    </r>
  </si>
  <si>
    <r>
      <rPr>
        <rFont val="inherit"/>
        <color rgb="FF1155CC"/>
        <u/>
      </rPr>
      <t>LA Rams</t>
    </r>
  </si>
  <si>
    <r>
      <rPr>
        <rFont val="inherit"/>
        <color rgb="FF1155CC"/>
        <u/>
      </rPr>
      <t>NY Jets</t>
    </r>
  </si>
  <si>
    <r>
      <rPr>
        <rFont val="inherit"/>
        <color rgb="FF1155CC"/>
        <u/>
      </rPr>
      <t>San Francisco</t>
    </r>
  </si>
  <si>
    <r>
      <rPr>
        <rFont val="inherit"/>
        <color rgb="FF1155CC"/>
        <u/>
      </rPr>
      <t>Atlanta</t>
    </r>
  </si>
  <si>
    <r>
      <rPr>
        <rFont val="inherit"/>
        <color rgb="FF1155CC"/>
        <u/>
      </rPr>
      <t>Baltimore</t>
    </r>
  </si>
  <si>
    <r>
      <rPr>
        <rFont val="inherit"/>
        <color rgb="FF1155CC"/>
        <u/>
      </rPr>
      <t>Cleveland</t>
    </r>
  </si>
  <si>
    <r>
      <rPr>
        <rFont val="inherit"/>
        <color rgb="FF1155CC"/>
        <u/>
      </rPr>
      <t>Jacksonville</t>
    </r>
  </si>
  <si>
    <r>
      <rPr>
        <rFont val="inherit"/>
        <color rgb="FF1155CC"/>
        <u/>
      </rPr>
      <t>Miami</t>
    </r>
  </si>
  <si>
    <r>
      <rPr>
        <rFont val="inherit"/>
        <color rgb="FF1155CC"/>
        <u/>
      </rPr>
      <t>Dallas</t>
    </r>
  </si>
  <si>
    <r>
      <rPr>
        <rFont val="inherit"/>
        <color rgb="FF1155CC"/>
        <u/>
      </rPr>
      <t>Houston</t>
    </r>
  </si>
  <si>
    <r>
      <rPr>
        <rFont val="inherit"/>
        <color rgb="FF1155CC"/>
        <u/>
      </rPr>
      <t>Las Vegas</t>
    </r>
  </si>
  <si>
    <r>
      <rPr>
        <rFont val="inherit"/>
        <color rgb="FF1155CC"/>
        <u/>
      </rPr>
      <t>Tennessee</t>
    </r>
  </si>
  <si>
    <r>
      <rPr>
        <rFont val="inherit"/>
        <color rgb="FF1155CC"/>
        <u/>
      </rPr>
      <t>Carolina</t>
    </r>
  </si>
  <si>
    <r>
      <rPr>
        <rFont val="inherit"/>
        <color rgb="FF1155CC"/>
        <u/>
      </rPr>
      <t>Baltimore</t>
    </r>
  </si>
  <si>
    <r>
      <rPr>
        <rFont val="inherit"/>
        <color rgb="FF1155CC"/>
        <u/>
      </rPr>
      <t>Detroit</t>
    </r>
  </si>
  <si>
    <r>
      <rPr>
        <rFont val="inherit"/>
        <color rgb="FF1155CC"/>
        <u/>
      </rPr>
      <t>San Francisco</t>
    </r>
  </si>
  <si>
    <r>
      <rPr>
        <rFont val="inherit"/>
        <color rgb="FF1155CC"/>
        <u/>
      </rPr>
      <t>Washington</t>
    </r>
  </si>
  <si>
    <r>
      <rPr>
        <rFont val="inherit"/>
        <color rgb="FF1155CC"/>
        <u/>
      </rPr>
      <t>Tampa Bay</t>
    </r>
  </si>
  <si>
    <r>
      <rPr>
        <rFont val="inherit"/>
        <color rgb="FF1155CC"/>
        <u/>
      </rPr>
      <t>Green Bay</t>
    </r>
  </si>
  <si>
    <r>
      <rPr>
        <rFont val="inherit"/>
        <color rgb="FF1155CC"/>
        <u/>
      </rPr>
      <t>Atlanta</t>
    </r>
  </si>
  <si>
    <r>
      <rPr>
        <rFont val="inherit"/>
        <color rgb="FF1155CC"/>
        <u/>
      </rPr>
      <t>Seattle</t>
    </r>
  </si>
  <si>
    <r>
      <rPr>
        <rFont val="inherit"/>
        <color rgb="FF1155CC"/>
        <u/>
      </rPr>
      <t>Philadelphia</t>
    </r>
  </si>
  <si>
    <r>
      <rPr>
        <rFont val="inherit"/>
        <color rgb="FF1155CC"/>
        <u/>
      </rPr>
      <t>Kansas City</t>
    </r>
  </si>
  <si>
    <r>
      <rPr>
        <rFont val="inherit"/>
        <color rgb="FF1155CC"/>
        <u/>
      </rPr>
      <t>Houston</t>
    </r>
  </si>
  <si>
    <r>
      <rPr>
        <rFont val="inherit"/>
        <color rgb="FF1155CC"/>
        <u/>
      </rPr>
      <t>Dallas</t>
    </r>
  </si>
  <si>
    <r>
      <rPr>
        <rFont val="inherit"/>
        <color rgb="FF1155CC"/>
        <u/>
      </rPr>
      <t>Cincinnati</t>
    </r>
  </si>
  <si>
    <r>
      <rPr>
        <rFont val="inherit"/>
        <color rgb="FF1155CC"/>
        <u/>
      </rPr>
      <t>Arizona</t>
    </r>
  </si>
  <si>
    <r>
      <rPr>
        <rFont val="inherit"/>
        <color rgb="FF1155CC"/>
        <u/>
      </rPr>
      <t>Indianapolis</t>
    </r>
  </si>
  <si>
    <r>
      <rPr>
        <rFont val="inherit"/>
        <color rgb="FF1155CC"/>
        <u/>
      </rPr>
      <t>Jacksonville</t>
    </r>
  </si>
  <si>
    <r>
      <rPr>
        <rFont val="inherit"/>
        <color rgb="FF1155CC"/>
        <u/>
      </rPr>
      <t>Minnesota</t>
    </r>
  </si>
  <si>
    <r>
      <rPr>
        <rFont val="inherit"/>
        <color rgb="FF1155CC"/>
        <u/>
      </rPr>
      <t>LA Rams</t>
    </r>
  </si>
  <si>
    <r>
      <rPr>
        <rFont val="inherit"/>
        <color rgb="FF1155CC"/>
        <u/>
      </rPr>
      <t>Buffalo</t>
    </r>
  </si>
  <si>
    <r>
      <rPr>
        <rFont val="inherit"/>
        <color rgb="FF1155CC"/>
        <u/>
      </rPr>
      <t>Pittsburgh</t>
    </r>
  </si>
  <si>
    <r>
      <rPr>
        <rFont val="inherit"/>
        <color rgb="FF1155CC"/>
        <u/>
      </rPr>
      <t>New Orleans</t>
    </r>
  </si>
  <si>
    <r>
      <rPr>
        <rFont val="inherit"/>
        <color rgb="FF1155CC"/>
        <u/>
      </rPr>
      <t>Miami</t>
    </r>
  </si>
  <si>
    <r>
      <rPr>
        <rFont val="inherit"/>
        <color rgb="FF1155CC"/>
        <u/>
      </rPr>
      <t>NY Jets</t>
    </r>
  </si>
  <si>
    <r>
      <rPr>
        <rFont val="inherit"/>
        <color rgb="FF1155CC"/>
        <u/>
      </rPr>
      <t>Chicago</t>
    </r>
  </si>
  <si>
    <r>
      <rPr>
        <rFont val="inherit"/>
        <color rgb="FF1155CC"/>
        <u/>
      </rPr>
      <t>LA Chargers</t>
    </r>
  </si>
  <si>
    <r>
      <rPr>
        <rFont val="inherit"/>
        <color rgb="FF1155CC"/>
        <u/>
      </rPr>
      <t>Las Vegas</t>
    </r>
  </si>
  <si>
    <r>
      <rPr>
        <rFont val="inherit"/>
        <color rgb="FF1155CC"/>
        <u/>
      </rPr>
      <t>Denver</t>
    </r>
  </si>
  <si>
    <r>
      <rPr>
        <rFont val="inherit"/>
        <color rgb="FF1155CC"/>
        <u/>
      </rPr>
      <t>NY Giants</t>
    </r>
  </si>
  <si>
    <r>
      <rPr>
        <rFont val="inherit"/>
        <color rgb="FF1155CC"/>
        <u/>
      </rPr>
      <t>Carolina</t>
    </r>
  </si>
  <si>
    <r>
      <rPr>
        <rFont val="inherit"/>
        <color rgb="FF1155CC"/>
        <u/>
      </rPr>
      <t>New England</t>
    </r>
  </si>
  <si>
    <r>
      <rPr>
        <rFont val="inherit"/>
        <color rgb="FF1155CC"/>
        <u/>
      </rPr>
      <t>Tennessee</t>
    </r>
  </si>
  <si>
    <r>
      <rPr>
        <rFont val="inherit"/>
        <color rgb="FF1155CC"/>
        <u/>
      </rPr>
      <t>Cleveland</t>
    </r>
  </si>
  <si>
    <r>
      <rPr>
        <rFont val="&quot;Helvetica Neue&quot;, Helvetica, Arial, sans-serif"/>
        <color rgb="FF1155CC"/>
        <sz val="11.0"/>
        <u/>
      </rPr>
      <t>Tennessee</t>
    </r>
  </si>
  <si>
    <r>
      <rPr>
        <rFont val="&quot;Helvetica Neue&quot;, Helvetica, Arial, sans-serif"/>
        <color rgb="FF1155CC"/>
        <sz val="11.0"/>
        <u/>
      </rPr>
      <t>Houston</t>
    </r>
  </si>
  <si>
    <r>
      <rPr>
        <rFont val="&quot;Helvetica Neue&quot;, Helvetica, Arial, sans-serif"/>
        <color rgb="FF1155CC"/>
        <sz val="11.0"/>
        <u/>
      </rPr>
      <t>Denver</t>
    </r>
  </si>
  <si>
    <r>
      <rPr>
        <rFont val="&quot;Helvetica Neue&quot;, Helvetica, Arial, sans-serif"/>
        <color rgb="FF1155CC"/>
        <sz val="11.0"/>
        <u/>
      </rPr>
      <t>Miami</t>
    </r>
  </si>
  <si>
    <r>
      <rPr>
        <rFont val="&quot;Helvetica Neue&quot;, Helvetica, Arial, sans-serif"/>
        <color rgb="FF1155CC"/>
        <sz val="11.0"/>
        <u/>
      </rPr>
      <t>Chicago</t>
    </r>
  </si>
  <si>
    <r>
      <rPr>
        <rFont val="&quot;Helvetica Neue&quot;, Helvetica, Arial, sans-serif"/>
        <color rgb="FF1155CC"/>
        <sz val="11.0"/>
        <u/>
      </rPr>
      <t>NY Jets</t>
    </r>
  </si>
  <si>
    <r>
      <rPr>
        <rFont val="&quot;Helvetica Neue&quot;, Helvetica, Arial, sans-serif"/>
        <color rgb="FF1155CC"/>
        <sz val="11.0"/>
        <u/>
      </rPr>
      <t>LA Chargers</t>
    </r>
  </si>
  <si>
    <r>
      <rPr>
        <rFont val="&quot;Helvetica Neue&quot;, Helvetica, Arial, sans-serif"/>
        <color rgb="FF1155CC"/>
        <sz val="11.0"/>
        <u/>
      </rPr>
      <t>Pittsburgh</t>
    </r>
  </si>
  <si>
    <r>
      <rPr>
        <rFont val="&quot;Helvetica Neue&quot;, Helvetica, Arial, sans-serif"/>
        <color rgb="FF1155CC"/>
        <sz val="11.0"/>
        <u/>
      </rPr>
      <t>Philadelphia</t>
    </r>
  </si>
  <si>
    <r>
      <rPr>
        <rFont val="&quot;Helvetica Neue&quot;, Helvetica, Arial, sans-serif"/>
        <color rgb="FF1155CC"/>
        <sz val="11.0"/>
        <u/>
      </rPr>
      <t>Kansas City</t>
    </r>
  </si>
  <si>
    <r>
      <rPr>
        <rFont val="&quot;Helvetica Neue&quot;, Helvetica, Arial, sans-serif"/>
        <color rgb="FF1155CC"/>
        <sz val="11.0"/>
        <u/>
      </rPr>
      <t>Las Vegas</t>
    </r>
  </si>
  <si>
    <r>
      <rPr>
        <rFont val="&quot;Helvetica Neue&quot;, Helvetica, Arial, sans-serif"/>
        <color rgb="FF1155CC"/>
        <sz val="11.0"/>
        <u/>
      </rPr>
      <t>NY Giants</t>
    </r>
  </si>
  <si>
    <r>
      <rPr>
        <rFont val="&quot;Helvetica Neue&quot;, Helvetica, Arial, sans-serif"/>
        <color rgb="FF1155CC"/>
        <sz val="11.0"/>
        <u/>
      </rPr>
      <t>Cleveland</t>
    </r>
  </si>
  <si>
    <r>
      <rPr>
        <rFont val="&quot;Helvetica Neue&quot;, Helvetica, Arial, sans-serif"/>
        <color rgb="FF1155CC"/>
        <sz val="11.0"/>
        <u/>
      </rPr>
      <t>San Francisco</t>
    </r>
  </si>
  <si>
    <r>
      <rPr>
        <rFont val="&quot;Helvetica Neue&quot;, Helvetica, Arial, sans-serif"/>
        <color rgb="FF1155CC"/>
        <sz val="11.0"/>
        <u/>
      </rPr>
      <t>Green Bay</t>
    </r>
  </si>
  <si>
    <r>
      <rPr>
        <rFont val="&quot;Helvetica Neue&quot;, Helvetica, Arial, sans-serif"/>
        <color rgb="FF1155CC"/>
        <sz val="11.0"/>
        <u/>
      </rPr>
      <t>Washington</t>
    </r>
  </si>
  <si>
    <r>
      <rPr>
        <rFont val="&quot;Helvetica Neue&quot;, Helvetica, Arial, sans-serif"/>
        <color rgb="FF1155CC"/>
        <sz val="11.0"/>
        <u/>
      </rPr>
      <t>Atlanta</t>
    </r>
  </si>
  <si>
    <r>
      <rPr>
        <rFont val="&quot;Helvetica Neue&quot;, Helvetica, Arial, sans-serif"/>
        <color rgb="FF1155CC"/>
        <sz val="11.0"/>
        <u/>
      </rPr>
      <t>Detroit</t>
    </r>
  </si>
  <si>
    <r>
      <rPr>
        <rFont val="&quot;Helvetica Neue&quot;, Helvetica, Arial, sans-serif"/>
        <color rgb="FF1155CC"/>
        <sz val="11.0"/>
        <u/>
      </rPr>
      <t>Buffalo</t>
    </r>
  </si>
  <si>
    <r>
      <rPr>
        <rFont val="&quot;Helvetica Neue&quot;, Helvetica, Arial, sans-serif"/>
        <color rgb="FF1155CC"/>
        <sz val="11.0"/>
        <u/>
      </rPr>
      <t>Seattle</t>
    </r>
  </si>
  <si>
    <r>
      <rPr>
        <rFont val="&quot;Helvetica Neue&quot;, Helvetica, Arial, sans-serif"/>
        <color rgb="FF1155CC"/>
        <sz val="11.0"/>
        <u/>
      </rPr>
      <t>Minnesota</t>
    </r>
  </si>
  <si>
    <r>
      <rPr>
        <rFont val="&quot;Helvetica Neue&quot;, Helvetica, Arial, sans-serif"/>
        <color rgb="FF1155CC"/>
        <sz val="11.0"/>
        <u/>
      </rPr>
      <t>LA Rams</t>
    </r>
  </si>
  <si>
    <r>
      <rPr>
        <rFont val="&quot;Helvetica Neue&quot;, Helvetica, Arial, sans-serif"/>
        <color rgb="FF1155CC"/>
        <sz val="11.0"/>
        <u/>
      </rPr>
      <t>Cincinnati</t>
    </r>
  </si>
  <si>
    <r>
      <rPr>
        <rFont val="&quot;Helvetica Neue&quot;, Helvetica, Arial, sans-serif"/>
        <color rgb="FF1155CC"/>
        <sz val="11.0"/>
        <u/>
      </rPr>
      <t>Baltimore</t>
    </r>
  </si>
  <si>
    <r>
      <rPr>
        <rFont val="&quot;Helvetica Neue&quot;, Helvetica, Arial, sans-serif"/>
        <color rgb="FF1155CC"/>
        <sz val="11.0"/>
        <u/>
      </rPr>
      <t>Dallas</t>
    </r>
  </si>
  <si>
    <r>
      <rPr>
        <rFont val="&quot;Helvetica Neue&quot;, Helvetica, Arial, sans-serif"/>
        <color rgb="FF1155CC"/>
        <sz val="11.0"/>
        <u/>
      </rPr>
      <t>New England</t>
    </r>
  </si>
  <si>
    <r>
      <rPr>
        <rFont val="&quot;Helvetica Neue&quot;, Helvetica, Arial, sans-serif"/>
        <color rgb="FF1155CC"/>
        <sz val="11.0"/>
        <u/>
      </rPr>
      <t>Jacksonville</t>
    </r>
  </si>
  <si>
    <r>
      <rPr>
        <rFont val="&quot;Helvetica Neue&quot;, Helvetica, Arial, sans-serif"/>
        <color rgb="FF1155CC"/>
        <sz val="11.0"/>
        <u/>
      </rPr>
      <t>Arizona</t>
    </r>
  </si>
  <si>
    <r>
      <rPr>
        <rFont val="&quot;Helvetica Neue&quot;, Helvetica, Arial, sans-serif"/>
        <color rgb="FF1155CC"/>
        <sz val="11.0"/>
        <u/>
      </rPr>
      <t>Indianapolis</t>
    </r>
  </si>
  <si>
    <r>
      <rPr>
        <rFont val="&quot;Helvetica Neue&quot;, Helvetica, Arial, sans-serif"/>
        <color rgb="FF1155CC"/>
        <sz val="11.0"/>
        <u/>
      </rPr>
      <t>Carolina</t>
    </r>
  </si>
  <si>
    <r>
      <rPr>
        <rFont val="&quot;Helvetica Neue&quot;, Helvetica, Arial, sans-serif"/>
        <color rgb="FF1155CC"/>
        <sz val="11.0"/>
        <u/>
      </rPr>
      <t>Tampa Bay</t>
    </r>
  </si>
  <si>
    <r>
      <rPr>
        <rFont val="&quot;Helvetica Neue&quot;, Helvetica, Arial, sans-serif"/>
        <color rgb="FF1155CC"/>
        <sz val="11.0"/>
        <u/>
      </rPr>
      <t>New Orleans</t>
    </r>
  </si>
  <si>
    <r>
      <rPr>
        <rFont val="&quot;Helvetica Neue&quot;, Helvetica, Arial, sans-serif"/>
        <color rgb="FF1155CC"/>
        <sz val="11.0"/>
        <u/>
      </rPr>
      <t>LA Chargers</t>
    </r>
  </si>
  <si>
    <r>
      <rPr>
        <rFont val="&quot;Helvetica Neue&quot;, Helvetica, Arial, sans-serif"/>
        <color rgb="FF1155CC"/>
        <sz val="11.0"/>
        <u/>
      </rPr>
      <t>Pittsburgh</t>
    </r>
  </si>
  <si>
    <r>
      <rPr>
        <rFont val="&quot;Helvetica Neue&quot;, Helvetica, Arial, sans-serif"/>
        <color rgb="FF1155CC"/>
        <sz val="11.0"/>
        <u/>
      </rPr>
      <t>Denver</t>
    </r>
  </si>
  <si>
    <r>
      <rPr>
        <rFont val="&quot;Helvetica Neue&quot;, Helvetica, Arial, sans-serif"/>
        <color rgb="FF1155CC"/>
        <sz val="11.0"/>
        <u/>
      </rPr>
      <t>Chicago</t>
    </r>
  </si>
  <si>
    <r>
      <rPr>
        <rFont val="&quot;Helvetica Neue&quot;, Helvetica, Arial, sans-serif"/>
        <color rgb="FF1155CC"/>
        <sz val="11.0"/>
        <u/>
      </rPr>
      <t>Kansas City</t>
    </r>
  </si>
  <si>
    <r>
      <rPr>
        <rFont val="&quot;Helvetica Neue&quot;, Helvetica, Arial, sans-serif"/>
        <color rgb="FF1155CC"/>
        <sz val="11.0"/>
        <u/>
      </rPr>
      <t>Philadelphia</t>
    </r>
  </si>
  <si>
    <r>
      <rPr>
        <rFont val="&quot;Helvetica Neue&quot;, Helvetica, Arial, sans-serif"/>
        <color rgb="FF1155CC"/>
        <sz val="11.0"/>
        <u/>
      </rPr>
      <t>Buffalo</t>
    </r>
  </si>
  <si>
    <r>
      <rPr>
        <rFont val="&quot;Helvetica Neue&quot;, Helvetica, Arial, sans-serif"/>
        <color rgb="FF1155CC"/>
        <sz val="11.0"/>
        <u/>
      </rPr>
      <t>Minnesota</t>
    </r>
  </si>
  <si>
    <r>
      <rPr>
        <rFont val="&quot;Helvetica Neue&quot;, Helvetica, Arial, sans-serif"/>
        <color rgb="FF1155CC"/>
        <sz val="11.0"/>
        <u/>
      </rPr>
      <t>Detroit</t>
    </r>
  </si>
  <si>
    <r>
      <rPr>
        <rFont val="&quot;Helvetica Neue&quot;, Helvetica, Arial, sans-serif"/>
        <color rgb="FF1155CC"/>
        <sz val="11.0"/>
        <u/>
      </rPr>
      <t>Green Bay</t>
    </r>
  </si>
  <si>
    <r>
      <rPr>
        <rFont val="&quot;Helvetica Neue&quot;, Helvetica, Arial, sans-serif"/>
        <color rgb="FF1155CC"/>
        <sz val="11.0"/>
        <u/>
      </rPr>
      <t>NY Jets</t>
    </r>
  </si>
  <si>
    <r>
      <rPr>
        <rFont val="&quot;Helvetica Neue&quot;, Helvetica, Arial, sans-serif"/>
        <color rgb="FF1155CC"/>
        <sz val="11.0"/>
        <u/>
      </rPr>
      <t>Indianapolis</t>
    </r>
  </si>
  <si>
    <r>
      <rPr>
        <rFont val="&quot;Helvetica Neue&quot;, Helvetica, Arial, sans-serif"/>
        <color rgb="FF1155CC"/>
        <sz val="11.0"/>
        <u/>
      </rPr>
      <t>NY Giants</t>
    </r>
  </si>
  <si>
    <r>
      <rPr>
        <rFont val="&quot;Helvetica Neue&quot;, Helvetica, Arial, sans-serif"/>
        <color rgb="FF1155CC"/>
        <sz val="11.0"/>
        <u/>
      </rPr>
      <t>Miami</t>
    </r>
  </si>
  <si>
    <r>
      <rPr>
        <rFont val="&quot;Helvetica Neue&quot;, Helvetica, Arial, sans-serif"/>
        <color rgb="FF1155CC"/>
        <sz val="11.0"/>
        <u/>
      </rPr>
      <t>Washington</t>
    </r>
  </si>
  <si>
    <r>
      <rPr>
        <rFont val="&quot;Helvetica Neue&quot;, Helvetica, Arial, sans-serif"/>
        <color rgb="FF1155CC"/>
        <sz val="11.0"/>
        <u/>
      </rPr>
      <t>San Francisco</t>
    </r>
  </si>
  <si>
    <r>
      <rPr>
        <rFont val="&quot;Helvetica Neue&quot;, Helvetica, Arial, sans-serif"/>
        <color rgb="FF1155CC"/>
        <sz val="11.0"/>
        <u/>
      </rPr>
      <t>Houston</t>
    </r>
  </si>
  <si>
    <r>
      <rPr>
        <rFont val="&quot;Helvetica Neue&quot;, Helvetica, Arial, sans-serif"/>
        <color rgb="FF1155CC"/>
        <sz val="11.0"/>
        <u/>
      </rPr>
      <t>Cleveland</t>
    </r>
  </si>
  <si>
    <r>
      <rPr>
        <rFont val="&quot;Helvetica Neue&quot;, Helvetica, Arial, sans-serif"/>
        <color rgb="FF1155CC"/>
        <sz val="11.0"/>
        <u/>
      </rPr>
      <t>Seattle</t>
    </r>
  </si>
  <si>
    <r>
      <rPr>
        <rFont val="&quot;Helvetica Neue&quot;, Helvetica, Arial, sans-serif"/>
        <color rgb="FF1155CC"/>
        <sz val="11.0"/>
        <u/>
      </rPr>
      <t>Cincinnati</t>
    </r>
  </si>
  <si>
    <r>
      <rPr>
        <rFont val="&quot;Helvetica Neue&quot;, Helvetica, Arial, sans-serif"/>
        <color rgb="FF1155CC"/>
        <sz val="11.0"/>
        <u/>
      </rPr>
      <t>Tennessee</t>
    </r>
  </si>
  <si>
    <r>
      <rPr>
        <rFont val="&quot;Helvetica Neue&quot;, Helvetica, Arial, sans-serif"/>
        <color rgb="FF1155CC"/>
        <sz val="11.0"/>
        <u/>
      </rPr>
      <t>Atlanta</t>
    </r>
  </si>
  <si>
    <r>
      <rPr>
        <rFont val="&quot;Helvetica Neue&quot;, Helvetica, Arial, sans-serif"/>
        <color rgb="FF1155CC"/>
        <sz val="11.0"/>
        <u/>
      </rPr>
      <t>LA Rams</t>
    </r>
  </si>
  <si>
    <r>
      <rPr>
        <rFont val="&quot;Helvetica Neue&quot;, Helvetica, Arial, sans-serif"/>
        <color rgb="FF1155CC"/>
        <sz val="11.0"/>
        <u/>
      </rPr>
      <t>New England</t>
    </r>
  </si>
  <si>
    <r>
      <rPr>
        <rFont val="&quot;Helvetica Neue&quot;, Helvetica, Arial, sans-serif"/>
        <color rgb="FF1155CC"/>
        <sz val="11.0"/>
        <u/>
      </rPr>
      <t>Arizona</t>
    </r>
  </si>
  <si>
    <r>
      <rPr>
        <rFont val="&quot;Helvetica Neue&quot;, Helvetica, Arial, sans-serif"/>
        <color rgb="FF1155CC"/>
        <sz val="11.0"/>
        <u/>
      </rPr>
      <t>New Orleans</t>
    </r>
  </si>
  <si>
    <r>
      <rPr>
        <rFont val="&quot;Helvetica Neue&quot;, Helvetica, Arial, sans-serif"/>
        <color rgb="FF1155CC"/>
        <sz val="11.0"/>
        <u/>
      </rPr>
      <t>Baltimore</t>
    </r>
  </si>
  <si>
    <r>
      <rPr>
        <rFont val="&quot;Helvetica Neue&quot;, Helvetica, Arial, sans-serif"/>
        <color rgb="FF1155CC"/>
        <sz val="11.0"/>
        <u/>
      </rPr>
      <t>Tampa Bay</t>
    </r>
  </si>
  <si>
    <r>
      <rPr>
        <rFont val="&quot;Helvetica Neue&quot;, Helvetica, Arial, sans-serif"/>
        <color rgb="FF1155CC"/>
        <sz val="11.0"/>
        <u/>
      </rPr>
      <t>Las Vegas</t>
    </r>
  </si>
  <si>
    <r>
      <rPr>
        <rFont val="&quot;Helvetica Neue&quot;, Helvetica, Arial, sans-serif"/>
        <color rgb="FF1155CC"/>
        <sz val="11.0"/>
        <u/>
      </rPr>
      <t>Jacksonville</t>
    </r>
  </si>
  <si>
    <r>
      <rPr>
        <rFont val="&quot;Helvetica Neue&quot;, Helvetica, Arial, sans-serif"/>
        <color rgb="FF1155CC"/>
        <sz val="11.0"/>
        <u/>
      </rPr>
      <t>Dallas</t>
    </r>
  </si>
  <si>
    <r>
      <rPr>
        <rFont val="&quot;Helvetica Neue&quot;, Helvetica, Arial, sans-serif"/>
        <color rgb="FF1155CC"/>
        <sz val="11.0"/>
        <u/>
      </rPr>
      <t>Carolina</t>
    </r>
  </si>
  <si>
    <r>
      <rPr>
        <rFont val="&quot;Helvetica Neue&quot;, Helvetica, Arial, sans-serif"/>
        <color rgb="FF1155CC"/>
        <sz val="11.0"/>
        <u/>
      </rPr>
      <t>Baltimore</t>
    </r>
  </si>
  <si>
    <r>
      <rPr>
        <rFont val="&quot;Helvetica Neue&quot;, Helvetica, Arial, sans-serif"/>
        <color rgb="FF1155CC"/>
        <sz val="11.0"/>
        <u/>
      </rPr>
      <t>Washington</t>
    </r>
  </si>
  <si>
    <r>
      <rPr>
        <rFont val="&quot;Helvetica Neue&quot;, Helvetica, Arial, sans-serif"/>
        <color rgb="FF1155CC"/>
        <sz val="11.0"/>
        <u/>
      </rPr>
      <t>Detroit</t>
    </r>
  </si>
  <si>
    <r>
      <rPr>
        <rFont val="&quot;Helvetica Neue&quot;, Helvetica, Arial, sans-serif"/>
        <color rgb="FF1155CC"/>
        <sz val="11.0"/>
        <u/>
      </rPr>
      <t>Tampa Bay</t>
    </r>
  </si>
  <si>
    <r>
      <rPr>
        <rFont val="&quot;Helvetica Neue&quot;, Helvetica, Arial, sans-serif"/>
        <color rgb="FF1155CC"/>
        <sz val="11.0"/>
        <u/>
      </rPr>
      <t>Buffalo</t>
    </r>
  </si>
  <si>
    <r>
      <rPr>
        <rFont val="&quot;Helvetica Neue&quot;, Helvetica, Arial, sans-serif"/>
        <color rgb="FF1155CC"/>
        <sz val="11.0"/>
        <u/>
      </rPr>
      <t>Minnesota</t>
    </r>
  </si>
  <si>
    <r>
      <rPr>
        <rFont val="&quot;Helvetica Neue&quot;, Helvetica, Arial, sans-serif"/>
        <color rgb="FF1155CC"/>
        <sz val="11.0"/>
        <u/>
      </rPr>
      <t>Green Bay</t>
    </r>
  </si>
  <si>
    <r>
      <rPr>
        <rFont val="&quot;Helvetica Neue&quot;, Helvetica, Arial, sans-serif"/>
        <color rgb="FF1155CC"/>
        <sz val="11.0"/>
        <u/>
      </rPr>
      <t>Seattle</t>
    </r>
  </si>
  <si>
    <r>
      <rPr>
        <rFont val="&quot;Helvetica Neue&quot;, Helvetica, Arial, sans-serif"/>
        <color rgb="FF1155CC"/>
        <sz val="11.0"/>
        <u/>
      </rPr>
      <t>San Francisco</t>
    </r>
  </si>
  <si>
    <r>
      <rPr>
        <rFont val="&quot;Helvetica Neue&quot;, Helvetica, Arial, sans-serif"/>
        <color rgb="FF1155CC"/>
        <sz val="11.0"/>
        <u/>
      </rPr>
      <t>Cincinnati</t>
    </r>
  </si>
  <si>
    <r>
      <rPr>
        <rFont val="&quot;Helvetica Neue&quot;, Helvetica, Arial, sans-serif"/>
        <color rgb="FF1155CC"/>
        <sz val="11.0"/>
        <u/>
      </rPr>
      <t>New Orleans</t>
    </r>
  </si>
  <si>
    <r>
      <rPr>
        <rFont val="&quot;Helvetica Neue&quot;, Helvetica, Arial, sans-serif"/>
        <color rgb="FF1155CC"/>
        <sz val="11.0"/>
        <u/>
      </rPr>
      <t>Chicago</t>
    </r>
  </si>
  <si>
    <r>
      <rPr>
        <rFont val="&quot;Helvetica Neue&quot;, Helvetica, Arial, sans-serif"/>
        <color rgb="FF1155CC"/>
        <sz val="11.0"/>
        <u/>
      </rPr>
      <t>Kansas City</t>
    </r>
  </si>
  <si>
    <r>
      <rPr>
        <rFont val="&quot;Helvetica Neue&quot;, Helvetica, Arial, sans-serif"/>
        <color rgb="FF1155CC"/>
        <sz val="11.0"/>
        <u/>
      </rPr>
      <t>Houston</t>
    </r>
  </si>
  <si>
    <r>
      <rPr>
        <rFont val="&quot;Helvetica Neue&quot;, Helvetica, Arial, sans-serif"/>
        <color rgb="FF1155CC"/>
        <sz val="11.0"/>
        <u/>
      </rPr>
      <t>Atlanta</t>
    </r>
  </si>
  <si>
    <r>
      <rPr>
        <rFont val="&quot;Helvetica Neue&quot;, Helvetica, Arial, sans-serif"/>
        <color rgb="FF1155CC"/>
        <sz val="11.0"/>
        <u/>
      </rPr>
      <t>Pittsburgh</t>
    </r>
  </si>
  <si>
    <r>
      <rPr>
        <rFont val="&quot;Helvetica Neue&quot;, Helvetica, Arial, sans-serif"/>
        <color rgb="FF1155CC"/>
        <sz val="11.0"/>
        <u/>
      </rPr>
      <t>Philadelphia</t>
    </r>
  </si>
  <si>
    <r>
      <rPr>
        <rFont val="&quot;Helvetica Neue&quot;, Helvetica, Arial, sans-serif"/>
        <color rgb="FF1155CC"/>
        <sz val="11.0"/>
        <u/>
      </rPr>
      <t>Indianapolis</t>
    </r>
  </si>
  <si>
    <r>
      <rPr>
        <rFont val="&quot;Helvetica Neue&quot;, Helvetica, Arial, sans-serif"/>
        <color rgb="FF1155CC"/>
        <sz val="11.0"/>
        <u/>
      </rPr>
      <t>Arizona</t>
    </r>
  </si>
  <si>
    <r>
      <rPr>
        <rFont val="&quot;Helvetica Neue&quot;, Helvetica, Arial, sans-serif"/>
        <color rgb="FF1155CC"/>
        <sz val="11.0"/>
        <u/>
      </rPr>
      <t>Dallas</t>
    </r>
  </si>
  <si>
    <r>
      <rPr>
        <rFont val="&quot;Helvetica Neue&quot;, Helvetica, Arial, sans-serif"/>
        <color rgb="FF1155CC"/>
        <sz val="11.0"/>
        <u/>
      </rPr>
      <t>Denver</t>
    </r>
  </si>
  <si>
    <r>
      <rPr>
        <rFont val="&quot;Helvetica Neue&quot;, Helvetica, Arial, sans-serif"/>
        <color rgb="FF1155CC"/>
        <sz val="11.0"/>
        <u/>
      </rPr>
      <t>Jacksonville</t>
    </r>
  </si>
  <si>
    <r>
      <rPr>
        <rFont val="&quot;Helvetica Neue&quot;, Helvetica, Arial, sans-serif"/>
        <color rgb="FF1155CC"/>
        <sz val="11.0"/>
        <u/>
      </rPr>
      <t>LA Rams</t>
    </r>
  </si>
  <si>
    <r>
      <rPr>
        <rFont val="&quot;Helvetica Neue&quot;, Helvetica, Arial, sans-serif"/>
        <color rgb="FF1155CC"/>
        <sz val="11.0"/>
        <u/>
      </rPr>
      <t>NY Jets</t>
    </r>
  </si>
  <si>
    <r>
      <rPr>
        <rFont val="&quot;Helvetica Neue&quot;, Helvetica, Arial, sans-serif"/>
        <color rgb="FF1155CC"/>
        <sz val="11.0"/>
        <u/>
      </rPr>
      <t>Las Vegas</t>
    </r>
  </si>
  <si>
    <r>
      <rPr>
        <rFont val="&quot;Helvetica Neue&quot;, Helvetica, Arial, sans-serif"/>
        <color rgb="FF1155CC"/>
        <sz val="11.0"/>
        <u/>
      </rPr>
      <t>LA Chargers</t>
    </r>
  </si>
  <si>
    <r>
      <rPr>
        <rFont val="&quot;Helvetica Neue&quot;, Helvetica, Arial, sans-serif"/>
        <color rgb="FF1155CC"/>
        <sz val="11.0"/>
        <u/>
      </rPr>
      <t>Tennessee</t>
    </r>
  </si>
  <si>
    <r>
      <rPr>
        <rFont val="&quot;Helvetica Neue&quot;, Helvetica, Arial, sans-serif"/>
        <color rgb="FF1155CC"/>
        <sz val="11.0"/>
        <u/>
      </rPr>
      <t>Carolina</t>
    </r>
  </si>
  <si>
    <r>
      <rPr>
        <rFont val="&quot;Helvetica Neue&quot;, Helvetica, Arial, sans-serif"/>
        <color rgb="FF1155CC"/>
        <sz val="11.0"/>
        <u/>
      </rPr>
      <t>Cleveland</t>
    </r>
  </si>
  <si>
    <r>
      <rPr>
        <rFont val="&quot;Helvetica Neue&quot;, Helvetica, Arial, sans-serif"/>
        <color rgb="FF1155CC"/>
        <sz val="11.0"/>
        <u/>
      </rPr>
      <t>New England</t>
    </r>
  </si>
  <si>
    <r>
      <rPr>
        <rFont val="&quot;Helvetica Neue&quot;, Helvetica, Arial, sans-serif"/>
        <color rgb="FF1155CC"/>
        <sz val="11.0"/>
        <u/>
      </rPr>
      <t>NY Giants</t>
    </r>
  </si>
  <si>
    <r>
      <rPr>
        <rFont val="&quot;Helvetica Neue&quot;, Helvetica, Arial, sans-serif"/>
        <color rgb="FF1155CC"/>
        <sz val="11.0"/>
        <u/>
      </rPr>
      <t>Miami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</si>
</sst>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9.0"/>
      <color rgb="FF000000"/>
      <name val="&quot;Google Sans Mono&quot;"/>
    </font>
    <font>
      <sz val="11.0"/>
      <color theme="1"/>
      <name val="Arial"/>
    </font>
    <font>
      <u/>
      <color rgb="FF0000FF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222222"/>
      <name val="&quot;Helvetica Neue&quot;"/>
    </font>
    <font>
      <sz val="11.0"/>
      <color rgb="FF222222"/>
      <name val="&quot;Helvetica Neue&quot;"/>
    </font>
    <font>
      <u/>
      <sz val="11.0"/>
      <color rgb="FF0000FF"/>
      <name val="&quot;Helvetica Neue&quot;"/>
    </font>
    <font>
      <b/>
      <color theme="1"/>
      <name val="Inherit"/>
    </font>
    <font>
      <color theme="1"/>
      <name val="Inherit"/>
    </font>
    <font>
      <u/>
      <color rgb="FF0000FF"/>
      <name val="Inherit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EFEFEF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2" fontId="2" numFmtId="0" xfId="0" applyFill="1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1" numFmtId="14" xfId="0" applyFont="1" applyNumberFormat="1"/>
    <xf borderId="0" fillId="0" fontId="4" numFmtId="0" xfId="0" applyFont="1"/>
    <xf borderId="0" fillId="0" fontId="5" numFmtId="0" xfId="0" applyAlignment="1" applyFont="1">
      <alignment vertical="bottom"/>
    </xf>
    <xf borderId="0" fillId="0" fontId="6" numFmtId="0" xfId="0" applyAlignment="1" applyFont="1">
      <alignment horizontal="center" vertical="top"/>
    </xf>
    <xf borderId="1" fillId="0" fontId="6" numFmtId="0" xfId="0" applyAlignment="1" applyBorder="1" applyFont="1">
      <alignment horizontal="center" vertical="top"/>
    </xf>
    <xf borderId="1" fillId="0" fontId="6" numFmtId="0" xfId="0" applyAlignment="1" applyBorder="1" applyFont="1">
      <alignment horizontal="center" readingOrder="0" vertical="top"/>
    </xf>
    <xf borderId="0" fillId="3" fontId="7" numFmtId="0" xfId="0" applyAlignment="1" applyFill="1" applyFont="1">
      <alignment horizontal="center" readingOrder="0"/>
    </xf>
    <xf borderId="0" fillId="3" fontId="7" numFmtId="0" xfId="0" applyAlignment="1" applyFont="1">
      <alignment horizontal="left" readingOrder="0"/>
    </xf>
    <xf borderId="0" fillId="3" fontId="7" numFmtId="0" xfId="0" applyAlignment="1" applyFont="1">
      <alignment horizontal="right" readingOrder="0"/>
    </xf>
    <xf borderId="0" fillId="3" fontId="7" numFmtId="0" xfId="0" applyAlignment="1" applyFont="1">
      <alignment horizontal="right" readingOrder="0" shrinkToFit="0" wrapText="0"/>
    </xf>
    <xf borderId="2" fillId="2" fontId="8" numFmtId="0" xfId="0" applyAlignment="1" applyBorder="1" applyFont="1">
      <alignment horizontal="center" readingOrder="0"/>
    </xf>
    <xf borderId="2" fillId="0" fontId="9" numFmtId="0" xfId="0" applyAlignment="1" applyBorder="1" applyFont="1">
      <alignment horizontal="left" readingOrder="0" shrinkToFit="0" wrapText="0"/>
    </xf>
    <xf borderId="2" fillId="2" fontId="8" numFmtId="0" xfId="0" applyAlignment="1" applyBorder="1" applyFont="1">
      <alignment horizontal="right" readingOrder="0"/>
    </xf>
    <xf borderId="0" fillId="3" fontId="10" numFmtId="0" xfId="0" applyAlignment="1" applyFont="1">
      <alignment horizontal="center" readingOrder="0"/>
    </xf>
    <xf borderId="0" fillId="3" fontId="10" numFmtId="0" xfId="0" applyAlignment="1" applyFont="1">
      <alignment horizontal="left" readingOrder="0"/>
    </xf>
    <xf borderId="0" fillId="3" fontId="10" numFmtId="0" xfId="0" applyAlignment="1" applyFont="1">
      <alignment horizontal="right" readingOrder="0"/>
    </xf>
    <xf borderId="0" fillId="3" fontId="10" numFmtId="0" xfId="0" applyAlignment="1" applyFont="1">
      <alignment horizontal="right" readingOrder="0" shrinkToFit="0" wrapText="0"/>
    </xf>
    <xf borderId="2" fillId="2" fontId="11" numFmtId="0" xfId="0" applyAlignment="1" applyBorder="1" applyFont="1">
      <alignment horizontal="center" readingOrder="0"/>
    </xf>
    <xf borderId="2" fillId="0" fontId="12" numFmtId="0" xfId="0" applyAlignment="1" applyBorder="1" applyFont="1">
      <alignment horizontal="left" readingOrder="0" shrinkToFit="0" wrapText="0"/>
    </xf>
    <xf borderId="2" fillId="2" fontId="11" numFmtId="0" xfId="0" applyAlignment="1" applyBorder="1" applyFont="1">
      <alignment horizontal="right" readingOrder="0"/>
    </xf>
    <xf borderId="0" fillId="2" fontId="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eamrankings.com/nfl/team/los-angeles-rams" TargetMode="External"/><Relationship Id="rId22" Type="http://schemas.openxmlformats.org/officeDocument/2006/relationships/hyperlink" Target="https://www.teamrankings.com/nfl/team/atlanta-falcons" TargetMode="External"/><Relationship Id="rId21" Type="http://schemas.openxmlformats.org/officeDocument/2006/relationships/hyperlink" Target="https://www.teamrankings.com/nfl/team/jacksonville-jaguars" TargetMode="External"/><Relationship Id="rId24" Type="http://schemas.openxmlformats.org/officeDocument/2006/relationships/hyperlink" Target="https://www.teamrankings.com/nfl/team/philadelphia-eagles" TargetMode="External"/><Relationship Id="rId23" Type="http://schemas.openxmlformats.org/officeDocument/2006/relationships/hyperlink" Target="https://www.teamrankings.com/nfl/team/dallas-cowboys" TargetMode="External"/><Relationship Id="rId1" Type="http://schemas.openxmlformats.org/officeDocument/2006/relationships/hyperlink" Target="https://www.teamrankings.com/nfl/team/buffalo-bills" TargetMode="External"/><Relationship Id="rId2" Type="http://schemas.openxmlformats.org/officeDocument/2006/relationships/hyperlink" Target="https://www.teamrankings.com/nfl/team/minnesota-vikings" TargetMode="External"/><Relationship Id="rId3" Type="http://schemas.openxmlformats.org/officeDocument/2006/relationships/hyperlink" Target="https://www.teamrankings.com/nfl/team/chicago-bears" TargetMode="External"/><Relationship Id="rId4" Type="http://schemas.openxmlformats.org/officeDocument/2006/relationships/hyperlink" Target="https://www.teamrankings.com/nfl/team/washington-commanders" TargetMode="External"/><Relationship Id="rId9" Type="http://schemas.openxmlformats.org/officeDocument/2006/relationships/hyperlink" Target="https://www.teamrankings.com/nfl/team/pittsburgh-steelers" TargetMode="External"/><Relationship Id="rId26" Type="http://schemas.openxmlformats.org/officeDocument/2006/relationships/hyperlink" Target="https://www.teamrankings.com/nfl/team/las-vegas-raiders" TargetMode="External"/><Relationship Id="rId25" Type="http://schemas.openxmlformats.org/officeDocument/2006/relationships/hyperlink" Target="https://www.teamrankings.com/nfl/team/cleveland-browns" TargetMode="External"/><Relationship Id="rId28" Type="http://schemas.openxmlformats.org/officeDocument/2006/relationships/hyperlink" Target="https://www.teamrankings.com/nfl/team/los-angeles-chargers" TargetMode="External"/><Relationship Id="rId27" Type="http://schemas.openxmlformats.org/officeDocument/2006/relationships/hyperlink" Target="https://www.teamrankings.com/nfl/team/new-york-jets" TargetMode="External"/><Relationship Id="rId5" Type="http://schemas.openxmlformats.org/officeDocument/2006/relationships/hyperlink" Target="https://www.teamrankings.com/nfl/team/new-orleans-saints" TargetMode="External"/><Relationship Id="rId6" Type="http://schemas.openxmlformats.org/officeDocument/2006/relationships/hyperlink" Target="https://www.teamrankings.com/nfl/team/tampa-bay-buccaneers" TargetMode="External"/><Relationship Id="rId29" Type="http://schemas.openxmlformats.org/officeDocument/2006/relationships/hyperlink" Target="https://www.teamrankings.com/nfl/team/carolina-panthers" TargetMode="External"/><Relationship Id="rId7" Type="http://schemas.openxmlformats.org/officeDocument/2006/relationships/hyperlink" Target="https://www.teamrankings.com/nfl/team/cincinnati-bengals" TargetMode="External"/><Relationship Id="rId8" Type="http://schemas.openxmlformats.org/officeDocument/2006/relationships/hyperlink" Target="https://www.teamrankings.com/nfl/team/detroit-lions" TargetMode="External"/><Relationship Id="rId31" Type="http://schemas.openxmlformats.org/officeDocument/2006/relationships/hyperlink" Target="https://www.teamrankings.com/nfl/team/new-york-giants" TargetMode="External"/><Relationship Id="rId30" Type="http://schemas.openxmlformats.org/officeDocument/2006/relationships/hyperlink" Target="https://www.teamrankings.com/nfl/team/new-england-patriots" TargetMode="External"/><Relationship Id="rId11" Type="http://schemas.openxmlformats.org/officeDocument/2006/relationships/hyperlink" Target="https://www.teamrankings.com/nfl/team/seattle-seahawks" TargetMode="External"/><Relationship Id="rId33" Type="http://schemas.openxmlformats.org/officeDocument/2006/relationships/drawing" Target="../drawings/drawing10.xml"/><Relationship Id="rId10" Type="http://schemas.openxmlformats.org/officeDocument/2006/relationships/hyperlink" Target="https://www.teamrankings.com/nfl/team/denver-broncos" TargetMode="External"/><Relationship Id="rId32" Type="http://schemas.openxmlformats.org/officeDocument/2006/relationships/hyperlink" Target="https://www.teamrankings.com/nfl/team/miami-dolphins" TargetMode="External"/><Relationship Id="rId13" Type="http://schemas.openxmlformats.org/officeDocument/2006/relationships/hyperlink" Target="https://www.teamrankings.com/nfl/team/kansas-city-chiefs" TargetMode="External"/><Relationship Id="rId12" Type="http://schemas.openxmlformats.org/officeDocument/2006/relationships/hyperlink" Target="https://www.teamrankings.com/nfl/team/green-bay-packers" TargetMode="External"/><Relationship Id="rId15" Type="http://schemas.openxmlformats.org/officeDocument/2006/relationships/hyperlink" Target="https://www.teamrankings.com/nfl/team/baltimore-ravens" TargetMode="External"/><Relationship Id="rId14" Type="http://schemas.openxmlformats.org/officeDocument/2006/relationships/hyperlink" Target="https://www.teamrankings.com/nfl/team/tennessee-titans" TargetMode="External"/><Relationship Id="rId17" Type="http://schemas.openxmlformats.org/officeDocument/2006/relationships/hyperlink" Target="https://www.teamrankings.com/nfl/team/indianapolis-colts" TargetMode="External"/><Relationship Id="rId16" Type="http://schemas.openxmlformats.org/officeDocument/2006/relationships/hyperlink" Target="https://www.teamrankings.com/nfl/team/houston-texans" TargetMode="External"/><Relationship Id="rId19" Type="http://schemas.openxmlformats.org/officeDocument/2006/relationships/hyperlink" Target="https://www.teamrankings.com/nfl/team/san-francisco-49ers" TargetMode="External"/><Relationship Id="rId18" Type="http://schemas.openxmlformats.org/officeDocument/2006/relationships/hyperlink" Target="https://www.teamrankings.com/nfl/team/arizona-cardinals" TargetMode="External"/></Relationships>
</file>

<file path=xl/worksheets/_rels/sheet1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eamrankings.com/nfl/team/los-angeles-rams" TargetMode="External"/><Relationship Id="rId22" Type="http://schemas.openxmlformats.org/officeDocument/2006/relationships/hyperlink" Target="https://www.teamrankings.com/nfl/team/san-francisco-49ers" TargetMode="External"/><Relationship Id="rId21" Type="http://schemas.openxmlformats.org/officeDocument/2006/relationships/hyperlink" Target="https://www.teamrankings.com/nfl/team/new-york-jets" TargetMode="External"/><Relationship Id="rId24" Type="http://schemas.openxmlformats.org/officeDocument/2006/relationships/hyperlink" Target="https://www.teamrankings.com/nfl/team/baltimore-ravens" TargetMode="External"/><Relationship Id="rId23" Type="http://schemas.openxmlformats.org/officeDocument/2006/relationships/hyperlink" Target="https://www.teamrankings.com/nfl/team/atlanta-falcons" TargetMode="External"/><Relationship Id="rId1" Type="http://schemas.openxmlformats.org/officeDocument/2006/relationships/hyperlink" Target="https://www.teamrankings.com/nfl/team/los-angeles-chargers" TargetMode="External"/><Relationship Id="rId2" Type="http://schemas.openxmlformats.org/officeDocument/2006/relationships/hyperlink" Target="https://www.teamrankings.com/nfl/team/pittsburgh-steelers" TargetMode="External"/><Relationship Id="rId3" Type="http://schemas.openxmlformats.org/officeDocument/2006/relationships/hyperlink" Target="https://www.teamrankings.com/nfl/team/denver-broncos" TargetMode="External"/><Relationship Id="rId4" Type="http://schemas.openxmlformats.org/officeDocument/2006/relationships/hyperlink" Target="https://www.teamrankings.com/nfl/team/indianapolis-colts" TargetMode="External"/><Relationship Id="rId9" Type="http://schemas.openxmlformats.org/officeDocument/2006/relationships/hyperlink" Target="https://www.teamrankings.com/nfl/team/detroit-lions" TargetMode="External"/><Relationship Id="rId26" Type="http://schemas.openxmlformats.org/officeDocument/2006/relationships/hyperlink" Target="https://www.teamrankings.com/nfl/team/jacksonville-jaguars" TargetMode="External"/><Relationship Id="rId25" Type="http://schemas.openxmlformats.org/officeDocument/2006/relationships/hyperlink" Target="https://www.teamrankings.com/nfl/team/cleveland-browns" TargetMode="External"/><Relationship Id="rId28" Type="http://schemas.openxmlformats.org/officeDocument/2006/relationships/hyperlink" Target="https://www.teamrankings.com/nfl/team/dallas-cowboys" TargetMode="External"/><Relationship Id="rId27" Type="http://schemas.openxmlformats.org/officeDocument/2006/relationships/hyperlink" Target="https://www.teamrankings.com/nfl/team/miami-dolphins" TargetMode="External"/><Relationship Id="rId5" Type="http://schemas.openxmlformats.org/officeDocument/2006/relationships/hyperlink" Target="https://www.teamrankings.com/nfl/team/kansas-city-chiefs" TargetMode="External"/><Relationship Id="rId6" Type="http://schemas.openxmlformats.org/officeDocument/2006/relationships/hyperlink" Target="https://www.teamrankings.com/nfl/team/minnesota-vikings" TargetMode="External"/><Relationship Id="rId29" Type="http://schemas.openxmlformats.org/officeDocument/2006/relationships/hyperlink" Target="https://www.teamrankings.com/nfl/team/houston-texans" TargetMode="External"/><Relationship Id="rId7" Type="http://schemas.openxmlformats.org/officeDocument/2006/relationships/hyperlink" Target="https://www.teamrankings.com/nfl/team/buffalo-bills" TargetMode="External"/><Relationship Id="rId8" Type="http://schemas.openxmlformats.org/officeDocument/2006/relationships/hyperlink" Target="https://www.teamrankings.com/nfl/team/chicago-bears" TargetMode="External"/><Relationship Id="rId31" Type="http://schemas.openxmlformats.org/officeDocument/2006/relationships/hyperlink" Target="https://www.teamrankings.com/nfl/team/tennessee-titans" TargetMode="External"/><Relationship Id="rId30" Type="http://schemas.openxmlformats.org/officeDocument/2006/relationships/hyperlink" Target="https://www.teamrankings.com/nfl/team/las-vegas-raiders" TargetMode="External"/><Relationship Id="rId11" Type="http://schemas.openxmlformats.org/officeDocument/2006/relationships/hyperlink" Target="https://www.teamrankings.com/nfl/team/green-bay-packers" TargetMode="External"/><Relationship Id="rId33" Type="http://schemas.openxmlformats.org/officeDocument/2006/relationships/drawing" Target="../drawings/drawing11.xml"/><Relationship Id="rId10" Type="http://schemas.openxmlformats.org/officeDocument/2006/relationships/hyperlink" Target="https://www.teamrankings.com/nfl/team/philadelphia-eagles" TargetMode="External"/><Relationship Id="rId32" Type="http://schemas.openxmlformats.org/officeDocument/2006/relationships/hyperlink" Target="https://www.teamrankings.com/nfl/team/carolina-panthers" TargetMode="External"/><Relationship Id="rId13" Type="http://schemas.openxmlformats.org/officeDocument/2006/relationships/hyperlink" Target="https://www.teamrankings.com/nfl/team/washington-commanders" TargetMode="External"/><Relationship Id="rId12" Type="http://schemas.openxmlformats.org/officeDocument/2006/relationships/hyperlink" Target="https://www.teamrankings.com/nfl/team/new-orleans-saints" TargetMode="External"/><Relationship Id="rId15" Type="http://schemas.openxmlformats.org/officeDocument/2006/relationships/hyperlink" Target="https://www.teamrankings.com/nfl/team/cincinnati-bengals" TargetMode="External"/><Relationship Id="rId14" Type="http://schemas.openxmlformats.org/officeDocument/2006/relationships/hyperlink" Target="https://www.teamrankings.com/nfl/team/new-york-giants" TargetMode="External"/><Relationship Id="rId17" Type="http://schemas.openxmlformats.org/officeDocument/2006/relationships/hyperlink" Target="https://www.teamrankings.com/nfl/team/arizona-cardinals" TargetMode="External"/><Relationship Id="rId16" Type="http://schemas.openxmlformats.org/officeDocument/2006/relationships/hyperlink" Target="https://www.teamrankings.com/nfl/team/tampa-bay-buccaneers" TargetMode="External"/><Relationship Id="rId19" Type="http://schemas.openxmlformats.org/officeDocument/2006/relationships/hyperlink" Target="https://www.teamrankings.com/nfl/team/new-england-patriots" TargetMode="External"/><Relationship Id="rId18" Type="http://schemas.openxmlformats.org/officeDocument/2006/relationships/hyperlink" Target="https://www.teamrankings.com/nfl/team/seattle-seahawks" TargetMode="External"/></Relationships>
</file>

<file path=xl/worksheets/_rels/sheet1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eamrankings.com/nfl/team/pittsburgh-steelers" TargetMode="External"/><Relationship Id="rId22" Type="http://schemas.openxmlformats.org/officeDocument/2006/relationships/hyperlink" Target="https://www.teamrankings.com/nfl/team/miami-dolphins" TargetMode="External"/><Relationship Id="rId21" Type="http://schemas.openxmlformats.org/officeDocument/2006/relationships/hyperlink" Target="https://www.teamrankings.com/nfl/team/new-orleans-saints" TargetMode="External"/><Relationship Id="rId24" Type="http://schemas.openxmlformats.org/officeDocument/2006/relationships/hyperlink" Target="https://www.teamrankings.com/nfl/team/chicago-bears" TargetMode="External"/><Relationship Id="rId23" Type="http://schemas.openxmlformats.org/officeDocument/2006/relationships/hyperlink" Target="https://www.teamrankings.com/nfl/team/new-york-jets" TargetMode="External"/><Relationship Id="rId1" Type="http://schemas.openxmlformats.org/officeDocument/2006/relationships/hyperlink" Target="https://www.teamrankings.com/nfl/team/baltimore-ravens" TargetMode="External"/><Relationship Id="rId2" Type="http://schemas.openxmlformats.org/officeDocument/2006/relationships/hyperlink" Target="https://www.teamrankings.com/nfl/team/detroit-lions" TargetMode="External"/><Relationship Id="rId3" Type="http://schemas.openxmlformats.org/officeDocument/2006/relationships/hyperlink" Target="https://www.teamrankings.com/nfl/team/san-francisco-49ers" TargetMode="External"/><Relationship Id="rId4" Type="http://schemas.openxmlformats.org/officeDocument/2006/relationships/hyperlink" Target="https://www.teamrankings.com/nfl/team/washington-commanders" TargetMode="External"/><Relationship Id="rId9" Type="http://schemas.openxmlformats.org/officeDocument/2006/relationships/hyperlink" Target="https://www.teamrankings.com/nfl/team/philadelphia-eagles" TargetMode="External"/><Relationship Id="rId26" Type="http://schemas.openxmlformats.org/officeDocument/2006/relationships/hyperlink" Target="https://www.teamrankings.com/nfl/team/las-vegas-raiders" TargetMode="External"/><Relationship Id="rId25" Type="http://schemas.openxmlformats.org/officeDocument/2006/relationships/hyperlink" Target="https://www.teamrankings.com/nfl/team/los-angeles-chargers" TargetMode="External"/><Relationship Id="rId28" Type="http://schemas.openxmlformats.org/officeDocument/2006/relationships/hyperlink" Target="https://www.teamrankings.com/nfl/team/new-york-giants" TargetMode="External"/><Relationship Id="rId27" Type="http://schemas.openxmlformats.org/officeDocument/2006/relationships/hyperlink" Target="https://www.teamrankings.com/nfl/team/denver-broncos" TargetMode="External"/><Relationship Id="rId5" Type="http://schemas.openxmlformats.org/officeDocument/2006/relationships/hyperlink" Target="https://www.teamrankings.com/nfl/team/tampa-bay-buccaneers" TargetMode="External"/><Relationship Id="rId6" Type="http://schemas.openxmlformats.org/officeDocument/2006/relationships/hyperlink" Target="https://www.teamrankings.com/nfl/team/green-bay-packers" TargetMode="External"/><Relationship Id="rId29" Type="http://schemas.openxmlformats.org/officeDocument/2006/relationships/hyperlink" Target="https://www.teamrankings.com/nfl/team/carolina-panthers" TargetMode="External"/><Relationship Id="rId7" Type="http://schemas.openxmlformats.org/officeDocument/2006/relationships/hyperlink" Target="https://www.teamrankings.com/nfl/team/atlanta-falcons" TargetMode="External"/><Relationship Id="rId8" Type="http://schemas.openxmlformats.org/officeDocument/2006/relationships/hyperlink" Target="https://www.teamrankings.com/nfl/team/seattle-seahawks" TargetMode="External"/><Relationship Id="rId31" Type="http://schemas.openxmlformats.org/officeDocument/2006/relationships/hyperlink" Target="https://www.teamrankings.com/nfl/team/tennessee-titans" TargetMode="External"/><Relationship Id="rId30" Type="http://schemas.openxmlformats.org/officeDocument/2006/relationships/hyperlink" Target="https://www.teamrankings.com/nfl/team/new-england-patriots" TargetMode="External"/><Relationship Id="rId11" Type="http://schemas.openxmlformats.org/officeDocument/2006/relationships/hyperlink" Target="https://www.teamrankings.com/nfl/team/houston-texans" TargetMode="External"/><Relationship Id="rId33" Type="http://schemas.openxmlformats.org/officeDocument/2006/relationships/drawing" Target="../drawings/drawing12.xml"/><Relationship Id="rId10" Type="http://schemas.openxmlformats.org/officeDocument/2006/relationships/hyperlink" Target="https://www.teamrankings.com/nfl/team/kansas-city-chiefs" TargetMode="External"/><Relationship Id="rId32" Type="http://schemas.openxmlformats.org/officeDocument/2006/relationships/hyperlink" Target="https://www.teamrankings.com/nfl/team/cleveland-browns" TargetMode="External"/><Relationship Id="rId13" Type="http://schemas.openxmlformats.org/officeDocument/2006/relationships/hyperlink" Target="https://www.teamrankings.com/nfl/team/cincinnati-bengals" TargetMode="External"/><Relationship Id="rId12" Type="http://schemas.openxmlformats.org/officeDocument/2006/relationships/hyperlink" Target="https://www.teamrankings.com/nfl/team/dallas-cowboys" TargetMode="External"/><Relationship Id="rId15" Type="http://schemas.openxmlformats.org/officeDocument/2006/relationships/hyperlink" Target="https://www.teamrankings.com/nfl/team/indianapolis-colts" TargetMode="External"/><Relationship Id="rId14" Type="http://schemas.openxmlformats.org/officeDocument/2006/relationships/hyperlink" Target="https://www.teamrankings.com/nfl/team/arizona-cardinals" TargetMode="External"/><Relationship Id="rId17" Type="http://schemas.openxmlformats.org/officeDocument/2006/relationships/hyperlink" Target="https://www.teamrankings.com/nfl/team/minnesota-vikings" TargetMode="External"/><Relationship Id="rId16" Type="http://schemas.openxmlformats.org/officeDocument/2006/relationships/hyperlink" Target="https://www.teamrankings.com/nfl/team/jacksonville-jaguars" TargetMode="External"/><Relationship Id="rId19" Type="http://schemas.openxmlformats.org/officeDocument/2006/relationships/hyperlink" Target="https://www.teamrankings.com/nfl/team/buffalo-bills" TargetMode="External"/><Relationship Id="rId18" Type="http://schemas.openxmlformats.org/officeDocument/2006/relationships/hyperlink" Target="https://www.teamrankings.com/nfl/team/los-angeles-rams" TargetMode="External"/></Relationships>
</file>

<file path=xl/worksheets/_rels/sheet1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eamrankings.com/nfl/team/seattle-seahawks" TargetMode="External"/><Relationship Id="rId22" Type="http://schemas.openxmlformats.org/officeDocument/2006/relationships/hyperlink" Target="https://www.teamrankings.com/nfl/team/los-angeles-rams" TargetMode="External"/><Relationship Id="rId21" Type="http://schemas.openxmlformats.org/officeDocument/2006/relationships/hyperlink" Target="https://www.teamrankings.com/nfl/team/minnesota-vikings" TargetMode="External"/><Relationship Id="rId24" Type="http://schemas.openxmlformats.org/officeDocument/2006/relationships/hyperlink" Target="https://www.teamrankings.com/nfl/team/baltimore-ravens" TargetMode="External"/><Relationship Id="rId23" Type="http://schemas.openxmlformats.org/officeDocument/2006/relationships/hyperlink" Target="https://www.teamrankings.com/nfl/team/cincinnati-bengals" TargetMode="External"/><Relationship Id="rId1" Type="http://schemas.openxmlformats.org/officeDocument/2006/relationships/hyperlink" Target="https://www.teamrankings.com/nfl/team/tennessee-titans" TargetMode="External"/><Relationship Id="rId2" Type="http://schemas.openxmlformats.org/officeDocument/2006/relationships/hyperlink" Target="https://www.teamrankings.com/nfl/team/houston-texans" TargetMode="External"/><Relationship Id="rId3" Type="http://schemas.openxmlformats.org/officeDocument/2006/relationships/hyperlink" Target="https://www.teamrankings.com/nfl/team/denver-broncos" TargetMode="External"/><Relationship Id="rId4" Type="http://schemas.openxmlformats.org/officeDocument/2006/relationships/hyperlink" Target="https://www.teamrankings.com/nfl/team/miami-dolphins" TargetMode="External"/><Relationship Id="rId9" Type="http://schemas.openxmlformats.org/officeDocument/2006/relationships/hyperlink" Target="https://www.teamrankings.com/nfl/team/philadelphia-eagles" TargetMode="External"/><Relationship Id="rId26" Type="http://schemas.openxmlformats.org/officeDocument/2006/relationships/hyperlink" Target="https://www.teamrankings.com/nfl/team/new-england-patriots" TargetMode="External"/><Relationship Id="rId25" Type="http://schemas.openxmlformats.org/officeDocument/2006/relationships/hyperlink" Target="https://www.teamrankings.com/nfl/team/dallas-cowboys" TargetMode="External"/><Relationship Id="rId28" Type="http://schemas.openxmlformats.org/officeDocument/2006/relationships/hyperlink" Target="https://www.teamrankings.com/nfl/team/arizona-cardinals" TargetMode="External"/><Relationship Id="rId27" Type="http://schemas.openxmlformats.org/officeDocument/2006/relationships/hyperlink" Target="https://www.teamrankings.com/nfl/team/jacksonville-jaguars" TargetMode="External"/><Relationship Id="rId5" Type="http://schemas.openxmlformats.org/officeDocument/2006/relationships/hyperlink" Target="https://www.teamrankings.com/nfl/team/chicago-bears" TargetMode="External"/><Relationship Id="rId6" Type="http://schemas.openxmlformats.org/officeDocument/2006/relationships/hyperlink" Target="https://www.teamrankings.com/nfl/team/new-york-jets" TargetMode="External"/><Relationship Id="rId29" Type="http://schemas.openxmlformats.org/officeDocument/2006/relationships/hyperlink" Target="https://www.teamrankings.com/nfl/team/indianapolis-colts" TargetMode="External"/><Relationship Id="rId7" Type="http://schemas.openxmlformats.org/officeDocument/2006/relationships/hyperlink" Target="https://www.teamrankings.com/nfl/team/los-angeles-chargers" TargetMode="External"/><Relationship Id="rId8" Type="http://schemas.openxmlformats.org/officeDocument/2006/relationships/hyperlink" Target="https://www.teamrankings.com/nfl/team/pittsburgh-steelers" TargetMode="External"/><Relationship Id="rId31" Type="http://schemas.openxmlformats.org/officeDocument/2006/relationships/hyperlink" Target="https://www.teamrankings.com/nfl/team/tampa-bay-buccaneers" TargetMode="External"/><Relationship Id="rId30" Type="http://schemas.openxmlformats.org/officeDocument/2006/relationships/hyperlink" Target="https://www.teamrankings.com/nfl/team/carolina-panthers" TargetMode="External"/><Relationship Id="rId11" Type="http://schemas.openxmlformats.org/officeDocument/2006/relationships/hyperlink" Target="https://www.teamrankings.com/nfl/team/las-vegas-raiders" TargetMode="External"/><Relationship Id="rId33" Type="http://schemas.openxmlformats.org/officeDocument/2006/relationships/drawing" Target="../drawings/drawing13.xml"/><Relationship Id="rId10" Type="http://schemas.openxmlformats.org/officeDocument/2006/relationships/hyperlink" Target="https://www.teamrankings.com/nfl/team/kansas-city-chiefs" TargetMode="External"/><Relationship Id="rId32" Type="http://schemas.openxmlformats.org/officeDocument/2006/relationships/hyperlink" Target="https://www.teamrankings.com/nfl/team/new-orleans-saints" TargetMode="External"/><Relationship Id="rId13" Type="http://schemas.openxmlformats.org/officeDocument/2006/relationships/hyperlink" Target="https://www.teamrankings.com/nfl/team/cleveland-browns" TargetMode="External"/><Relationship Id="rId12" Type="http://schemas.openxmlformats.org/officeDocument/2006/relationships/hyperlink" Target="https://www.teamrankings.com/nfl/team/new-york-giants" TargetMode="External"/><Relationship Id="rId15" Type="http://schemas.openxmlformats.org/officeDocument/2006/relationships/hyperlink" Target="https://www.teamrankings.com/nfl/team/green-bay-packers" TargetMode="External"/><Relationship Id="rId14" Type="http://schemas.openxmlformats.org/officeDocument/2006/relationships/hyperlink" Target="https://www.teamrankings.com/nfl/team/san-francisco-49ers" TargetMode="External"/><Relationship Id="rId17" Type="http://schemas.openxmlformats.org/officeDocument/2006/relationships/hyperlink" Target="https://www.teamrankings.com/nfl/team/atlanta-falcons" TargetMode="External"/><Relationship Id="rId16" Type="http://schemas.openxmlformats.org/officeDocument/2006/relationships/hyperlink" Target="https://www.teamrankings.com/nfl/team/washington-commanders" TargetMode="External"/><Relationship Id="rId19" Type="http://schemas.openxmlformats.org/officeDocument/2006/relationships/hyperlink" Target="https://www.teamrankings.com/nfl/team/buffalo-bills" TargetMode="External"/><Relationship Id="rId18" Type="http://schemas.openxmlformats.org/officeDocument/2006/relationships/hyperlink" Target="https://www.teamrankings.com/nfl/team/detroit-lions" TargetMode="External"/></Relationships>
</file>

<file path=xl/worksheets/_rels/sheet1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eamrankings.com/nfl/team/cincinnati-bengals" TargetMode="External"/><Relationship Id="rId22" Type="http://schemas.openxmlformats.org/officeDocument/2006/relationships/hyperlink" Target="https://www.teamrankings.com/nfl/team/atlanta-falcons" TargetMode="External"/><Relationship Id="rId21" Type="http://schemas.openxmlformats.org/officeDocument/2006/relationships/hyperlink" Target="https://www.teamrankings.com/nfl/team/tennessee-titans" TargetMode="External"/><Relationship Id="rId24" Type="http://schemas.openxmlformats.org/officeDocument/2006/relationships/hyperlink" Target="https://www.teamrankings.com/nfl/team/new-england-patriots" TargetMode="External"/><Relationship Id="rId23" Type="http://schemas.openxmlformats.org/officeDocument/2006/relationships/hyperlink" Target="https://www.teamrankings.com/nfl/team/los-angeles-rams" TargetMode="External"/><Relationship Id="rId1" Type="http://schemas.openxmlformats.org/officeDocument/2006/relationships/hyperlink" Target="https://www.teamrankings.com/nfl/team/los-angeles-chargers" TargetMode="External"/><Relationship Id="rId2" Type="http://schemas.openxmlformats.org/officeDocument/2006/relationships/hyperlink" Target="https://www.teamrankings.com/nfl/team/pittsburgh-steelers" TargetMode="External"/><Relationship Id="rId3" Type="http://schemas.openxmlformats.org/officeDocument/2006/relationships/hyperlink" Target="https://www.teamrankings.com/nfl/team/denver-broncos" TargetMode="External"/><Relationship Id="rId4" Type="http://schemas.openxmlformats.org/officeDocument/2006/relationships/hyperlink" Target="https://www.teamrankings.com/nfl/team/chicago-bears" TargetMode="External"/><Relationship Id="rId9" Type="http://schemas.openxmlformats.org/officeDocument/2006/relationships/hyperlink" Target="https://www.teamrankings.com/nfl/team/detroit-lions" TargetMode="External"/><Relationship Id="rId26" Type="http://schemas.openxmlformats.org/officeDocument/2006/relationships/hyperlink" Target="https://www.teamrankings.com/nfl/team/new-orleans-saints" TargetMode="External"/><Relationship Id="rId25" Type="http://schemas.openxmlformats.org/officeDocument/2006/relationships/hyperlink" Target="https://www.teamrankings.com/nfl/team/arizona-cardinals" TargetMode="External"/><Relationship Id="rId28" Type="http://schemas.openxmlformats.org/officeDocument/2006/relationships/hyperlink" Target="https://www.teamrankings.com/nfl/team/tampa-bay-buccaneers" TargetMode="External"/><Relationship Id="rId27" Type="http://schemas.openxmlformats.org/officeDocument/2006/relationships/hyperlink" Target="https://www.teamrankings.com/nfl/team/baltimore-ravens" TargetMode="External"/><Relationship Id="rId5" Type="http://schemas.openxmlformats.org/officeDocument/2006/relationships/hyperlink" Target="https://www.teamrankings.com/nfl/team/kansas-city-chiefs" TargetMode="External"/><Relationship Id="rId6" Type="http://schemas.openxmlformats.org/officeDocument/2006/relationships/hyperlink" Target="https://www.teamrankings.com/nfl/team/philadelphia-eagles" TargetMode="External"/><Relationship Id="rId29" Type="http://schemas.openxmlformats.org/officeDocument/2006/relationships/hyperlink" Target="https://www.teamrankings.com/nfl/team/las-vegas-raiders" TargetMode="External"/><Relationship Id="rId7" Type="http://schemas.openxmlformats.org/officeDocument/2006/relationships/hyperlink" Target="https://www.teamrankings.com/nfl/team/buffalo-bills" TargetMode="External"/><Relationship Id="rId8" Type="http://schemas.openxmlformats.org/officeDocument/2006/relationships/hyperlink" Target="https://www.teamrankings.com/nfl/team/minnesota-vikings" TargetMode="External"/><Relationship Id="rId31" Type="http://schemas.openxmlformats.org/officeDocument/2006/relationships/hyperlink" Target="https://www.teamrankings.com/nfl/team/dallas-cowboys" TargetMode="External"/><Relationship Id="rId30" Type="http://schemas.openxmlformats.org/officeDocument/2006/relationships/hyperlink" Target="https://www.teamrankings.com/nfl/team/jacksonville-jaguars" TargetMode="External"/><Relationship Id="rId11" Type="http://schemas.openxmlformats.org/officeDocument/2006/relationships/hyperlink" Target="https://www.teamrankings.com/nfl/team/new-york-jets" TargetMode="External"/><Relationship Id="rId33" Type="http://schemas.openxmlformats.org/officeDocument/2006/relationships/drawing" Target="../drawings/drawing14.xml"/><Relationship Id="rId10" Type="http://schemas.openxmlformats.org/officeDocument/2006/relationships/hyperlink" Target="https://www.teamrankings.com/nfl/team/green-bay-packers" TargetMode="External"/><Relationship Id="rId32" Type="http://schemas.openxmlformats.org/officeDocument/2006/relationships/hyperlink" Target="https://www.teamrankings.com/nfl/team/carolina-panthers" TargetMode="External"/><Relationship Id="rId13" Type="http://schemas.openxmlformats.org/officeDocument/2006/relationships/hyperlink" Target="https://www.teamrankings.com/nfl/team/new-york-giants" TargetMode="External"/><Relationship Id="rId12" Type="http://schemas.openxmlformats.org/officeDocument/2006/relationships/hyperlink" Target="https://www.teamrankings.com/nfl/team/indianapolis-colts" TargetMode="External"/><Relationship Id="rId15" Type="http://schemas.openxmlformats.org/officeDocument/2006/relationships/hyperlink" Target="https://www.teamrankings.com/nfl/team/washington-commanders" TargetMode="External"/><Relationship Id="rId14" Type="http://schemas.openxmlformats.org/officeDocument/2006/relationships/hyperlink" Target="https://www.teamrankings.com/nfl/team/miami-dolphins" TargetMode="External"/><Relationship Id="rId17" Type="http://schemas.openxmlformats.org/officeDocument/2006/relationships/hyperlink" Target="https://www.teamrankings.com/nfl/team/houston-texans" TargetMode="External"/><Relationship Id="rId16" Type="http://schemas.openxmlformats.org/officeDocument/2006/relationships/hyperlink" Target="https://www.teamrankings.com/nfl/team/san-francisco-49ers" TargetMode="External"/><Relationship Id="rId19" Type="http://schemas.openxmlformats.org/officeDocument/2006/relationships/hyperlink" Target="https://www.teamrankings.com/nfl/team/seattle-seahawks" TargetMode="External"/><Relationship Id="rId18" Type="http://schemas.openxmlformats.org/officeDocument/2006/relationships/hyperlink" Target="https://www.teamrankings.com/nfl/team/cleveland-browns" TargetMode="External"/></Relationships>
</file>

<file path=xl/worksheets/_rels/sheet1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eamrankings.com/nfl/team/dallas-cowboys" TargetMode="External"/><Relationship Id="rId22" Type="http://schemas.openxmlformats.org/officeDocument/2006/relationships/hyperlink" Target="https://www.teamrankings.com/nfl/team/jacksonville-jaguars" TargetMode="External"/><Relationship Id="rId21" Type="http://schemas.openxmlformats.org/officeDocument/2006/relationships/hyperlink" Target="https://www.teamrankings.com/nfl/team/denver-broncos" TargetMode="External"/><Relationship Id="rId24" Type="http://schemas.openxmlformats.org/officeDocument/2006/relationships/hyperlink" Target="https://www.teamrankings.com/nfl/team/new-york-jets" TargetMode="External"/><Relationship Id="rId23" Type="http://schemas.openxmlformats.org/officeDocument/2006/relationships/hyperlink" Target="https://www.teamrankings.com/nfl/team/los-angeles-rams" TargetMode="External"/><Relationship Id="rId1" Type="http://schemas.openxmlformats.org/officeDocument/2006/relationships/hyperlink" Target="https://www.teamrankings.com/nfl/team/baltimore-ravens" TargetMode="External"/><Relationship Id="rId2" Type="http://schemas.openxmlformats.org/officeDocument/2006/relationships/hyperlink" Target="https://www.teamrankings.com/nfl/team/washington-commanders" TargetMode="External"/><Relationship Id="rId3" Type="http://schemas.openxmlformats.org/officeDocument/2006/relationships/hyperlink" Target="https://www.teamrankings.com/nfl/team/detroit-lions" TargetMode="External"/><Relationship Id="rId4" Type="http://schemas.openxmlformats.org/officeDocument/2006/relationships/hyperlink" Target="https://www.teamrankings.com/nfl/team/tampa-bay-buccaneers" TargetMode="External"/><Relationship Id="rId9" Type="http://schemas.openxmlformats.org/officeDocument/2006/relationships/hyperlink" Target="https://www.teamrankings.com/nfl/team/san-francisco-49ers" TargetMode="External"/><Relationship Id="rId26" Type="http://schemas.openxmlformats.org/officeDocument/2006/relationships/hyperlink" Target="https://www.teamrankings.com/nfl/team/los-angeles-chargers" TargetMode="External"/><Relationship Id="rId25" Type="http://schemas.openxmlformats.org/officeDocument/2006/relationships/hyperlink" Target="https://www.teamrankings.com/nfl/team/las-vegas-raiders" TargetMode="External"/><Relationship Id="rId28" Type="http://schemas.openxmlformats.org/officeDocument/2006/relationships/hyperlink" Target="https://www.teamrankings.com/nfl/team/carolina-panthers" TargetMode="External"/><Relationship Id="rId27" Type="http://schemas.openxmlformats.org/officeDocument/2006/relationships/hyperlink" Target="https://www.teamrankings.com/nfl/team/tennessee-titans" TargetMode="External"/><Relationship Id="rId5" Type="http://schemas.openxmlformats.org/officeDocument/2006/relationships/hyperlink" Target="https://www.teamrankings.com/nfl/team/buffalo-bills" TargetMode="External"/><Relationship Id="rId6" Type="http://schemas.openxmlformats.org/officeDocument/2006/relationships/hyperlink" Target="https://www.teamrankings.com/nfl/team/minnesota-vikings" TargetMode="External"/><Relationship Id="rId29" Type="http://schemas.openxmlformats.org/officeDocument/2006/relationships/hyperlink" Target="https://www.teamrankings.com/nfl/team/cleveland-browns" TargetMode="External"/><Relationship Id="rId7" Type="http://schemas.openxmlformats.org/officeDocument/2006/relationships/hyperlink" Target="https://www.teamrankings.com/nfl/team/green-bay-packers" TargetMode="External"/><Relationship Id="rId8" Type="http://schemas.openxmlformats.org/officeDocument/2006/relationships/hyperlink" Target="https://www.teamrankings.com/nfl/team/seattle-seahawks" TargetMode="External"/><Relationship Id="rId31" Type="http://schemas.openxmlformats.org/officeDocument/2006/relationships/hyperlink" Target="https://www.teamrankings.com/nfl/team/new-york-giants" TargetMode="External"/><Relationship Id="rId30" Type="http://schemas.openxmlformats.org/officeDocument/2006/relationships/hyperlink" Target="https://www.teamrankings.com/nfl/team/new-england-patriots" TargetMode="External"/><Relationship Id="rId11" Type="http://schemas.openxmlformats.org/officeDocument/2006/relationships/hyperlink" Target="https://www.teamrankings.com/nfl/team/new-orleans-saints" TargetMode="External"/><Relationship Id="rId33" Type="http://schemas.openxmlformats.org/officeDocument/2006/relationships/drawing" Target="../drawings/drawing15.xml"/><Relationship Id="rId10" Type="http://schemas.openxmlformats.org/officeDocument/2006/relationships/hyperlink" Target="https://www.teamrankings.com/nfl/team/cincinnati-bengals" TargetMode="External"/><Relationship Id="rId32" Type="http://schemas.openxmlformats.org/officeDocument/2006/relationships/hyperlink" Target="https://www.teamrankings.com/nfl/team/miami-dolphins" TargetMode="External"/><Relationship Id="rId13" Type="http://schemas.openxmlformats.org/officeDocument/2006/relationships/hyperlink" Target="https://www.teamrankings.com/nfl/team/kansas-city-chiefs" TargetMode="External"/><Relationship Id="rId12" Type="http://schemas.openxmlformats.org/officeDocument/2006/relationships/hyperlink" Target="https://www.teamrankings.com/nfl/team/chicago-bears" TargetMode="External"/><Relationship Id="rId15" Type="http://schemas.openxmlformats.org/officeDocument/2006/relationships/hyperlink" Target="https://www.teamrankings.com/nfl/team/atlanta-falcons" TargetMode="External"/><Relationship Id="rId14" Type="http://schemas.openxmlformats.org/officeDocument/2006/relationships/hyperlink" Target="https://www.teamrankings.com/nfl/team/houston-texans" TargetMode="External"/><Relationship Id="rId17" Type="http://schemas.openxmlformats.org/officeDocument/2006/relationships/hyperlink" Target="https://www.teamrankings.com/nfl/team/philadelphia-eagles" TargetMode="External"/><Relationship Id="rId16" Type="http://schemas.openxmlformats.org/officeDocument/2006/relationships/hyperlink" Target="https://www.teamrankings.com/nfl/team/pittsburgh-steelers" TargetMode="External"/><Relationship Id="rId19" Type="http://schemas.openxmlformats.org/officeDocument/2006/relationships/hyperlink" Target="https://www.teamrankings.com/nfl/team/arizona-cardinals" TargetMode="External"/><Relationship Id="rId18" Type="http://schemas.openxmlformats.org/officeDocument/2006/relationships/hyperlink" Target="https://www.teamrankings.com/nfl/team/indianapolis-colt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mybookie.ag" TargetMode="External"/><Relationship Id="rId2" Type="http://schemas.openxmlformats.org/officeDocument/2006/relationships/hyperlink" Target="http://mybookie.ag" TargetMode="External"/><Relationship Id="rId3" Type="http://schemas.openxmlformats.org/officeDocument/2006/relationships/hyperlink" Target="http://betonline.ag" TargetMode="External"/><Relationship Id="rId4" Type="http://schemas.openxmlformats.org/officeDocument/2006/relationships/hyperlink" Target="http://betonline.ag" TargetMode="External"/><Relationship Id="rId5" Type="http://schemas.openxmlformats.org/officeDocument/2006/relationships/hyperlink" Target="http://lowvig.ag" TargetMode="External"/><Relationship Id="rId6" Type="http://schemas.openxmlformats.org/officeDocument/2006/relationships/hyperlink" Target="http://lowvig.ag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mybookie.ag" TargetMode="External"/><Relationship Id="rId2" Type="http://schemas.openxmlformats.org/officeDocument/2006/relationships/hyperlink" Target="http://mybookie.ag" TargetMode="External"/><Relationship Id="rId3" Type="http://schemas.openxmlformats.org/officeDocument/2006/relationships/hyperlink" Target="http://betonline.ag" TargetMode="External"/><Relationship Id="rId4" Type="http://schemas.openxmlformats.org/officeDocument/2006/relationships/hyperlink" Target="http://betonline.ag" TargetMode="External"/><Relationship Id="rId5" Type="http://schemas.openxmlformats.org/officeDocument/2006/relationships/hyperlink" Target="http://lowvig.ag" TargetMode="External"/><Relationship Id="rId6" Type="http://schemas.openxmlformats.org/officeDocument/2006/relationships/hyperlink" Target="http://lowvig.ag" TargetMode="Externa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eamrankings.com/nfl/team/philadelphia-eagles" TargetMode="External"/><Relationship Id="rId22" Type="http://schemas.openxmlformats.org/officeDocument/2006/relationships/hyperlink" Target="https://www.teamrankings.com/nfl/team/dallas-cowboys" TargetMode="External"/><Relationship Id="rId21" Type="http://schemas.openxmlformats.org/officeDocument/2006/relationships/hyperlink" Target="https://www.teamrankings.com/nfl/team/los-angeles-rams" TargetMode="External"/><Relationship Id="rId24" Type="http://schemas.openxmlformats.org/officeDocument/2006/relationships/hyperlink" Target="https://www.teamrankings.com/nfl/team/new-york-jets" TargetMode="External"/><Relationship Id="rId23" Type="http://schemas.openxmlformats.org/officeDocument/2006/relationships/hyperlink" Target="https://www.teamrankings.com/nfl/team/los-angeles-chargers" TargetMode="External"/><Relationship Id="rId1" Type="http://schemas.openxmlformats.org/officeDocument/2006/relationships/hyperlink" Target="https://www.teamrankings.com/nfl/team/washington-commanders" TargetMode="External"/><Relationship Id="rId2" Type="http://schemas.openxmlformats.org/officeDocument/2006/relationships/hyperlink" Target="https://www.teamrankings.com/nfl/team/baltimore-ravens" TargetMode="External"/><Relationship Id="rId3" Type="http://schemas.openxmlformats.org/officeDocument/2006/relationships/hyperlink" Target="https://www.teamrankings.com/nfl/team/tampa-bay-buccaneers" TargetMode="External"/><Relationship Id="rId4" Type="http://schemas.openxmlformats.org/officeDocument/2006/relationships/hyperlink" Target="https://www.teamrankings.com/nfl/team/detroit-lions" TargetMode="External"/><Relationship Id="rId9" Type="http://schemas.openxmlformats.org/officeDocument/2006/relationships/hyperlink" Target="https://www.teamrankings.com/nfl/team/san-francisco-49ers" TargetMode="External"/><Relationship Id="rId26" Type="http://schemas.openxmlformats.org/officeDocument/2006/relationships/hyperlink" Target="https://www.teamrankings.com/nfl/team/las-vegas-raiders" TargetMode="External"/><Relationship Id="rId25" Type="http://schemas.openxmlformats.org/officeDocument/2006/relationships/hyperlink" Target="https://www.teamrankings.com/nfl/team/tennessee-titans" TargetMode="External"/><Relationship Id="rId28" Type="http://schemas.openxmlformats.org/officeDocument/2006/relationships/hyperlink" Target="https://www.teamrankings.com/nfl/team/cleveland-browns" TargetMode="External"/><Relationship Id="rId27" Type="http://schemas.openxmlformats.org/officeDocument/2006/relationships/hyperlink" Target="https://www.teamrankings.com/nfl/team/carolina-panthers" TargetMode="External"/><Relationship Id="rId5" Type="http://schemas.openxmlformats.org/officeDocument/2006/relationships/hyperlink" Target="https://www.teamrankings.com/nfl/team/minnesota-vikings" TargetMode="External"/><Relationship Id="rId6" Type="http://schemas.openxmlformats.org/officeDocument/2006/relationships/hyperlink" Target="https://www.teamrankings.com/nfl/team/cincinnati-bengals" TargetMode="External"/><Relationship Id="rId29" Type="http://schemas.openxmlformats.org/officeDocument/2006/relationships/hyperlink" Target="https://www.teamrankings.com/nfl/team/new-england-patriots" TargetMode="External"/><Relationship Id="rId7" Type="http://schemas.openxmlformats.org/officeDocument/2006/relationships/hyperlink" Target="https://www.teamrankings.com/nfl/team/green-bay-packers" TargetMode="External"/><Relationship Id="rId8" Type="http://schemas.openxmlformats.org/officeDocument/2006/relationships/hyperlink" Target="https://www.teamrankings.com/nfl/team/new-orleans-saints" TargetMode="External"/><Relationship Id="rId31" Type="http://schemas.openxmlformats.org/officeDocument/2006/relationships/hyperlink" Target="https://www.teamrankings.com/nfl/team/miami-dolphins" TargetMode="External"/><Relationship Id="rId30" Type="http://schemas.openxmlformats.org/officeDocument/2006/relationships/hyperlink" Target="https://www.teamrankings.com/nfl/team/new-york-giants" TargetMode="External"/><Relationship Id="rId11" Type="http://schemas.openxmlformats.org/officeDocument/2006/relationships/hyperlink" Target="https://www.teamrankings.com/nfl/team/chicago-bears" TargetMode="External"/><Relationship Id="rId10" Type="http://schemas.openxmlformats.org/officeDocument/2006/relationships/hyperlink" Target="https://www.teamrankings.com/nfl/team/seattle-seahawks" TargetMode="External"/><Relationship Id="rId32" Type="http://schemas.openxmlformats.org/officeDocument/2006/relationships/drawing" Target="../drawings/drawing5.xml"/><Relationship Id="rId13" Type="http://schemas.openxmlformats.org/officeDocument/2006/relationships/hyperlink" Target="https://www.teamrankings.com/nfl/team/kansas-city-chiefs" TargetMode="External"/><Relationship Id="rId12" Type="http://schemas.openxmlformats.org/officeDocument/2006/relationships/hyperlink" Target="https://www.teamrankings.com/nfl/team/indianapolis-colts" TargetMode="External"/><Relationship Id="rId15" Type="http://schemas.openxmlformats.org/officeDocument/2006/relationships/hyperlink" Target="https://www.teamrankings.com/nfl/team/atlanta-falcons" TargetMode="External"/><Relationship Id="rId14" Type="http://schemas.openxmlformats.org/officeDocument/2006/relationships/hyperlink" Target="https://www.teamrankings.com/nfl/team/arizona-cardinals" TargetMode="External"/><Relationship Id="rId17" Type="http://schemas.openxmlformats.org/officeDocument/2006/relationships/hyperlink" Target="https://www.teamrankings.com/nfl/team/houston-texans" TargetMode="External"/><Relationship Id="rId16" Type="http://schemas.openxmlformats.org/officeDocument/2006/relationships/hyperlink" Target="https://www.teamrankings.com/nfl/team/pittsburgh-steelers" TargetMode="External"/><Relationship Id="rId19" Type="http://schemas.openxmlformats.org/officeDocument/2006/relationships/hyperlink" Target="https://www.teamrankings.com/nfl/team/denver-broncos" TargetMode="External"/><Relationship Id="rId18" Type="http://schemas.openxmlformats.org/officeDocument/2006/relationships/hyperlink" Target="https://www.teamrankings.com/nfl/team/jacksonville-jaguars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eamrankings.com/nfl/team/denver-broncos" TargetMode="External"/><Relationship Id="rId22" Type="http://schemas.openxmlformats.org/officeDocument/2006/relationships/hyperlink" Target="https://www.teamrankings.com/nfl/team/los-angeles-rams" TargetMode="External"/><Relationship Id="rId21" Type="http://schemas.openxmlformats.org/officeDocument/2006/relationships/hyperlink" Target="https://www.teamrankings.com/nfl/team/philadelphia-eagles" TargetMode="External"/><Relationship Id="rId24" Type="http://schemas.openxmlformats.org/officeDocument/2006/relationships/hyperlink" Target="https://www.teamrankings.com/nfl/team/los-angeles-chargers" TargetMode="External"/><Relationship Id="rId23" Type="http://schemas.openxmlformats.org/officeDocument/2006/relationships/hyperlink" Target="https://www.teamrankings.com/nfl/team/dallas-cowboys" TargetMode="External"/><Relationship Id="rId1" Type="http://schemas.openxmlformats.org/officeDocument/2006/relationships/hyperlink" Target="https://www.teamrankings.com/nfl/team/buffalo-bills" TargetMode="External"/><Relationship Id="rId2" Type="http://schemas.openxmlformats.org/officeDocument/2006/relationships/hyperlink" Target="https://www.teamrankings.com/nfl/team/washington-commanders" TargetMode="External"/><Relationship Id="rId3" Type="http://schemas.openxmlformats.org/officeDocument/2006/relationships/hyperlink" Target="https://www.teamrankings.com/nfl/team/baltimore-ravens" TargetMode="External"/><Relationship Id="rId4" Type="http://schemas.openxmlformats.org/officeDocument/2006/relationships/hyperlink" Target="https://www.teamrankings.com/nfl/team/tampa-bay-buccaneers" TargetMode="External"/><Relationship Id="rId9" Type="http://schemas.openxmlformats.org/officeDocument/2006/relationships/hyperlink" Target="https://www.teamrankings.com/nfl/team/new-orleans-saints" TargetMode="External"/><Relationship Id="rId26" Type="http://schemas.openxmlformats.org/officeDocument/2006/relationships/hyperlink" Target="https://www.teamrankings.com/nfl/team/tennessee-titans" TargetMode="External"/><Relationship Id="rId25" Type="http://schemas.openxmlformats.org/officeDocument/2006/relationships/hyperlink" Target="https://www.teamrankings.com/nfl/team/new-york-jets" TargetMode="External"/><Relationship Id="rId28" Type="http://schemas.openxmlformats.org/officeDocument/2006/relationships/hyperlink" Target="https://www.teamrankings.com/nfl/team/carolina-panthers" TargetMode="External"/><Relationship Id="rId27" Type="http://schemas.openxmlformats.org/officeDocument/2006/relationships/hyperlink" Target="https://www.teamrankings.com/nfl/team/las-vegas-raiders" TargetMode="External"/><Relationship Id="rId5" Type="http://schemas.openxmlformats.org/officeDocument/2006/relationships/hyperlink" Target="https://www.teamrankings.com/nfl/team/detroit-lions" TargetMode="External"/><Relationship Id="rId6" Type="http://schemas.openxmlformats.org/officeDocument/2006/relationships/hyperlink" Target="https://www.teamrankings.com/nfl/team/minnesota-vikings" TargetMode="External"/><Relationship Id="rId29" Type="http://schemas.openxmlformats.org/officeDocument/2006/relationships/hyperlink" Target="https://www.teamrankings.com/nfl/team/cleveland-browns" TargetMode="External"/><Relationship Id="rId7" Type="http://schemas.openxmlformats.org/officeDocument/2006/relationships/hyperlink" Target="https://www.teamrankings.com/nfl/team/cincinnati-bengals" TargetMode="External"/><Relationship Id="rId8" Type="http://schemas.openxmlformats.org/officeDocument/2006/relationships/hyperlink" Target="https://www.teamrankings.com/nfl/team/green-bay-packers" TargetMode="External"/><Relationship Id="rId31" Type="http://schemas.openxmlformats.org/officeDocument/2006/relationships/hyperlink" Target="https://www.teamrankings.com/nfl/team/new-york-giants" TargetMode="External"/><Relationship Id="rId30" Type="http://schemas.openxmlformats.org/officeDocument/2006/relationships/hyperlink" Target="https://www.teamrankings.com/nfl/team/new-england-patriots" TargetMode="External"/><Relationship Id="rId11" Type="http://schemas.openxmlformats.org/officeDocument/2006/relationships/hyperlink" Target="https://www.teamrankings.com/nfl/team/seattle-seahawks" TargetMode="External"/><Relationship Id="rId33" Type="http://schemas.openxmlformats.org/officeDocument/2006/relationships/drawing" Target="../drawings/drawing6.xml"/><Relationship Id="rId10" Type="http://schemas.openxmlformats.org/officeDocument/2006/relationships/hyperlink" Target="https://www.teamrankings.com/nfl/team/san-francisco-49ers" TargetMode="External"/><Relationship Id="rId32" Type="http://schemas.openxmlformats.org/officeDocument/2006/relationships/hyperlink" Target="https://www.teamrankings.com/nfl/team/miami-dolphins" TargetMode="External"/><Relationship Id="rId13" Type="http://schemas.openxmlformats.org/officeDocument/2006/relationships/hyperlink" Target="https://www.teamrankings.com/nfl/team/indianapolis-colts" TargetMode="External"/><Relationship Id="rId12" Type="http://schemas.openxmlformats.org/officeDocument/2006/relationships/hyperlink" Target="https://www.teamrankings.com/nfl/team/chicago-bears" TargetMode="External"/><Relationship Id="rId15" Type="http://schemas.openxmlformats.org/officeDocument/2006/relationships/hyperlink" Target="https://www.teamrankings.com/nfl/team/arizona-cardinals" TargetMode="External"/><Relationship Id="rId14" Type="http://schemas.openxmlformats.org/officeDocument/2006/relationships/hyperlink" Target="https://www.teamrankings.com/nfl/team/kansas-city-chiefs" TargetMode="External"/><Relationship Id="rId17" Type="http://schemas.openxmlformats.org/officeDocument/2006/relationships/hyperlink" Target="https://www.teamrankings.com/nfl/team/pittsburgh-steelers" TargetMode="External"/><Relationship Id="rId16" Type="http://schemas.openxmlformats.org/officeDocument/2006/relationships/hyperlink" Target="https://www.teamrankings.com/nfl/team/atlanta-falcons" TargetMode="External"/><Relationship Id="rId19" Type="http://schemas.openxmlformats.org/officeDocument/2006/relationships/hyperlink" Target="https://www.teamrankings.com/nfl/team/jacksonville-jaguars" TargetMode="External"/><Relationship Id="rId18" Type="http://schemas.openxmlformats.org/officeDocument/2006/relationships/hyperlink" Target="https://www.teamrankings.com/nfl/team/houston-texans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eamrankings.com/nfl/team/miami-dolphins" TargetMode="External"/><Relationship Id="rId22" Type="http://schemas.openxmlformats.org/officeDocument/2006/relationships/hyperlink" Target="https://www.teamrankings.com/nfl/team/tampa-bay-buccaneers" TargetMode="External"/><Relationship Id="rId21" Type="http://schemas.openxmlformats.org/officeDocument/2006/relationships/hyperlink" Target="https://www.teamrankings.com/nfl/team/houston-texans" TargetMode="External"/><Relationship Id="rId24" Type="http://schemas.openxmlformats.org/officeDocument/2006/relationships/hyperlink" Target="https://www.teamrankings.com/nfl/team/new-orleans-saints" TargetMode="External"/><Relationship Id="rId23" Type="http://schemas.openxmlformats.org/officeDocument/2006/relationships/hyperlink" Target="https://www.teamrankings.com/nfl/team/new-england-patriots" TargetMode="External"/><Relationship Id="rId1" Type="http://schemas.openxmlformats.org/officeDocument/2006/relationships/hyperlink" Target="https://www.teamrankings.com/nfl/team/denver-broncos" TargetMode="External"/><Relationship Id="rId2" Type="http://schemas.openxmlformats.org/officeDocument/2006/relationships/hyperlink" Target="https://www.teamrankings.com/nfl/team/los-angeles-chargers" TargetMode="External"/><Relationship Id="rId3" Type="http://schemas.openxmlformats.org/officeDocument/2006/relationships/hyperlink" Target="https://www.teamrankings.com/nfl/team/pittsburgh-steelers" TargetMode="External"/><Relationship Id="rId4" Type="http://schemas.openxmlformats.org/officeDocument/2006/relationships/hyperlink" Target="https://www.teamrankings.com/nfl/team/chicago-bears" TargetMode="External"/><Relationship Id="rId9" Type="http://schemas.openxmlformats.org/officeDocument/2006/relationships/hyperlink" Target="https://www.teamrankings.com/nfl/team/detroit-lions" TargetMode="External"/><Relationship Id="rId26" Type="http://schemas.openxmlformats.org/officeDocument/2006/relationships/hyperlink" Target="https://www.teamrankings.com/nfl/team/los-angeles-rams" TargetMode="External"/><Relationship Id="rId25" Type="http://schemas.openxmlformats.org/officeDocument/2006/relationships/hyperlink" Target="https://www.teamrankings.com/nfl/team/arizona-cardinals" TargetMode="External"/><Relationship Id="rId28" Type="http://schemas.openxmlformats.org/officeDocument/2006/relationships/hyperlink" Target="https://www.teamrankings.com/nfl/team/tennessee-titans" TargetMode="External"/><Relationship Id="rId27" Type="http://schemas.openxmlformats.org/officeDocument/2006/relationships/hyperlink" Target="https://www.teamrankings.com/nfl/team/baltimore-ravens" TargetMode="External"/><Relationship Id="rId5" Type="http://schemas.openxmlformats.org/officeDocument/2006/relationships/hyperlink" Target="https://www.teamrankings.com/nfl/team/kansas-city-chiefs" TargetMode="External"/><Relationship Id="rId6" Type="http://schemas.openxmlformats.org/officeDocument/2006/relationships/hyperlink" Target="https://www.teamrankings.com/nfl/team/minnesota-vikings" TargetMode="External"/><Relationship Id="rId29" Type="http://schemas.openxmlformats.org/officeDocument/2006/relationships/hyperlink" Target="https://www.teamrankings.com/nfl/team/jacksonville-jaguars" TargetMode="External"/><Relationship Id="rId7" Type="http://schemas.openxmlformats.org/officeDocument/2006/relationships/hyperlink" Target="https://www.teamrankings.com/nfl/team/buffalo-bills" TargetMode="External"/><Relationship Id="rId8" Type="http://schemas.openxmlformats.org/officeDocument/2006/relationships/hyperlink" Target="https://www.teamrankings.com/nfl/team/indianapolis-colts" TargetMode="External"/><Relationship Id="rId31" Type="http://schemas.openxmlformats.org/officeDocument/2006/relationships/hyperlink" Target="https://www.teamrankings.com/nfl/team/dallas-cowboys" TargetMode="External"/><Relationship Id="rId30" Type="http://schemas.openxmlformats.org/officeDocument/2006/relationships/hyperlink" Target="https://www.teamrankings.com/nfl/team/las-vegas-raiders" TargetMode="External"/><Relationship Id="rId11" Type="http://schemas.openxmlformats.org/officeDocument/2006/relationships/hyperlink" Target="https://www.teamrankings.com/nfl/team/green-bay-packers" TargetMode="External"/><Relationship Id="rId33" Type="http://schemas.openxmlformats.org/officeDocument/2006/relationships/drawing" Target="../drawings/drawing7.xml"/><Relationship Id="rId10" Type="http://schemas.openxmlformats.org/officeDocument/2006/relationships/hyperlink" Target="https://www.teamrankings.com/nfl/team/philadelphia-eagles" TargetMode="External"/><Relationship Id="rId32" Type="http://schemas.openxmlformats.org/officeDocument/2006/relationships/hyperlink" Target="https://www.teamrankings.com/nfl/team/carolina-panthers" TargetMode="External"/><Relationship Id="rId13" Type="http://schemas.openxmlformats.org/officeDocument/2006/relationships/hyperlink" Target="https://www.teamrankings.com/nfl/team/cincinnati-bengals" TargetMode="External"/><Relationship Id="rId12" Type="http://schemas.openxmlformats.org/officeDocument/2006/relationships/hyperlink" Target="https://www.teamrankings.com/nfl/team/new-york-jets" TargetMode="External"/><Relationship Id="rId15" Type="http://schemas.openxmlformats.org/officeDocument/2006/relationships/hyperlink" Target="https://www.teamrankings.com/nfl/team/seattle-seahawks" TargetMode="External"/><Relationship Id="rId14" Type="http://schemas.openxmlformats.org/officeDocument/2006/relationships/hyperlink" Target="https://www.teamrankings.com/nfl/team/new-york-giants" TargetMode="External"/><Relationship Id="rId17" Type="http://schemas.openxmlformats.org/officeDocument/2006/relationships/hyperlink" Target="https://www.teamrankings.com/nfl/team/atlanta-falcons" TargetMode="External"/><Relationship Id="rId16" Type="http://schemas.openxmlformats.org/officeDocument/2006/relationships/hyperlink" Target="https://www.teamrankings.com/nfl/team/san-francisco-49ers" TargetMode="External"/><Relationship Id="rId19" Type="http://schemas.openxmlformats.org/officeDocument/2006/relationships/hyperlink" Target="https://www.teamrankings.com/nfl/team/cleveland-browns" TargetMode="External"/><Relationship Id="rId18" Type="http://schemas.openxmlformats.org/officeDocument/2006/relationships/hyperlink" Target="https://www.teamrankings.com/nfl/team/washington-commanders" TargetMode="Externa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eamrankings.com/nfl/team/new-york-jets" TargetMode="External"/><Relationship Id="rId22" Type="http://schemas.openxmlformats.org/officeDocument/2006/relationships/hyperlink" Target="https://www.teamrankings.com/nfl/team/tennessee-titans" TargetMode="External"/><Relationship Id="rId21" Type="http://schemas.openxmlformats.org/officeDocument/2006/relationships/hyperlink" Target="https://www.teamrankings.com/nfl/team/new-orleans-saints" TargetMode="External"/><Relationship Id="rId24" Type="http://schemas.openxmlformats.org/officeDocument/2006/relationships/hyperlink" Target="https://www.teamrankings.com/nfl/team/los-angeles-chargers" TargetMode="External"/><Relationship Id="rId23" Type="http://schemas.openxmlformats.org/officeDocument/2006/relationships/hyperlink" Target="https://www.teamrankings.com/nfl/team/denver-broncos" TargetMode="External"/><Relationship Id="rId1" Type="http://schemas.openxmlformats.org/officeDocument/2006/relationships/hyperlink" Target="https://www.teamrankings.com/nfl/team/miami-dolphins" TargetMode="External"/><Relationship Id="rId2" Type="http://schemas.openxmlformats.org/officeDocument/2006/relationships/hyperlink" Target="https://www.teamrankings.com/nfl/team/philadelphia-eagles" TargetMode="External"/><Relationship Id="rId3" Type="http://schemas.openxmlformats.org/officeDocument/2006/relationships/hyperlink" Target="https://www.teamrankings.com/nfl/team/houston-texans" TargetMode="External"/><Relationship Id="rId4" Type="http://schemas.openxmlformats.org/officeDocument/2006/relationships/hyperlink" Target="https://www.teamrankings.com/nfl/team/new-york-giants" TargetMode="External"/><Relationship Id="rId9" Type="http://schemas.openxmlformats.org/officeDocument/2006/relationships/hyperlink" Target="https://www.teamrankings.com/nfl/team/detroit-lions" TargetMode="External"/><Relationship Id="rId26" Type="http://schemas.openxmlformats.org/officeDocument/2006/relationships/hyperlink" Target="https://www.teamrankings.com/nfl/team/indianapolis-colts" TargetMode="External"/><Relationship Id="rId25" Type="http://schemas.openxmlformats.org/officeDocument/2006/relationships/hyperlink" Target="https://www.teamrankings.com/nfl/team/new-england-patriots" TargetMode="External"/><Relationship Id="rId28" Type="http://schemas.openxmlformats.org/officeDocument/2006/relationships/hyperlink" Target="https://www.teamrankings.com/nfl/team/carolina-panthers" TargetMode="External"/><Relationship Id="rId27" Type="http://schemas.openxmlformats.org/officeDocument/2006/relationships/hyperlink" Target="https://www.teamrankings.com/nfl/team/jacksonville-jaguars" TargetMode="External"/><Relationship Id="rId5" Type="http://schemas.openxmlformats.org/officeDocument/2006/relationships/hyperlink" Target="https://www.teamrankings.com/nfl/team/kansas-city-chiefs" TargetMode="External"/><Relationship Id="rId6" Type="http://schemas.openxmlformats.org/officeDocument/2006/relationships/hyperlink" Target="https://www.teamrankings.com/nfl/team/dallas-cowboys" TargetMode="External"/><Relationship Id="rId29" Type="http://schemas.openxmlformats.org/officeDocument/2006/relationships/hyperlink" Target="https://www.teamrankings.com/nfl/team/cincinnati-bengals" TargetMode="External"/><Relationship Id="rId7" Type="http://schemas.openxmlformats.org/officeDocument/2006/relationships/hyperlink" Target="https://www.teamrankings.com/nfl/team/chicago-bears" TargetMode="External"/><Relationship Id="rId8" Type="http://schemas.openxmlformats.org/officeDocument/2006/relationships/hyperlink" Target="https://www.teamrankings.com/nfl/team/seattle-seahawks" TargetMode="External"/><Relationship Id="rId31" Type="http://schemas.openxmlformats.org/officeDocument/2006/relationships/hyperlink" Target="https://www.teamrankings.com/nfl/team/minnesota-vikings" TargetMode="External"/><Relationship Id="rId30" Type="http://schemas.openxmlformats.org/officeDocument/2006/relationships/hyperlink" Target="https://www.teamrankings.com/nfl/team/arizona-cardinals" TargetMode="External"/><Relationship Id="rId11" Type="http://schemas.openxmlformats.org/officeDocument/2006/relationships/hyperlink" Target="https://www.teamrankings.com/nfl/team/cleveland-browns" TargetMode="External"/><Relationship Id="rId33" Type="http://schemas.openxmlformats.org/officeDocument/2006/relationships/drawing" Target="../drawings/drawing8.xml"/><Relationship Id="rId10" Type="http://schemas.openxmlformats.org/officeDocument/2006/relationships/hyperlink" Target="https://www.teamrankings.com/nfl/team/baltimore-ravens" TargetMode="External"/><Relationship Id="rId32" Type="http://schemas.openxmlformats.org/officeDocument/2006/relationships/hyperlink" Target="https://www.teamrankings.com/nfl/team/buffalo-bills" TargetMode="External"/><Relationship Id="rId13" Type="http://schemas.openxmlformats.org/officeDocument/2006/relationships/hyperlink" Target="https://www.teamrankings.com/nfl/team/pittsburgh-steelers" TargetMode="External"/><Relationship Id="rId12" Type="http://schemas.openxmlformats.org/officeDocument/2006/relationships/hyperlink" Target="https://www.teamrankings.com/nfl/team/green-bay-packers" TargetMode="External"/><Relationship Id="rId15" Type="http://schemas.openxmlformats.org/officeDocument/2006/relationships/hyperlink" Target="https://www.teamrankings.com/nfl/team/tampa-bay-buccaneers" TargetMode="External"/><Relationship Id="rId14" Type="http://schemas.openxmlformats.org/officeDocument/2006/relationships/hyperlink" Target="https://www.teamrankings.com/nfl/team/san-francisco-49ers" TargetMode="External"/><Relationship Id="rId17" Type="http://schemas.openxmlformats.org/officeDocument/2006/relationships/hyperlink" Target="https://www.teamrankings.com/nfl/team/los-angeles-rams" TargetMode="External"/><Relationship Id="rId16" Type="http://schemas.openxmlformats.org/officeDocument/2006/relationships/hyperlink" Target="https://www.teamrankings.com/nfl/team/atlanta-falcons" TargetMode="External"/><Relationship Id="rId19" Type="http://schemas.openxmlformats.org/officeDocument/2006/relationships/hyperlink" Target="https://www.teamrankings.com/nfl/team/las-vegas-raiders" TargetMode="External"/><Relationship Id="rId18" Type="http://schemas.openxmlformats.org/officeDocument/2006/relationships/hyperlink" Target="https://www.teamrankings.com/nfl/team/washington-commanders" TargetMode="Externa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eamrankings.com/nfl/team/new-england-patriots" TargetMode="External"/><Relationship Id="rId22" Type="http://schemas.openxmlformats.org/officeDocument/2006/relationships/hyperlink" Target="https://www.teamrankings.com/nfl/team/arizona-cardinals" TargetMode="External"/><Relationship Id="rId21" Type="http://schemas.openxmlformats.org/officeDocument/2006/relationships/hyperlink" Target="https://www.teamrankings.com/nfl/team/jacksonville-jaguars" TargetMode="External"/><Relationship Id="rId24" Type="http://schemas.openxmlformats.org/officeDocument/2006/relationships/hyperlink" Target="https://www.teamrankings.com/nfl/team/atlanta-falcons" TargetMode="External"/><Relationship Id="rId23" Type="http://schemas.openxmlformats.org/officeDocument/2006/relationships/hyperlink" Target="https://www.teamrankings.com/nfl/team/seattle-seahawks" TargetMode="External"/><Relationship Id="rId1" Type="http://schemas.openxmlformats.org/officeDocument/2006/relationships/hyperlink" Target="https://www.teamrankings.com/nfl/team/miami-dolphins" TargetMode="External"/><Relationship Id="rId2" Type="http://schemas.openxmlformats.org/officeDocument/2006/relationships/hyperlink" Target="https://www.teamrankings.com/nfl/team/los-angeles-chargers" TargetMode="External"/><Relationship Id="rId3" Type="http://schemas.openxmlformats.org/officeDocument/2006/relationships/hyperlink" Target="https://www.teamrankings.com/nfl/team/washington-commanders" TargetMode="External"/><Relationship Id="rId4" Type="http://schemas.openxmlformats.org/officeDocument/2006/relationships/hyperlink" Target="https://www.teamrankings.com/nfl/team/tennessee-titans" TargetMode="External"/><Relationship Id="rId9" Type="http://schemas.openxmlformats.org/officeDocument/2006/relationships/hyperlink" Target="https://www.teamrankings.com/nfl/team/chicago-bears" TargetMode="External"/><Relationship Id="rId26" Type="http://schemas.openxmlformats.org/officeDocument/2006/relationships/hyperlink" Target="https://www.teamrankings.com/nfl/team/denver-broncos" TargetMode="External"/><Relationship Id="rId25" Type="http://schemas.openxmlformats.org/officeDocument/2006/relationships/hyperlink" Target="https://www.teamrankings.com/nfl/team/carolina-panthers" TargetMode="External"/><Relationship Id="rId28" Type="http://schemas.openxmlformats.org/officeDocument/2006/relationships/hyperlink" Target="https://www.teamrankings.com/nfl/team/new-orleans-saints" TargetMode="External"/><Relationship Id="rId27" Type="http://schemas.openxmlformats.org/officeDocument/2006/relationships/hyperlink" Target="https://www.teamrankings.com/nfl/team/buffalo-bills" TargetMode="External"/><Relationship Id="rId5" Type="http://schemas.openxmlformats.org/officeDocument/2006/relationships/hyperlink" Target="https://www.teamrankings.com/nfl/team/houston-texans" TargetMode="External"/><Relationship Id="rId6" Type="http://schemas.openxmlformats.org/officeDocument/2006/relationships/hyperlink" Target="https://www.teamrankings.com/nfl/team/pittsburgh-steelers" TargetMode="External"/><Relationship Id="rId29" Type="http://schemas.openxmlformats.org/officeDocument/2006/relationships/hyperlink" Target="https://www.teamrankings.com/nfl/team/tampa-bay-buccaneers" TargetMode="External"/><Relationship Id="rId7" Type="http://schemas.openxmlformats.org/officeDocument/2006/relationships/hyperlink" Target="https://www.teamrankings.com/nfl/team/new-york-giants" TargetMode="External"/><Relationship Id="rId8" Type="http://schemas.openxmlformats.org/officeDocument/2006/relationships/hyperlink" Target="https://www.teamrankings.com/nfl/team/kansas-city-chiefs" TargetMode="External"/><Relationship Id="rId31" Type="http://schemas.openxmlformats.org/officeDocument/2006/relationships/hyperlink" Target="https://www.teamrankings.com/nfl/team/indianapolis-colts" TargetMode="External"/><Relationship Id="rId30" Type="http://schemas.openxmlformats.org/officeDocument/2006/relationships/hyperlink" Target="https://www.teamrankings.com/nfl/team/minnesota-vikings" TargetMode="External"/><Relationship Id="rId11" Type="http://schemas.openxmlformats.org/officeDocument/2006/relationships/hyperlink" Target="https://www.teamrankings.com/nfl/team/las-vegas-raiders" TargetMode="External"/><Relationship Id="rId33" Type="http://schemas.openxmlformats.org/officeDocument/2006/relationships/drawing" Target="../drawings/drawing9.xml"/><Relationship Id="rId10" Type="http://schemas.openxmlformats.org/officeDocument/2006/relationships/hyperlink" Target="https://www.teamrankings.com/nfl/team/philadelphia-eagles" TargetMode="External"/><Relationship Id="rId32" Type="http://schemas.openxmlformats.org/officeDocument/2006/relationships/hyperlink" Target="https://www.teamrankings.com/nfl/team/cincinnati-bengals" TargetMode="External"/><Relationship Id="rId13" Type="http://schemas.openxmlformats.org/officeDocument/2006/relationships/hyperlink" Target="https://www.teamrankings.com/nfl/team/cleveland-browns" TargetMode="External"/><Relationship Id="rId12" Type="http://schemas.openxmlformats.org/officeDocument/2006/relationships/hyperlink" Target="https://www.teamrankings.com/nfl/team/san-francisco-49ers" TargetMode="External"/><Relationship Id="rId15" Type="http://schemas.openxmlformats.org/officeDocument/2006/relationships/hyperlink" Target="https://www.teamrankings.com/nfl/team/new-york-jets" TargetMode="External"/><Relationship Id="rId14" Type="http://schemas.openxmlformats.org/officeDocument/2006/relationships/hyperlink" Target="https://www.teamrankings.com/nfl/team/los-angeles-rams" TargetMode="External"/><Relationship Id="rId17" Type="http://schemas.openxmlformats.org/officeDocument/2006/relationships/hyperlink" Target="https://www.teamrankings.com/nfl/team/green-bay-packers" TargetMode="External"/><Relationship Id="rId16" Type="http://schemas.openxmlformats.org/officeDocument/2006/relationships/hyperlink" Target="https://www.teamrankings.com/nfl/team/detroit-lions" TargetMode="External"/><Relationship Id="rId19" Type="http://schemas.openxmlformats.org/officeDocument/2006/relationships/hyperlink" Target="https://www.teamrankings.com/nfl/team/dallas-cowboys" TargetMode="External"/><Relationship Id="rId18" Type="http://schemas.openxmlformats.org/officeDocument/2006/relationships/hyperlink" Target="https://www.teamrankings.com/nfl/team/baltimore-rave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7.0"/>
    <col customWidth="1" min="3" max="3" width="34.86"/>
    <col customWidth="1" min="4" max="4" width="16.14"/>
    <col customWidth="1" min="5" max="5" width="16.71"/>
    <col customWidth="1" min="6" max="6" width="19.0"/>
    <col customWidth="1" min="7" max="7" width="18.71"/>
    <col customWidth="1" min="8" max="8" width="18.43"/>
    <col customWidth="1" min="9" max="9" width="17.86"/>
    <col customWidth="1" min="10" max="11" width="21.43"/>
    <col customWidth="1" min="12" max="12" width="1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A2" s="2">
        <f>VLOOKUP($D2,map!$D:$E,2,false)</f>
        <v>29</v>
      </c>
      <c r="B2" s="2">
        <f>VLOOKUP($E2,map!$D:$E,2,false)</f>
        <v>26</v>
      </c>
      <c r="C2" s="2" t="str">
        <f>IFERROR(__xludf.DUMMYFUNCTION("UNIQUE(ats!A2:A1000)"),"86278ec4bbdcadd945d79df6c695c2ec")</f>
        <v>86278ec4bbdcadd945d79df6c695c2ec</v>
      </c>
      <c r="D2" s="2" t="str">
        <f>VLOOKUP($C2,ats!$A:$G,6,false)</f>
        <v>Pittsburgh Steelers</v>
      </c>
      <c r="E2" s="2" t="str">
        <f>VLOOKUP($C2,ats!$A:$G,7,false)</f>
        <v>New York Giants</v>
      </c>
      <c r="F2" s="3">
        <f>AVERAGE(VLOOKUP($A2,data!$A:$E,5,false),VLOOKUP($B2,data!$A:$F,6,false))</f>
        <v>60</v>
      </c>
      <c r="G2" s="3">
        <f>AVERAGE(VLOOKUP($B2,data!$A:$E,5,false),VLOOKUP($A2,data!$A:$F,6,false))</f>
        <v>65</v>
      </c>
      <c r="H2" s="3">
        <f>AVERAGE(VLOOKUP($A2,data!$A:$C,3,false),VLOOKUP($B2,data!$A:$D,4,false))</f>
        <v>0.3675</v>
      </c>
      <c r="I2" s="3">
        <f>AVERAGE(VLOOKUP($B2,data!$A:$C,3,false),VLOOKUP($A2,data!$A:$D,4,false))</f>
        <v>0.236</v>
      </c>
      <c r="J2" s="2">
        <f>AVERAGE(VLOOKUP($A2,data!$A:$I,9,false),VLOOKUP($B2,data!$A:$J,10,false))</f>
        <v>12.9</v>
      </c>
      <c r="K2" s="2">
        <f>AVERAGE(VLOOKUP($B2,data!$A:$I,9,false),VLOOKUP($A2,data!$A:$J,10,false))</f>
        <v>21.7</v>
      </c>
      <c r="L2" s="2">
        <f>((VLOOKUP($A2,data!$A:$N,13,false)*0.5) + (VLOOKUP($B2,data!$A:$N,14,false)*(1-0.5)))</f>
        <v>25.2</v>
      </c>
      <c r="M2" s="2">
        <f>((VLOOKUP($B2,data!$A:$N,13,false)*0.5) + (VLOOKUP($A2,data!$A:$N,14,false)*(1-0.5)))</f>
        <v>14.5</v>
      </c>
      <c r="N2" s="3">
        <f t="shared" ref="N2:N18" si="1">AVERAGE((($H2*$F2) + ($J2)),$L2)</f>
        <v>30.075</v>
      </c>
      <c r="O2" s="3">
        <f t="shared" ref="O2:O18" si="2">AVERAGE((($I2*$G2) + ($K2)),$M2)</f>
        <v>25.77</v>
      </c>
      <c r="P2" s="3">
        <f t="shared" ref="P2:P16" si="3">sum(N2:O2)</f>
        <v>55.845</v>
      </c>
      <c r="Q2" s="2">
        <f>VLOOKUP(C2,totals!A:L,12,false)</f>
        <v>37.5</v>
      </c>
      <c r="R2" s="3">
        <f t="shared" ref="R2:R18" si="4">(P2-(P2/8.7))-Q2</f>
        <v>11.92603448</v>
      </c>
      <c r="S2" s="3">
        <f t="shared" ref="S2:S17" si="5">P2-Q2</f>
        <v>18.345</v>
      </c>
      <c r="T2" s="4" t="str">
        <f t="shared" ref="T2:T17" si="6">IF(S2&gt;=5,"Over",if(S2&lt;=-5,"Under",""))</f>
        <v>Over</v>
      </c>
      <c r="U2" s="2">
        <f t="shared" ref="U2:U17" si="7">(N2-O2)*-1</f>
        <v>-4.305</v>
      </c>
      <c r="V2" s="2">
        <f>VLOOKUP(D2,ats!I:L,4,false)</f>
        <v>-6</v>
      </c>
      <c r="W2" s="2">
        <f t="shared" ref="W2:W17" si="8">round(V2-U2,2)</f>
        <v>-1.7</v>
      </c>
      <c r="X2" s="4" t="str">
        <f t="shared" ref="X2:X17" si="9">if(W2&gt;=5,D2,if(W2&lt;=-5,E2,""))</f>
        <v/>
      </c>
    </row>
    <row r="3">
      <c r="A3" s="2" t="str">
        <f>VLOOKUP($D3,map!$D:$E,2,false)</f>
        <v>#N/A</v>
      </c>
      <c r="B3" s="2" t="str">
        <f>VLOOKUP($E3,map!$D:$E,2,false)</f>
        <v>#N/A</v>
      </c>
      <c r="C3" s="2"/>
      <c r="D3" s="2" t="str">
        <f>VLOOKUP($C3,ats!$A:$G,6,false)</f>
        <v>#N/A</v>
      </c>
      <c r="E3" s="2" t="str">
        <f>VLOOKUP($C3,ats!$A:$G,7,false)</f>
        <v>#N/A</v>
      </c>
      <c r="F3" s="3" t="str">
        <f>AVERAGE(VLOOKUP($A3,data!$A:$E,5,false),VLOOKUP($B3,data!$A:$F,6,false))</f>
        <v>#N/A</v>
      </c>
      <c r="G3" s="3" t="str">
        <f>AVERAGE(VLOOKUP($B3,data!$A:$E,5,false),VLOOKUP($A3,data!$A:$F,6,false))</f>
        <v>#N/A</v>
      </c>
      <c r="H3" s="3" t="str">
        <f>AVERAGE(VLOOKUP($A3,data!$A:$C,3,false),VLOOKUP($B3,data!$A:$D,4,false))</f>
        <v>#N/A</v>
      </c>
      <c r="I3" s="3" t="str">
        <f>AVERAGE(VLOOKUP($B3,data!$A:$C,3,false),VLOOKUP($A3,data!$A:$D,4,false))</f>
        <v>#N/A</v>
      </c>
      <c r="J3" s="2" t="str">
        <f>AVERAGE(VLOOKUP($A3,data!$A:$I,9,false),VLOOKUP($B3,data!$A:$J,10,false))</f>
        <v>#N/A</v>
      </c>
      <c r="K3" s="2" t="str">
        <f>AVERAGE(VLOOKUP($B3,data!$A:$I,9,false),VLOOKUP($A3,data!$A:$J,10,false))</f>
        <v>#N/A</v>
      </c>
      <c r="L3" s="2" t="str">
        <f>((VLOOKUP($A3,data!$A:$N,13,false)*0.5) + (VLOOKUP($B3,data!$A:$N,14,false)*(1-0.5)))</f>
        <v>#N/A</v>
      </c>
      <c r="M3" s="2" t="str">
        <f>((VLOOKUP($B3,data!$A:$N,13,false)*0.5) + (VLOOKUP($A3,data!$A:$N,14,false)*(1-0.5)))</f>
        <v>#N/A</v>
      </c>
      <c r="N3" s="3" t="str">
        <f t="shared" si="1"/>
        <v>#N/A</v>
      </c>
      <c r="O3" s="3" t="str">
        <f t="shared" si="2"/>
        <v>#N/A</v>
      </c>
      <c r="P3" s="2" t="str">
        <f t="shared" si="3"/>
        <v>#N/A</v>
      </c>
      <c r="Q3" s="2" t="str">
        <f>VLOOKUP(C3,totals!A:L,12,false)</f>
        <v>#N/A</v>
      </c>
      <c r="R3" s="2" t="str">
        <f t="shared" si="4"/>
        <v>#N/A</v>
      </c>
      <c r="S3" s="2" t="str">
        <f t="shared" si="5"/>
        <v>#N/A</v>
      </c>
      <c r="T3" s="4" t="str">
        <f t="shared" si="6"/>
        <v>#N/A</v>
      </c>
      <c r="U3" s="2" t="str">
        <f t="shared" si="7"/>
        <v>#N/A</v>
      </c>
      <c r="V3" s="2" t="str">
        <f>VLOOKUP(D3,ats!I:L,4,false)</f>
        <v>#N/A</v>
      </c>
      <c r="W3" s="2" t="str">
        <f t="shared" si="8"/>
        <v>#N/A</v>
      </c>
      <c r="X3" s="4" t="str">
        <f t="shared" si="9"/>
        <v>#N/A</v>
      </c>
    </row>
    <row r="4">
      <c r="A4" s="2" t="str">
        <f>VLOOKUP($D4,map!$D:$E,2,false)</f>
        <v>#N/A</v>
      </c>
      <c r="B4" s="2" t="str">
        <f>VLOOKUP($E4,map!$D:$E,2,false)</f>
        <v>#N/A</v>
      </c>
      <c r="D4" s="2" t="str">
        <f>VLOOKUP($C4,ats!$A:$G,6,false)</f>
        <v>#N/A</v>
      </c>
      <c r="E4" s="2" t="str">
        <f>VLOOKUP($C4,ats!$A:$G,7,false)</f>
        <v>#N/A</v>
      </c>
      <c r="F4" s="3" t="str">
        <f>AVERAGE(VLOOKUP($A4,data!$A:$E,5,false),VLOOKUP($B4,data!$A:$F,6,false))</f>
        <v>#N/A</v>
      </c>
      <c r="G4" s="3" t="str">
        <f>AVERAGE(VLOOKUP($B4,data!$A:$E,5,false),VLOOKUP($A4,data!$A:$F,6,false))</f>
        <v>#N/A</v>
      </c>
      <c r="H4" s="3" t="str">
        <f>AVERAGE(VLOOKUP($A4,data!$A:$C,3,false),VLOOKUP($B4,data!$A:$D,4,false))</f>
        <v>#N/A</v>
      </c>
      <c r="I4" s="3" t="str">
        <f>AVERAGE(VLOOKUP($B4,data!$A:$C,3,false),VLOOKUP($A4,data!$A:$D,4,false))</f>
        <v>#N/A</v>
      </c>
      <c r="J4" s="2" t="str">
        <f>AVERAGE(VLOOKUP($A4,data!$A:$I,9,false),VLOOKUP($B4,data!$A:$J,10,false))</f>
        <v>#N/A</v>
      </c>
      <c r="K4" s="2" t="str">
        <f>AVERAGE(VLOOKUP($B4,data!$A:$I,9,false),VLOOKUP($A4,data!$A:$J,10,false))</f>
        <v>#N/A</v>
      </c>
      <c r="L4" s="2" t="str">
        <f>((VLOOKUP($A4,data!$A:$N,13,false)*0.5) + (VLOOKUP($B4,data!$A:$N,14,false)*(1-0.5)))</f>
        <v>#N/A</v>
      </c>
      <c r="M4" s="2" t="str">
        <f>((VLOOKUP($B4,data!$A:$N,13,false)*0.5) + (VLOOKUP($A4,data!$A:$N,14,false)*(1-0.5)))</f>
        <v>#N/A</v>
      </c>
      <c r="N4" s="3" t="str">
        <f t="shared" si="1"/>
        <v>#N/A</v>
      </c>
      <c r="O4" s="3" t="str">
        <f t="shared" si="2"/>
        <v>#N/A</v>
      </c>
      <c r="P4" s="2" t="str">
        <f t="shared" si="3"/>
        <v>#N/A</v>
      </c>
      <c r="Q4" s="2" t="str">
        <f>VLOOKUP(C4,totals!A:L,12,false)</f>
        <v>#N/A</v>
      </c>
      <c r="R4" s="2" t="str">
        <f t="shared" si="4"/>
        <v>#N/A</v>
      </c>
      <c r="S4" s="2" t="str">
        <f t="shared" si="5"/>
        <v>#N/A</v>
      </c>
      <c r="T4" s="4" t="str">
        <f t="shared" si="6"/>
        <v>#N/A</v>
      </c>
      <c r="U4" s="2" t="str">
        <f t="shared" si="7"/>
        <v>#N/A</v>
      </c>
      <c r="V4" s="2" t="str">
        <f>VLOOKUP(D4,ats!I:L,4,false)</f>
        <v>#N/A</v>
      </c>
      <c r="W4" s="2" t="str">
        <f t="shared" si="8"/>
        <v>#N/A</v>
      </c>
      <c r="X4" s="4" t="str">
        <f t="shared" si="9"/>
        <v>#N/A</v>
      </c>
    </row>
    <row r="5">
      <c r="A5" s="2" t="str">
        <f>VLOOKUP($D5,map!$D:$E,2,false)</f>
        <v>#N/A</v>
      </c>
      <c r="B5" s="2" t="str">
        <f>VLOOKUP($E5,map!$D:$E,2,false)</f>
        <v>#N/A</v>
      </c>
      <c r="D5" s="2" t="str">
        <f>VLOOKUP($C5,ats!$A:$G,6,false)</f>
        <v>#N/A</v>
      </c>
      <c r="E5" s="2" t="str">
        <f>VLOOKUP($C5,ats!$A:$G,7,false)</f>
        <v>#N/A</v>
      </c>
      <c r="F5" s="3" t="str">
        <f>AVERAGE(VLOOKUP($A5,data!$A:$E,5,false),VLOOKUP($B5,data!$A:$F,6,false))</f>
        <v>#N/A</v>
      </c>
      <c r="G5" s="3" t="str">
        <f>AVERAGE(VLOOKUP($B5,data!$A:$E,5,false),VLOOKUP($A5,data!$A:$F,6,false))</f>
        <v>#N/A</v>
      </c>
      <c r="H5" s="3" t="str">
        <f>AVERAGE(VLOOKUP($A5,data!$A:$C,3,false),VLOOKUP($B5,data!$A:$D,4,false))</f>
        <v>#N/A</v>
      </c>
      <c r="I5" s="3" t="str">
        <f>AVERAGE(VLOOKUP($B5,data!$A:$C,3,false),VLOOKUP($A5,data!$A:$D,4,false))</f>
        <v>#N/A</v>
      </c>
      <c r="J5" s="2" t="str">
        <f>AVERAGE(VLOOKUP($A5,data!$A:$I,9,false),VLOOKUP($B5,data!$A:$J,10,false))</f>
        <v>#N/A</v>
      </c>
      <c r="K5" s="2" t="str">
        <f>AVERAGE(VLOOKUP($B5,data!$A:$I,9,false),VLOOKUP($A5,data!$A:$J,10,false))</f>
        <v>#N/A</v>
      </c>
      <c r="L5" s="2" t="str">
        <f>((VLOOKUP($A5,data!$A:$N,13,false)*0.5) + (VLOOKUP($B5,data!$A:$N,14,false)*(1-0.5)))</f>
        <v>#N/A</v>
      </c>
      <c r="M5" s="2" t="str">
        <f>((VLOOKUP($B5,data!$A:$N,13,false)*0.5) + (VLOOKUP($A5,data!$A:$N,14,false)*(1-0.5)))</f>
        <v>#N/A</v>
      </c>
      <c r="N5" s="3" t="str">
        <f t="shared" si="1"/>
        <v>#N/A</v>
      </c>
      <c r="O5" s="3" t="str">
        <f t="shared" si="2"/>
        <v>#N/A</v>
      </c>
      <c r="P5" s="2" t="str">
        <f t="shared" si="3"/>
        <v>#N/A</v>
      </c>
      <c r="Q5" s="2" t="str">
        <f>VLOOKUP(C5,totals!A:L,12,false)</f>
        <v>#N/A</v>
      </c>
      <c r="R5" s="2" t="str">
        <f t="shared" si="4"/>
        <v>#N/A</v>
      </c>
      <c r="S5" s="2" t="str">
        <f t="shared" si="5"/>
        <v>#N/A</v>
      </c>
      <c r="T5" s="4" t="str">
        <f t="shared" si="6"/>
        <v>#N/A</v>
      </c>
      <c r="U5" s="2" t="str">
        <f t="shared" si="7"/>
        <v>#N/A</v>
      </c>
      <c r="V5" s="2" t="str">
        <f>VLOOKUP(D5,ats!I:L,4,false)</f>
        <v>#N/A</v>
      </c>
      <c r="W5" s="2" t="str">
        <f t="shared" si="8"/>
        <v>#N/A</v>
      </c>
      <c r="X5" s="4" t="str">
        <f t="shared" si="9"/>
        <v>#N/A</v>
      </c>
    </row>
    <row r="6">
      <c r="A6" s="2" t="str">
        <f>VLOOKUP($D6,map!$D:$E,2,false)</f>
        <v>#N/A</v>
      </c>
      <c r="B6" s="2" t="str">
        <f>VLOOKUP($E6,map!$D:$E,2,false)</f>
        <v>#N/A</v>
      </c>
      <c r="D6" s="2" t="str">
        <f>VLOOKUP($C6,ats!$A:$G,6,false)</f>
        <v>#N/A</v>
      </c>
      <c r="E6" s="2" t="str">
        <f>VLOOKUP($C6,ats!$A:$G,7,false)</f>
        <v>#N/A</v>
      </c>
      <c r="F6" s="3" t="str">
        <f>AVERAGE(VLOOKUP($A6,data!$A:$E,5,false),VLOOKUP($B6,data!$A:$F,6,false))</f>
        <v>#N/A</v>
      </c>
      <c r="G6" s="3" t="str">
        <f>AVERAGE(VLOOKUP($B6,data!$A:$E,5,false),VLOOKUP($A6,data!$A:$F,6,false))</f>
        <v>#N/A</v>
      </c>
      <c r="H6" s="3" t="str">
        <f>AVERAGE(VLOOKUP($A6,data!$A:$C,3,false),VLOOKUP($B6,data!$A:$D,4,false))</f>
        <v>#N/A</v>
      </c>
      <c r="I6" s="3" t="str">
        <f>AVERAGE(VLOOKUP($B6,data!$A:$C,3,false),VLOOKUP($A6,data!$A:$D,4,false))</f>
        <v>#N/A</v>
      </c>
      <c r="J6" s="2" t="str">
        <f>AVERAGE(VLOOKUP($A6,data!$A:$I,9,false),VLOOKUP($B6,data!$A:$J,10,false))</f>
        <v>#N/A</v>
      </c>
      <c r="K6" s="2" t="str">
        <f>AVERAGE(VLOOKUP($B6,data!$A:$I,9,false),VLOOKUP($A6,data!$A:$J,10,false))</f>
        <v>#N/A</v>
      </c>
      <c r="L6" s="2" t="str">
        <f>((VLOOKUP($A6,data!$A:$N,13,false)*0.5) + (VLOOKUP($B6,data!$A:$N,14,false)*(1-0.5)))</f>
        <v>#N/A</v>
      </c>
      <c r="M6" s="2" t="str">
        <f>((VLOOKUP($B6,data!$A:$N,13,false)*0.5) + (VLOOKUP($A6,data!$A:$N,14,false)*(1-0.5)))</f>
        <v>#N/A</v>
      </c>
      <c r="N6" s="3" t="str">
        <f t="shared" si="1"/>
        <v>#N/A</v>
      </c>
      <c r="O6" s="3" t="str">
        <f t="shared" si="2"/>
        <v>#N/A</v>
      </c>
      <c r="P6" s="2" t="str">
        <f t="shared" si="3"/>
        <v>#N/A</v>
      </c>
      <c r="Q6" s="2" t="str">
        <f>VLOOKUP(C6,totals!A:L,12,false)</f>
        <v>#N/A</v>
      </c>
      <c r="R6" s="2" t="str">
        <f t="shared" si="4"/>
        <v>#N/A</v>
      </c>
      <c r="S6" s="2" t="str">
        <f t="shared" si="5"/>
        <v>#N/A</v>
      </c>
      <c r="T6" s="4" t="str">
        <f t="shared" si="6"/>
        <v>#N/A</v>
      </c>
      <c r="U6" s="2" t="str">
        <f t="shared" si="7"/>
        <v>#N/A</v>
      </c>
      <c r="V6" s="2" t="str">
        <f>VLOOKUP(D6,ats!I:L,4,false)</f>
        <v>#N/A</v>
      </c>
      <c r="W6" s="2" t="str">
        <f t="shared" si="8"/>
        <v>#N/A</v>
      </c>
      <c r="X6" s="4" t="str">
        <f t="shared" si="9"/>
        <v>#N/A</v>
      </c>
    </row>
    <row r="7">
      <c r="A7" s="2" t="str">
        <f>VLOOKUP($D7,map!$D:$E,2,false)</f>
        <v>#N/A</v>
      </c>
      <c r="B7" s="2" t="str">
        <f>VLOOKUP($E7,map!$D:$E,2,false)</f>
        <v>#N/A</v>
      </c>
      <c r="D7" s="2" t="str">
        <f>VLOOKUP($C7,ats!$A:$G,6,false)</f>
        <v>#N/A</v>
      </c>
      <c r="E7" s="2" t="str">
        <f>VLOOKUP($C7,ats!$A:$G,7,false)</f>
        <v>#N/A</v>
      </c>
      <c r="F7" s="3" t="str">
        <f>AVERAGE(VLOOKUP($A7,data!$A:$E,5,false),VLOOKUP($B7,data!$A:$F,6,false))</f>
        <v>#N/A</v>
      </c>
      <c r="G7" s="3" t="str">
        <f>AVERAGE(VLOOKUP($B7,data!$A:$E,5,false),VLOOKUP($A7,data!$A:$F,6,false))</f>
        <v>#N/A</v>
      </c>
      <c r="H7" s="3" t="str">
        <f>AVERAGE(VLOOKUP($A7,data!$A:$C,3,false),VLOOKUP($B7,data!$A:$D,4,false))</f>
        <v>#N/A</v>
      </c>
      <c r="I7" s="3" t="str">
        <f>AVERAGE(VLOOKUP($B7,data!$A:$C,3,false),VLOOKUP($A7,data!$A:$D,4,false))</f>
        <v>#N/A</v>
      </c>
      <c r="J7" s="2" t="str">
        <f>AVERAGE(VLOOKUP($A7,data!$A:$I,9,false),VLOOKUP($B7,data!$A:$J,10,false))</f>
        <v>#N/A</v>
      </c>
      <c r="K7" s="2" t="str">
        <f>AVERAGE(VLOOKUP($B7,data!$A:$I,9,false),VLOOKUP($A7,data!$A:$J,10,false))</f>
        <v>#N/A</v>
      </c>
      <c r="L7" s="2" t="str">
        <f>((VLOOKUP($A7,data!$A:$N,13,false)*0.5) + (VLOOKUP($B7,data!$A:$N,14,false)*(1-0.5)))</f>
        <v>#N/A</v>
      </c>
      <c r="M7" s="2" t="str">
        <f>((VLOOKUP($B7,data!$A:$N,13,false)*0.5) + (VLOOKUP($A7,data!$A:$N,14,false)*(1-0.5)))</f>
        <v>#N/A</v>
      </c>
      <c r="N7" s="3" t="str">
        <f t="shared" si="1"/>
        <v>#N/A</v>
      </c>
      <c r="O7" s="3" t="str">
        <f t="shared" si="2"/>
        <v>#N/A</v>
      </c>
      <c r="P7" s="2" t="str">
        <f t="shared" si="3"/>
        <v>#N/A</v>
      </c>
      <c r="Q7" s="2" t="str">
        <f>VLOOKUP(C7,totals!A:L,12,false)</f>
        <v>#N/A</v>
      </c>
      <c r="R7" s="2" t="str">
        <f t="shared" si="4"/>
        <v>#N/A</v>
      </c>
      <c r="S7" s="2" t="str">
        <f t="shared" si="5"/>
        <v>#N/A</v>
      </c>
      <c r="T7" s="4" t="str">
        <f t="shared" si="6"/>
        <v>#N/A</v>
      </c>
      <c r="U7" s="2" t="str">
        <f t="shared" si="7"/>
        <v>#N/A</v>
      </c>
      <c r="V7" s="2" t="str">
        <f>VLOOKUP(D7,ats!I:L,4,false)</f>
        <v>#N/A</v>
      </c>
      <c r="W7" s="2" t="str">
        <f t="shared" si="8"/>
        <v>#N/A</v>
      </c>
      <c r="X7" s="4" t="str">
        <f t="shared" si="9"/>
        <v>#N/A</v>
      </c>
    </row>
    <row r="8">
      <c r="A8" s="2" t="str">
        <f>VLOOKUP($D8,map!$D:$E,2,false)</f>
        <v>#N/A</v>
      </c>
      <c r="B8" s="2" t="str">
        <f>VLOOKUP($E8,map!$D:$E,2,false)</f>
        <v>#N/A</v>
      </c>
      <c r="D8" s="2" t="str">
        <f>VLOOKUP($C8,ats!$A:$G,6,false)</f>
        <v>#N/A</v>
      </c>
      <c r="E8" s="2" t="str">
        <f>VLOOKUP($C8,ats!$A:$G,7,false)</f>
        <v>#N/A</v>
      </c>
      <c r="F8" s="3" t="str">
        <f>AVERAGE(VLOOKUP($A8,data!$A:$E,5,false),VLOOKUP($B8,data!$A:$F,6,false))</f>
        <v>#N/A</v>
      </c>
      <c r="G8" s="3" t="str">
        <f>AVERAGE(VLOOKUP($B8,data!$A:$E,5,false),VLOOKUP($A8,data!$A:$F,6,false))</f>
        <v>#N/A</v>
      </c>
      <c r="H8" s="3" t="str">
        <f>AVERAGE(VLOOKUP($A8,data!$A:$C,3,false),VLOOKUP($B8,data!$A:$D,4,false))</f>
        <v>#N/A</v>
      </c>
      <c r="I8" s="3" t="str">
        <f>AVERAGE(VLOOKUP($B8,data!$A:$C,3,false),VLOOKUP($A8,data!$A:$D,4,false))</f>
        <v>#N/A</v>
      </c>
      <c r="J8" s="2" t="str">
        <f>AVERAGE(VLOOKUP($A8,data!$A:$I,9,false),VLOOKUP($B8,data!$A:$J,10,false))</f>
        <v>#N/A</v>
      </c>
      <c r="K8" s="2" t="str">
        <f>AVERAGE(VLOOKUP($B8,data!$A:$I,9,false),VLOOKUP($A8,data!$A:$J,10,false))</f>
        <v>#N/A</v>
      </c>
      <c r="L8" s="2" t="str">
        <f>((VLOOKUP($A8,data!$A:$N,13,false)*0.5) + (VLOOKUP($B8,data!$A:$N,14,false)*(1-0.5)))</f>
        <v>#N/A</v>
      </c>
      <c r="M8" s="2" t="str">
        <f>((VLOOKUP($B8,data!$A:$N,13,false)*0.5) + (VLOOKUP($A8,data!$A:$N,14,false)*(1-0.5)))</f>
        <v>#N/A</v>
      </c>
      <c r="N8" s="3" t="str">
        <f t="shared" si="1"/>
        <v>#N/A</v>
      </c>
      <c r="O8" s="3" t="str">
        <f t="shared" si="2"/>
        <v>#N/A</v>
      </c>
      <c r="P8" s="2" t="str">
        <f t="shared" si="3"/>
        <v>#N/A</v>
      </c>
      <c r="Q8" s="2" t="str">
        <f>VLOOKUP(C8,totals!A:L,12,false)</f>
        <v>#N/A</v>
      </c>
      <c r="R8" s="2" t="str">
        <f t="shared" si="4"/>
        <v>#N/A</v>
      </c>
      <c r="S8" s="2" t="str">
        <f t="shared" si="5"/>
        <v>#N/A</v>
      </c>
      <c r="T8" s="4" t="str">
        <f t="shared" si="6"/>
        <v>#N/A</v>
      </c>
      <c r="U8" s="2" t="str">
        <f t="shared" si="7"/>
        <v>#N/A</v>
      </c>
      <c r="V8" s="2" t="str">
        <f>VLOOKUP(D8,ats!I:L,4,false)</f>
        <v>#N/A</v>
      </c>
      <c r="W8" s="2" t="str">
        <f t="shared" si="8"/>
        <v>#N/A</v>
      </c>
      <c r="X8" s="4" t="str">
        <f t="shared" si="9"/>
        <v>#N/A</v>
      </c>
    </row>
    <row r="9">
      <c r="A9" s="2" t="str">
        <f>VLOOKUP($D9,map!$D:$E,2,false)</f>
        <v>#N/A</v>
      </c>
      <c r="B9" s="2" t="str">
        <f>VLOOKUP($E9,map!$D:$E,2,false)</f>
        <v>#N/A</v>
      </c>
      <c r="D9" s="2" t="str">
        <f>VLOOKUP($C9,ats!$A:$G,6,false)</f>
        <v>#N/A</v>
      </c>
      <c r="E9" s="2" t="str">
        <f>VLOOKUP($C9,ats!$A:$G,7,false)</f>
        <v>#N/A</v>
      </c>
      <c r="F9" s="3" t="str">
        <f>AVERAGE(VLOOKUP($A9,data!$A:$E,5,false),VLOOKUP($B9,data!$A:$F,6,false))</f>
        <v>#N/A</v>
      </c>
      <c r="G9" s="3" t="str">
        <f>AVERAGE(VLOOKUP($B9,data!$A:$E,5,false),VLOOKUP($A9,data!$A:$F,6,false))</f>
        <v>#N/A</v>
      </c>
      <c r="H9" s="3" t="str">
        <f>AVERAGE(VLOOKUP($A9,data!$A:$C,3,false),VLOOKUP($B9,data!$A:$D,4,false))</f>
        <v>#N/A</v>
      </c>
      <c r="I9" s="3" t="str">
        <f>AVERAGE(VLOOKUP($B9,data!$A:$C,3,false),VLOOKUP($A9,data!$A:$D,4,false))</f>
        <v>#N/A</v>
      </c>
      <c r="J9" s="2" t="str">
        <f>AVERAGE(VLOOKUP($A9,data!$A:$I,9,false),VLOOKUP($B9,data!$A:$J,10,false))</f>
        <v>#N/A</v>
      </c>
      <c r="K9" s="2" t="str">
        <f>AVERAGE(VLOOKUP($B9,data!$A:$I,9,false),VLOOKUP($A9,data!$A:$J,10,false))</f>
        <v>#N/A</v>
      </c>
      <c r="L9" s="2" t="str">
        <f>((VLOOKUP($A9,data!$A:$N,13,false)*0.5) + (VLOOKUP($B9,data!$A:$N,14,false)*(1-0.5)))</f>
        <v>#N/A</v>
      </c>
      <c r="M9" s="2" t="str">
        <f>((VLOOKUP($B9,data!$A:$N,13,false)*0.5) + (VLOOKUP($A9,data!$A:$N,14,false)*(1-0.5)))</f>
        <v>#N/A</v>
      </c>
      <c r="N9" s="3" t="str">
        <f t="shared" si="1"/>
        <v>#N/A</v>
      </c>
      <c r="O9" s="3" t="str">
        <f t="shared" si="2"/>
        <v>#N/A</v>
      </c>
      <c r="P9" s="2" t="str">
        <f t="shared" si="3"/>
        <v>#N/A</v>
      </c>
      <c r="Q9" s="2" t="str">
        <f>VLOOKUP(C9,totals!A:L,12,false)</f>
        <v>#N/A</v>
      </c>
      <c r="R9" s="2" t="str">
        <f t="shared" si="4"/>
        <v>#N/A</v>
      </c>
      <c r="S9" s="2" t="str">
        <f t="shared" si="5"/>
        <v>#N/A</v>
      </c>
      <c r="T9" s="4" t="str">
        <f t="shared" si="6"/>
        <v>#N/A</v>
      </c>
      <c r="U9" s="2" t="str">
        <f t="shared" si="7"/>
        <v>#N/A</v>
      </c>
      <c r="V9" s="2" t="str">
        <f>VLOOKUP(D9,ats!I:L,4,false)</f>
        <v>#N/A</v>
      </c>
      <c r="W9" s="2" t="str">
        <f t="shared" si="8"/>
        <v>#N/A</v>
      </c>
      <c r="X9" s="4" t="str">
        <f t="shared" si="9"/>
        <v>#N/A</v>
      </c>
    </row>
    <row r="10">
      <c r="A10" s="2" t="str">
        <f>VLOOKUP($D10,map!$D:$E,2,false)</f>
        <v>#N/A</v>
      </c>
      <c r="B10" s="2" t="str">
        <f>VLOOKUP($E10,map!$D:$E,2,false)</f>
        <v>#N/A</v>
      </c>
      <c r="D10" s="2" t="str">
        <f>VLOOKUP($C10,ats!$A:$G,6,false)</f>
        <v>#N/A</v>
      </c>
      <c r="E10" s="2" t="str">
        <f>VLOOKUP($C10,ats!$A:$G,7,false)</f>
        <v>#N/A</v>
      </c>
      <c r="F10" s="3" t="str">
        <f>AVERAGE(VLOOKUP($A10,data!$A:$E,5,false),VLOOKUP($B10,data!$A:$F,6,false))</f>
        <v>#N/A</v>
      </c>
      <c r="G10" s="3" t="str">
        <f>AVERAGE(VLOOKUP($B10,data!$A:$E,5,false),VLOOKUP($A10,data!$A:$F,6,false))</f>
        <v>#N/A</v>
      </c>
      <c r="H10" s="3" t="str">
        <f>AVERAGE(VLOOKUP($A10,data!$A:$C,3,false),VLOOKUP($B10,data!$A:$D,4,false))</f>
        <v>#N/A</v>
      </c>
      <c r="I10" s="3" t="str">
        <f>AVERAGE(VLOOKUP($B10,data!$A:$C,3,false),VLOOKUP($A10,data!$A:$D,4,false))</f>
        <v>#N/A</v>
      </c>
      <c r="J10" s="2" t="str">
        <f>AVERAGE(VLOOKUP($A10,data!$A:$I,9,false),VLOOKUP($B10,data!$A:$J,10,false))</f>
        <v>#N/A</v>
      </c>
      <c r="K10" s="2" t="str">
        <f>AVERAGE(VLOOKUP($B10,data!$A:$I,9,false),VLOOKUP($A10,data!$A:$J,10,false))</f>
        <v>#N/A</v>
      </c>
      <c r="L10" s="2" t="str">
        <f>((VLOOKUP($A10,data!$A:$N,13,false)*0.5) + (VLOOKUP($B10,data!$A:$N,14,false)*(1-0.5)))</f>
        <v>#N/A</v>
      </c>
      <c r="M10" s="2" t="str">
        <f>((VLOOKUP($B10,data!$A:$N,13,false)*0.5) + (VLOOKUP($A10,data!$A:$N,14,false)*(1-0.5)))</f>
        <v>#N/A</v>
      </c>
      <c r="N10" s="3" t="str">
        <f t="shared" si="1"/>
        <v>#N/A</v>
      </c>
      <c r="O10" s="3" t="str">
        <f t="shared" si="2"/>
        <v>#N/A</v>
      </c>
      <c r="P10" s="2" t="str">
        <f t="shared" si="3"/>
        <v>#N/A</v>
      </c>
      <c r="Q10" s="2" t="str">
        <f>VLOOKUP(C10,totals!A:L,12,false)</f>
        <v>#N/A</v>
      </c>
      <c r="R10" s="2" t="str">
        <f t="shared" si="4"/>
        <v>#N/A</v>
      </c>
      <c r="S10" s="2" t="str">
        <f t="shared" si="5"/>
        <v>#N/A</v>
      </c>
      <c r="T10" s="4" t="str">
        <f t="shared" si="6"/>
        <v>#N/A</v>
      </c>
      <c r="U10" s="2" t="str">
        <f t="shared" si="7"/>
        <v>#N/A</v>
      </c>
      <c r="V10" s="2" t="str">
        <f>VLOOKUP(D10,ats!I:L,4,false)</f>
        <v>#N/A</v>
      </c>
      <c r="W10" s="2" t="str">
        <f t="shared" si="8"/>
        <v>#N/A</v>
      </c>
      <c r="X10" s="4" t="str">
        <f t="shared" si="9"/>
        <v>#N/A</v>
      </c>
    </row>
    <row r="11">
      <c r="A11" s="2" t="str">
        <f>VLOOKUP($D11,map!$D:$E,2,false)</f>
        <v>#N/A</v>
      </c>
      <c r="B11" s="2" t="str">
        <f>VLOOKUP($E11,map!$D:$E,2,false)</f>
        <v>#N/A</v>
      </c>
      <c r="D11" s="2" t="str">
        <f>VLOOKUP($C11,ats!$A:$G,6,false)</f>
        <v>#N/A</v>
      </c>
      <c r="E11" s="2" t="str">
        <f>VLOOKUP($C11,ats!$A:$G,7,false)</f>
        <v>#N/A</v>
      </c>
      <c r="F11" s="3" t="str">
        <f>AVERAGE(VLOOKUP($A11,data!$A:$E,5,false),VLOOKUP($B11,data!$A:$F,6,false))</f>
        <v>#N/A</v>
      </c>
      <c r="G11" s="3" t="str">
        <f>AVERAGE(VLOOKUP($B11,data!$A:$E,5,false),VLOOKUP($A11,data!$A:$F,6,false))</f>
        <v>#N/A</v>
      </c>
      <c r="H11" s="3" t="str">
        <f>AVERAGE(VLOOKUP($A11,data!$A:$C,3,false),VLOOKUP($B11,data!$A:$D,4,false))</f>
        <v>#N/A</v>
      </c>
      <c r="I11" s="3" t="str">
        <f>AVERAGE(VLOOKUP($B11,data!$A:$C,3,false),VLOOKUP($A11,data!$A:$D,4,false))</f>
        <v>#N/A</v>
      </c>
      <c r="J11" s="2" t="str">
        <f>AVERAGE(VLOOKUP($A11,data!$A:$I,9,false),VLOOKUP($B11,data!$A:$J,10,false))</f>
        <v>#N/A</v>
      </c>
      <c r="K11" s="2" t="str">
        <f>AVERAGE(VLOOKUP($B11,data!$A:$I,9,false),VLOOKUP($A11,data!$A:$J,10,false))</f>
        <v>#N/A</v>
      </c>
      <c r="L11" s="2" t="str">
        <f>((VLOOKUP($A11,data!$A:$N,13,false)*0.5) + (VLOOKUP($B11,data!$A:$N,14,false)*(1-0.5)))</f>
        <v>#N/A</v>
      </c>
      <c r="M11" s="2" t="str">
        <f>((VLOOKUP($B11,data!$A:$N,13,false)*0.5) + (VLOOKUP($A11,data!$A:$N,14,false)*(1-0.5)))</f>
        <v>#N/A</v>
      </c>
      <c r="N11" s="3" t="str">
        <f t="shared" si="1"/>
        <v>#N/A</v>
      </c>
      <c r="O11" s="3" t="str">
        <f t="shared" si="2"/>
        <v>#N/A</v>
      </c>
      <c r="P11" s="2" t="str">
        <f t="shared" si="3"/>
        <v>#N/A</v>
      </c>
      <c r="Q11" s="2" t="str">
        <f>VLOOKUP(C11,totals!A:L,12,false)</f>
        <v>#N/A</v>
      </c>
      <c r="R11" s="2" t="str">
        <f t="shared" si="4"/>
        <v>#N/A</v>
      </c>
      <c r="S11" s="2" t="str">
        <f t="shared" si="5"/>
        <v>#N/A</v>
      </c>
      <c r="T11" s="4" t="str">
        <f t="shared" si="6"/>
        <v>#N/A</v>
      </c>
      <c r="U11" s="2" t="str">
        <f t="shared" si="7"/>
        <v>#N/A</v>
      </c>
      <c r="V11" s="2" t="str">
        <f>VLOOKUP(D11,ats!I:L,4,false)</f>
        <v>#N/A</v>
      </c>
      <c r="W11" s="2" t="str">
        <f t="shared" si="8"/>
        <v>#N/A</v>
      </c>
      <c r="X11" s="4" t="str">
        <f t="shared" si="9"/>
        <v>#N/A</v>
      </c>
    </row>
    <row r="12">
      <c r="A12" s="2" t="str">
        <f>VLOOKUP($D12,map!$D:$E,2,false)</f>
        <v>#N/A</v>
      </c>
      <c r="B12" s="2" t="str">
        <f>VLOOKUP($E12,map!$D:$E,2,false)</f>
        <v>#N/A</v>
      </c>
      <c r="D12" s="2" t="str">
        <f>VLOOKUP($C12,ats!$A:$G,6,false)</f>
        <v>#N/A</v>
      </c>
      <c r="E12" s="2" t="str">
        <f>VLOOKUP($C12,ats!$A:$G,7,false)</f>
        <v>#N/A</v>
      </c>
      <c r="F12" s="3" t="str">
        <f>AVERAGE(VLOOKUP($A12,data!$A:$E,5,false),VLOOKUP($B12,data!$A:$F,6,false))</f>
        <v>#N/A</v>
      </c>
      <c r="G12" s="3" t="str">
        <f>AVERAGE(VLOOKUP($B12,data!$A:$E,5,false),VLOOKUP($A12,data!$A:$F,6,false))</f>
        <v>#N/A</v>
      </c>
      <c r="H12" s="3" t="str">
        <f>AVERAGE(VLOOKUP($A12,data!$A:$C,3,false),VLOOKUP($B12,data!$A:$D,4,false))</f>
        <v>#N/A</v>
      </c>
      <c r="I12" s="3" t="str">
        <f>AVERAGE(VLOOKUP($B12,data!$A:$C,3,false),VLOOKUP($A12,data!$A:$D,4,false))</f>
        <v>#N/A</v>
      </c>
      <c r="J12" s="2" t="str">
        <f>AVERAGE(VLOOKUP($A12,data!$A:$I,9,false),VLOOKUP($B12,data!$A:$J,10,false))</f>
        <v>#N/A</v>
      </c>
      <c r="K12" s="2" t="str">
        <f>AVERAGE(VLOOKUP($B12,data!$A:$I,9,false),VLOOKUP($A12,data!$A:$J,10,false))</f>
        <v>#N/A</v>
      </c>
      <c r="L12" s="2" t="str">
        <f>((VLOOKUP($A12,data!$A:$N,13,false)*0.5) + (VLOOKUP($B12,data!$A:$N,14,false)*(1-0.5)))</f>
        <v>#N/A</v>
      </c>
      <c r="M12" s="2" t="str">
        <f>((VLOOKUP($B12,data!$A:$N,13,false)*0.5) + (VLOOKUP($A12,data!$A:$N,14,false)*(1-0.5)))</f>
        <v>#N/A</v>
      </c>
      <c r="N12" s="3" t="str">
        <f t="shared" si="1"/>
        <v>#N/A</v>
      </c>
      <c r="O12" s="3" t="str">
        <f t="shared" si="2"/>
        <v>#N/A</v>
      </c>
      <c r="P12" s="2" t="str">
        <f t="shared" si="3"/>
        <v>#N/A</v>
      </c>
      <c r="Q12" s="2" t="str">
        <f>VLOOKUP(C12,totals!A:L,12,false)</f>
        <v>#N/A</v>
      </c>
      <c r="R12" s="2" t="str">
        <f t="shared" si="4"/>
        <v>#N/A</v>
      </c>
      <c r="S12" s="2" t="str">
        <f t="shared" si="5"/>
        <v>#N/A</v>
      </c>
      <c r="T12" s="4" t="str">
        <f t="shared" si="6"/>
        <v>#N/A</v>
      </c>
      <c r="U12" s="2" t="str">
        <f t="shared" si="7"/>
        <v>#N/A</v>
      </c>
      <c r="V12" s="2" t="str">
        <f>VLOOKUP(D12,ats!I:L,4,false)</f>
        <v>#N/A</v>
      </c>
      <c r="W12" s="2" t="str">
        <f t="shared" si="8"/>
        <v>#N/A</v>
      </c>
      <c r="X12" s="4" t="str">
        <f t="shared" si="9"/>
        <v>#N/A</v>
      </c>
    </row>
    <row r="13">
      <c r="A13" s="2" t="str">
        <f>VLOOKUP($D13,map!$D:$E,2,false)</f>
        <v>#N/A</v>
      </c>
      <c r="B13" s="2" t="str">
        <f>VLOOKUP($E13,map!$D:$E,2,false)</f>
        <v>#N/A</v>
      </c>
      <c r="D13" s="2" t="str">
        <f>VLOOKUP($C13,ats!$A:$G,6,false)</f>
        <v>#N/A</v>
      </c>
      <c r="E13" s="2" t="str">
        <f>VLOOKUP($C13,ats!$A:$G,7,false)</f>
        <v>#N/A</v>
      </c>
      <c r="F13" s="3" t="str">
        <f>AVERAGE(VLOOKUP($A13,data!$A:$E,5,false),VLOOKUP($B13,data!$A:$F,6,false))</f>
        <v>#N/A</v>
      </c>
      <c r="G13" s="3" t="str">
        <f>AVERAGE(VLOOKUP($B13,data!$A:$E,5,false),VLOOKUP($A13,data!$A:$F,6,false))</f>
        <v>#N/A</v>
      </c>
      <c r="H13" s="3" t="str">
        <f>AVERAGE(VLOOKUP($A13,data!$A:$C,3,false),VLOOKUP($B13,data!$A:$D,4,false))</f>
        <v>#N/A</v>
      </c>
      <c r="I13" s="3" t="str">
        <f>AVERAGE(VLOOKUP($B13,data!$A:$C,3,false),VLOOKUP($A13,data!$A:$D,4,false))</f>
        <v>#N/A</v>
      </c>
      <c r="J13" s="2" t="str">
        <f>AVERAGE(VLOOKUP($A13,data!$A:$I,9,false),VLOOKUP($B13,data!$A:$J,10,false))</f>
        <v>#N/A</v>
      </c>
      <c r="K13" s="2" t="str">
        <f>AVERAGE(VLOOKUP($B13,data!$A:$I,9,false),VLOOKUP($A13,data!$A:$J,10,false))</f>
        <v>#N/A</v>
      </c>
      <c r="L13" s="2" t="str">
        <f>((VLOOKUP($A13,data!$A:$N,13,false)*0.5) + (VLOOKUP($B13,data!$A:$N,14,false)*(1-0.5)))</f>
        <v>#N/A</v>
      </c>
      <c r="M13" s="2" t="str">
        <f>((VLOOKUP($B13,data!$A:$N,13,false)*0.5) + (VLOOKUP($A13,data!$A:$N,14,false)*(1-0.5)))</f>
        <v>#N/A</v>
      </c>
      <c r="N13" s="3" t="str">
        <f t="shared" si="1"/>
        <v>#N/A</v>
      </c>
      <c r="O13" s="3" t="str">
        <f t="shared" si="2"/>
        <v>#N/A</v>
      </c>
      <c r="P13" s="2" t="str">
        <f t="shared" si="3"/>
        <v>#N/A</v>
      </c>
      <c r="Q13" s="2" t="str">
        <f>VLOOKUP(C13,totals!A:L,12,false)</f>
        <v>#N/A</v>
      </c>
      <c r="R13" s="2" t="str">
        <f t="shared" si="4"/>
        <v>#N/A</v>
      </c>
      <c r="S13" s="2" t="str">
        <f t="shared" si="5"/>
        <v>#N/A</v>
      </c>
      <c r="T13" s="4" t="str">
        <f t="shared" si="6"/>
        <v>#N/A</v>
      </c>
      <c r="U13" s="2" t="str">
        <f t="shared" si="7"/>
        <v>#N/A</v>
      </c>
      <c r="V13" s="2" t="str">
        <f>VLOOKUP(D13,ats!I:L,4,false)</f>
        <v>#N/A</v>
      </c>
      <c r="W13" s="2" t="str">
        <f t="shared" si="8"/>
        <v>#N/A</v>
      </c>
      <c r="X13" s="4" t="str">
        <f t="shared" si="9"/>
        <v>#N/A</v>
      </c>
    </row>
    <row r="14">
      <c r="A14" s="2" t="str">
        <f>VLOOKUP($D14,map!$D:$E,2,false)</f>
        <v>#N/A</v>
      </c>
      <c r="B14" s="2" t="str">
        <f>VLOOKUP($E14,map!$D:$E,2,false)</f>
        <v>#N/A</v>
      </c>
      <c r="D14" s="2" t="str">
        <f>VLOOKUP($C14,ats!$A:$G,6,false)</f>
        <v>#N/A</v>
      </c>
      <c r="E14" s="2" t="str">
        <f>VLOOKUP($C14,ats!$A:$G,7,false)</f>
        <v>#N/A</v>
      </c>
      <c r="F14" s="3" t="str">
        <f>AVERAGE(VLOOKUP($A14,data!$A:$E,5,false),VLOOKUP($B14,data!$A:$F,6,false))</f>
        <v>#N/A</v>
      </c>
      <c r="G14" s="3" t="str">
        <f>AVERAGE(VLOOKUP($B14,data!$A:$E,5,false),VLOOKUP($A14,data!$A:$F,6,false))</f>
        <v>#N/A</v>
      </c>
      <c r="H14" s="3" t="str">
        <f>AVERAGE(VLOOKUP($A14,data!$A:$C,3,false),VLOOKUP($B14,data!$A:$D,4,false))</f>
        <v>#N/A</v>
      </c>
      <c r="I14" s="3" t="str">
        <f>AVERAGE(VLOOKUP($B14,data!$A:$C,3,false),VLOOKUP($A14,data!$A:$D,4,false))</f>
        <v>#N/A</v>
      </c>
      <c r="J14" s="2" t="str">
        <f>AVERAGE(VLOOKUP($A14,data!$A:$I,9,false),VLOOKUP($B14,data!$A:$J,10,false))</f>
        <v>#N/A</v>
      </c>
      <c r="K14" s="2" t="str">
        <f>AVERAGE(VLOOKUP($B14,data!$A:$I,9,false),VLOOKUP($A14,data!$A:$J,10,false))</f>
        <v>#N/A</v>
      </c>
      <c r="L14" s="2" t="str">
        <f>((VLOOKUP($A14,data!$A:$N,13,false)*0.5) + (VLOOKUP($B14,data!$A:$N,14,false)*(1-0.5)))</f>
        <v>#N/A</v>
      </c>
      <c r="M14" s="2" t="str">
        <f>((VLOOKUP($B14,data!$A:$N,13,false)*0.5) + (VLOOKUP($A14,data!$A:$N,14,false)*(1-0.5)))</f>
        <v>#N/A</v>
      </c>
      <c r="N14" s="3" t="str">
        <f t="shared" si="1"/>
        <v>#N/A</v>
      </c>
      <c r="O14" s="3" t="str">
        <f t="shared" si="2"/>
        <v>#N/A</v>
      </c>
      <c r="P14" s="2" t="str">
        <f t="shared" si="3"/>
        <v>#N/A</v>
      </c>
      <c r="Q14" s="2" t="str">
        <f>VLOOKUP(C14,totals!A:L,12,false)</f>
        <v>#N/A</v>
      </c>
      <c r="R14" s="2" t="str">
        <f t="shared" si="4"/>
        <v>#N/A</v>
      </c>
      <c r="S14" s="2" t="str">
        <f t="shared" si="5"/>
        <v>#N/A</v>
      </c>
      <c r="T14" s="4" t="str">
        <f t="shared" si="6"/>
        <v>#N/A</v>
      </c>
      <c r="U14" s="2" t="str">
        <f t="shared" si="7"/>
        <v>#N/A</v>
      </c>
      <c r="V14" s="2" t="str">
        <f>VLOOKUP(D14,ats!I:L,4,false)</f>
        <v>#N/A</v>
      </c>
      <c r="W14" s="2" t="str">
        <f t="shared" si="8"/>
        <v>#N/A</v>
      </c>
      <c r="X14" s="4" t="str">
        <f t="shared" si="9"/>
        <v>#N/A</v>
      </c>
    </row>
    <row r="15">
      <c r="A15" s="2" t="str">
        <f>VLOOKUP($D15,map!$D:$E,2,false)</f>
        <v>#N/A</v>
      </c>
      <c r="B15" s="2" t="str">
        <f>VLOOKUP($E15,map!$D:$E,2,false)</f>
        <v>#N/A</v>
      </c>
      <c r="D15" s="2" t="str">
        <f>VLOOKUP($C15,ats!$A:$G,6,false)</f>
        <v>#N/A</v>
      </c>
      <c r="E15" s="2" t="str">
        <f>VLOOKUP($C15,ats!$A:$G,7,false)</f>
        <v>#N/A</v>
      </c>
      <c r="F15" s="3" t="str">
        <f>AVERAGE(VLOOKUP($A15,data!$A:$E,5,false),VLOOKUP($B15,data!$A:$F,6,false))</f>
        <v>#N/A</v>
      </c>
      <c r="G15" s="3" t="str">
        <f>AVERAGE(VLOOKUP($B15,data!$A:$E,5,false),VLOOKUP($A15,data!$A:$F,6,false))</f>
        <v>#N/A</v>
      </c>
      <c r="H15" s="3" t="str">
        <f>AVERAGE(VLOOKUP($A15,data!$A:$C,3,false),VLOOKUP($B15,data!$A:$D,4,false))</f>
        <v>#N/A</v>
      </c>
      <c r="I15" s="3" t="str">
        <f>AVERAGE(VLOOKUP($B15,data!$A:$C,3,false),VLOOKUP($A15,data!$A:$D,4,false))</f>
        <v>#N/A</v>
      </c>
      <c r="J15" s="2" t="str">
        <f>AVERAGE(VLOOKUP($A15,data!$A:$I,9,false),VLOOKUP($B15,data!$A:$J,10,false))</f>
        <v>#N/A</v>
      </c>
      <c r="K15" s="2" t="str">
        <f>AVERAGE(VLOOKUP($B15,data!$A:$I,9,false),VLOOKUP($A15,data!$A:$J,10,false))</f>
        <v>#N/A</v>
      </c>
      <c r="L15" s="2" t="str">
        <f>((VLOOKUP($A15,data!$A:$N,13,false)*0.5) + (VLOOKUP($B15,data!$A:$N,14,false)*(1-0.5)))</f>
        <v>#N/A</v>
      </c>
      <c r="M15" s="2" t="str">
        <f>((VLOOKUP($B15,data!$A:$N,13,false)*0.5) + (VLOOKUP($A15,data!$A:$N,14,false)*(1-0.5)))</f>
        <v>#N/A</v>
      </c>
      <c r="N15" s="3" t="str">
        <f t="shared" si="1"/>
        <v>#N/A</v>
      </c>
      <c r="O15" s="3" t="str">
        <f t="shared" si="2"/>
        <v>#N/A</v>
      </c>
      <c r="P15" s="2" t="str">
        <f t="shared" si="3"/>
        <v>#N/A</v>
      </c>
      <c r="Q15" s="2" t="str">
        <f>VLOOKUP(C15,totals!A:L,12,false)</f>
        <v>#N/A</v>
      </c>
      <c r="R15" s="2" t="str">
        <f t="shared" si="4"/>
        <v>#N/A</v>
      </c>
      <c r="S15" s="2" t="str">
        <f t="shared" si="5"/>
        <v>#N/A</v>
      </c>
      <c r="T15" s="4" t="str">
        <f t="shared" si="6"/>
        <v>#N/A</v>
      </c>
      <c r="U15" s="2" t="str">
        <f t="shared" si="7"/>
        <v>#N/A</v>
      </c>
      <c r="V15" s="2" t="str">
        <f>VLOOKUP(D15,ats!I:L,4,false)</f>
        <v>#N/A</v>
      </c>
      <c r="W15" s="2" t="str">
        <f t="shared" si="8"/>
        <v>#N/A</v>
      </c>
      <c r="X15" s="4" t="str">
        <f t="shared" si="9"/>
        <v>#N/A</v>
      </c>
    </row>
    <row r="16">
      <c r="A16" s="2" t="str">
        <f>VLOOKUP($D16,map!$D:$E,2,false)</f>
        <v>#N/A</v>
      </c>
      <c r="B16" s="2" t="str">
        <f>VLOOKUP($E16,map!$D:$E,2,false)</f>
        <v>#N/A</v>
      </c>
      <c r="D16" s="2" t="str">
        <f>VLOOKUP($C16,ats!$A:$G,6,false)</f>
        <v>#N/A</v>
      </c>
      <c r="E16" s="2" t="str">
        <f>VLOOKUP($C16,ats!$A:$G,7,false)</f>
        <v>#N/A</v>
      </c>
      <c r="F16" s="3" t="str">
        <f>AVERAGE(VLOOKUP($A16,data!$A:$E,5,false),VLOOKUP($B16,data!$A:$F,6,false))</f>
        <v>#N/A</v>
      </c>
      <c r="G16" s="3" t="str">
        <f>AVERAGE(VLOOKUP($B16,data!$A:$E,5,false),VLOOKUP($A16,data!$A:$F,6,false))</f>
        <v>#N/A</v>
      </c>
      <c r="H16" s="3" t="str">
        <f>AVERAGE(VLOOKUP($A16,data!$A:$C,3,false),VLOOKUP($B16,data!$A:$D,4,false))</f>
        <v>#N/A</v>
      </c>
      <c r="I16" s="3" t="str">
        <f>AVERAGE(VLOOKUP($B16,data!$A:$C,3,false),VLOOKUP($A16,data!$A:$D,4,false))</f>
        <v>#N/A</v>
      </c>
      <c r="J16" s="2" t="str">
        <f>AVERAGE(VLOOKUP($A16,data!$A:$I,9,false),VLOOKUP($B16,data!$A:$J,10,false))</f>
        <v>#N/A</v>
      </c>
      <c r="K16" s="2" t="str">
        <f>AVERAGE(VLOOKUP($B16,data!$A:$I,9,false),VLOOKUP($A16,data!$A:$J,10,false))</f>
        <v>#N/A</v>
      </c>
      <c r="L16" s="2" t="str">
        <f>((VLOOKUP($A16,data!$A:$N,13,false)*0.5) + (VLOOKUP($B16,data!$A:$N,14,false)*(1-0.5)))</f>
        <v>#N/A</v>
      </c>
      <c r="M16" s="2" t="str">
        <f>((VLOOKUP($B16,data!$A:$N,13,false)*0.5) + (VLOOKUP($A16,data!$A:$N,14,false)*(1-0.5)))</f>
        <v>#N/A</v>
      </c>
      <c r="N16" s="3" t="str">
        <f t="shared" si="1"/>
        <v>#N/A</v>
      </c>
      <c r="O16" s="3" t="str">
        <f t="shared" si="2"/>
        <v>#N/A</v>
      </c>
      <c r="P16" s="2" t="str">
        <f t="shared" si="3"/>
        <v>#N/A</v>
      </c>
      <c r="Q16" s="2" t="str">
        <f>VLOOKUP(C16,totals!A:L,12,false)</f>
        <v>#N/A</v>
      </c>
      <c r="R16" s="2" t="str">
        <f t="shared" si="4"/>
        <v>#N/A</v>
      </c>
      <c r="S16" s="2" t="str">
        <f t="shared" si="5"/>
        <v>#N/A</v>
      </c>
      <c r="T16" s="4" t="str">
        <f t="shared" si="6"/>
        <v>#N/A</v>
      </c>
      <c r="U16" s="2" t="str">
        <f t="shared" si="7"/>
        <v>#N/A</v>
      </c>
      <c r="V16" s="2" t="str">
        <f>VLOOKUP(D16,ats!I:L,4,false)</f>
        <v>#N/A</v>
      </c>
      <c r="W16" s="2" t="str">
        <f t="shared" si="8"/>
        <v>#N/A</v>
      </c>
      <c r="X16" s="4" t="str">
        <f t="shared" si="9"/>
        <v>#N/A</v>
      </c>
    </row>
    <row r="17">
      <c r="A17" s="2" t="str">
        <f>VLOOKUP($D17,map!$D:$E,2,false)</f>
        <v>#N/A</v>
      </c>
      <c r="B17" s="2" t="str">
        <f>VLOOKUP($E17,map!$D:$E,2,false)</f>
        <v>#N/A</v>
      </c>
      <c r="D17" s="2" t="str">
        <f>VLOOKUP($C17,ats!$A:$G,6,false)</f>
        <v>#N/A</v>
      </c>
      <c r="E17" s="2" t="str">
        <f>VLOOKUP($C17,ats!$A:$G,7,false)</f>
        <v>#N/A</v>
      </c>
      <c r="F17" s="3" t="str">
        <f>AVERAGE(VLOOKUP($A17,data!$A:$E,5,false),VLOOKUP($B17,data!$A:$F,6,false))</f>
        <v>#N/A</v>
      </c>
      <c r="G17" s="3" t="str">
        <f>AVERAGE(VLOOKUP($B17,data!$A:$E,5,false),VLOOKUP($A17,data!$A:$F,6,false))</f>
        <v>#N/A</v>
      </c>
      <c r="H17" s="3" t="str">
        <f>AVERAGE(VLOOKUP($A17,data!$A:$C,3,false),VLOOKUP($B17,data!$A:$D,4,false))</f>
        <v>#N/A</v>
      </c>
      <c r="I17" s="3" t="str">
        <f>AVERAGE(VLOOKUP($B17,data!$A:$C,3,false),VLOOKUP($A17,data!$A:$D,4,false))</f>
        <v>#N/A</v>
      </c>
      <c r="J17" s="2" t="str">
        <f>AVERAGE(VLOOKUP($A17,data!$A:$I,9,false),VLOOKUP($B17,data!$A:$J,10,false))</f>
        <v>#N/A</v>
      </c>
      <c r="K17" s="2" t="str">
        <f>AVERAGE(VLOOKUP($B17,data!$A:$I,9,false),VLOOKUP($A17,data!$A:$J,10,false))</f>
        <v>#N/A</v>
      </c>
      <c r="L17" s="2" t="str">
        <f>((VLOOKUP($A17,data!$A:$N,13,false)*0.5) + (VLOOKUP($B17,data!$A:$N,14,false)*(1-0.5)))</f>
        <v>#N/A</v>
      </c>
      <c r="M17" s="2" t="str">
        <f>((VLOOKUP($B17,data!$A:$N,13,false)*0.5) + (VLOOKUP($A17,data!$A:$N,14,false)*(1-0.5)))</f>
        <v>#N/A</v>
      </c>
      <c r="N17" s="3" t="str">
        <f t="shared" si="1"/>
        <v>#N/A</v>
      </c>
      <c r="O17" s="3" t="str">
        <f t="shared" si="2"/>
        <v>#N/A</v>
      </c>
      <c r="Q17" s="2" t="str">
        <f>VLOOKUP(C17,totals!A:L,12,false)</f>
        <v>#N/A</v>
      </c>
      <c r="R17" s="2" t="str">
        <f t="shared" si="4"/>
        <v>#N/A</v>
      </c>
      <c r="S17" s="2" t="str">
        <f t="shared" si="5"/>
        <v>#N/A</v>
      </c>
      <c r="T17" s="4" t="str">
        <f t="shared" si="6"/>
        <v>#N/A</v>
      </c>
      <c r="U17" s="2" t="str">
        <f t="shared" si="7"/>
        <v>#N/A</v>
      </c>
      <c r="V17" s="2" t="str">
        <f>VLOOKUP(D17,ats!I:L,4,false)</f>
        <v>#N/A</v>
      </c>
      <c r="W17" s="2" t="str">
        <f t="shared" si="8"/>
        <v>#N/A</v>
      </c>
      <c r="X17" s="4" t="str">
        <f t="shared" si="9"/>
        <v>#N/A</v>
      </c>
    </row>
    <row r="18">
      <c r="A18" s="2" t="str">
        <f>VLOOKUP($D18,map!$D:$E,2,false)</f>
        <v>#N/A</v>
      </c>
      <c r="B18" s="2" t="str">
        <f>VLOOKUP($E18,map!$D:$E,2,false)</f>
        <v>#N/A</v>
      </c>
      <c r="D18" s="2" t="str">
        <f>VLOOKUP($C18,ats!$A:$G,6,false)</f>
        <v>#N/A</v>
      </c>
      <c r="E18" s="2" t="str">
        <f>VLOOKUP($C18,ats!$A:$G,7,false)</f>
        <v>#N/A</v>
      </c>
      <c r="F18" s="3" t="str">
        <f>AVERAGE(VLOOKUP($A18,data!$A:$E,5,false),VLOOKUP($B18,data!$A:$F,6,false))</f>
        <v>#N/A</v>
      </c>
      <c r="G18" s="3" t="str">
        <f>AVERAGE(VLOOKUP($B18,data!$A:$E,5,false),VLOOKUP($A18,data!$A:$F,6,false))</f>
        <v>#N/A</v>
      </c>
      <c r="H18" s="3" t="str">
        <f>AVERAGE(VLOOKUP($A18,data!$A:$C,3,false),VLOOKUP($B18,data!$A:$D,4,false))</f>
        <v>#N/A</v>
      </c>
      <c r="I18" s="3" t="str">
        <f>AVERAGE(VLOOKUP($B18,data!$A:$C,3,false),VLOOKUP($A18,data!$A:$D,4,false))</f>
        <v>#N/A</v>
      </c>
      <c r="J18" s="2" t="str">
        <f>AVERAGE(VLOOKUP($A18,data!$A:$I,9,false),VLOOKUP($B18,data!$A:$J,10,false))</f>
        <v>#N/A</v>
      </c>
      <c r="K18" s="2" t="str">
        <f>AVERAGE(VLOOKUP($B18,data!$A:$I,9,false),VLOOKUP($A18,data!$A:$J,10,false))</f>
        <v>#N/A</v>
      </c>
      <c r="L18" s="2" t="str">
        <f>((VLOOKUP($A18,data!$A:$N,13,false)*0.5) + (VLOOKUP($B18,data!$A:$N,14,false)*(1-0.5)))</f>
        <v>#N/A</v>
      </c>
      <c r="M18" s="2" t="str">
        <f>((VLOOKUP($B18,data!$A:$N,13,false)*0.5) + (VLOOKUP($A18,data!$A:$N,14,false)*(1-0.5)))</f>
        <v>#N/A</v>
      </c>
      <c r="N18" s="3" t="str">
        <f t="shared" si="1"/>
        <v>#N/A</v>
      </c>
      <c r="O18" s="3" t="str">
        <f t="shared" si="2"/>
        <v>#N/A</v>
      </c>
      <c r="R18" s="2">
        <f t="shared" si="4"/>
        <v>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">
        <v>109</v>
      </c>
      <c r="B1" s="14" t="s">
        <v>88</v>
      </c>
      <c r="C1" s="15">
        <v>2024.0</v>
      </c>
      <c r="D1" s="16" t="s">
        <v>110</v>
      </c>
      <c r="E1" s="16" t="s">
        <v>111</v>
      </c>
      <c r="F1" s="15" t="s">
        <v>112</v>
      </c>
      <c r="G1" s="15" t="s">
        <v>113</v>
      </c>
      <c r="H1" s="15">
        <v>2023.0</v>
      </c>
    </row>
    <row r="2">
      <c r="A2" s="17">
        <v>1.0</v>
      </c>
      <c r="B2" s="18" t="s">
        <v>242</v>
      </c>
      <c r="C2" s="19">
        <v>11.3</v>
      </c>
      <c r="D2" s="19">
        <v>13.3</v>
      </c>
      <c r="E2" s="19">
        <v>11.4</v>
      </c>
      <c r="F2" s="19">
        <v>9.8</v>
      </c>
      <c r="G2" s="19">
        <v>13.3</v>
      </c>
      <c r="H2" s="19">
        <v>14.0</v>
      </c>
    </row>
    <row r="3">
      <c r="A3" s="17">
        <v>2.0</v>
      </c>
      <c r="B3" s="18" t="s">
        <v>243</v>
      </c>
      <c r="C3" s="19">
        <v>12.1</v>
      </c>
      <c r="D3" s="19">
        <v>12.7</v>
      </c>
      <c r="E3" s="19">
        <v>13.8</v>
      </c>
      <c r="F3" s="19">
        <v>12.3</v>
      </c>
      <c r="G3" s="19">
        <v>11.9</v>
      </c>
      <c r="H3" s="19">
        <v>17.2</v>
      </c>
    </row>
    <row r="4">
      <c r="A4" s="17">
        <v>3.0</v>
      </c>
      <c r="B4" s="18" t="s">
        <v>244</v>
      </c>
      <c r="C4" s="19">
        <v>12.2</v>
      </c>
      <c r="D4" s="19">
        <v>11.2</v>
      </c>
      <c r="E4" s="19">
        <v>10.7</v>
      </c>
      <c r="F4" s="19">
        <v>10.0</v>
      </c>
      <c r="G4" s="19">
        <v>15.2</v>
      </c>
      <c r="H4" s="19">
        <v>15.3</v>
      </c>
    </row>
    <row r="5">
      <c r="A5" s="17">
        <v>4.0</v>
      </c>
      <c r="B5" s="18" t="s">
        <v>245</v>
      </c>
      <c r="C5" s="19">
        <v>12.3</v>
      </c>
      <c r="D5" s="19">
        <v>12.0</v>
      </c>
      <c r="E5" s="19">
        <v>10.5</v>
      </c>
      <c r="F5" s="19">
        <v>13.5</v>
      </c>
      <c r="G5" s="19">
        <v>11.5</v>
      </c>
      <c r="H5" s="19">
        <v>16.2</v>
      </c>
    </row>
    <row r="6">
      <c r="A6" s="17">
        <v>5.0</v>
      </c>
      <c r="B6" s="18" t="s">
        <v>246</v>
      </c>
      <c r="C6" s="19">
        <v>12.4</v>
      </c>
      <c r="D6" s="19">
        <v>15.9</v>
      </c>
      <c r="E6" s="19">
        <v>27.1</v>
      </c>
      <c r="F6" s="19">
        <v>12.2</v>
      </c>
      <c r="G6" s="19">
        <v>12.6</v>
      </c>
      <c r="H6" s="19">
        <v>14.3</v>
      </c>
    </row>
    <row r="7">
      <c r="A7" s="17">
        <v>6.0</v>
      </c>
      <c r="B7" s="18" t="s">
        <v>247</v>
      </c>
      <c r="C7" s="19">
        <v>12.8</v>
      </c>
      <c r="D7" s="19">
        <v>12.6</v>
      </c>
      <c r="E7" s="19">
        <v>15.5</v>
      </c>
      <c r="F7" s="19">
        <v>14.3</v>
      </c>
      <c r="G7" s="19">
        <v>11.3</v>
      </c>
      <c r="H7" s="19">
        <v>15.3</v>
      </c>
    </row>
    <row r="8">
      <c r="A8" s="17">
        <v>7.0</v>
      </c>
      <c r="B8" s="18" t="s">
        <v>248</v>
      </c>
      <c r="C8" s="19">
        <v>13.0</v>
      </c>
      <c r="D8" s="19">
        <v>12.8</v>
      </c>
      <c r="E8" s="19">
        <v>10.6</v>
      </c>
      <c r="F8" s="19">
        <v>13.6</v>
      </c>
      <c r="G8" s="19">
        <v>12.6</v>
      </c>
      <c r="H8" s="19">
        <v>14.8</v>
      </c>
    </row>
    <row r="9">
      <c r="A9" s="17">
        <v>8.0</v>
      </c>
      <c r="B9" s="18" t="s">
        <v>249</v>
      </c>
      <c r="C9" s="19">
        <v>13.6</v>
      </c>
      <c r="D9" s="19">
        <v>10.6</v>
      </c>
      <c r="E9" s="19">
        <v>12.6</v>
      </c>
      <c r="F9" s="19">
        <v>14.5</v>
      </c>
      <c r="G9" s="19">
        <v>12.8</v>
      </c>
      <c r="H9" s="19">
        <v>14.4</v>
      </c>
    </row>
    <row r="10">
      <c r="A10" s="17">
        <v>9.0</v>
      </c>
      <c r="B10" s="18" t="s">
        <v>250</v>
      </c>
      <c r="C10" s="19">
        <v>13.7</v>
      </c>
      <c r="D10" s="19">
        <v>10.8</v>
      </c>
      <c r="E10" s="19">
        <v>11.1</v>
      </c>
      <c r="F10" s="19">
        <v>13.3</v>
      </c>
      <c r="G10" s="19">
        <v>14.0</v>
      </c>
      <c r="H10" s="19">
        <v>17.1</v>
      </c>
    </row>
    <row r="11">
      <c r="A11" s="17">
        <v>10.0</v>
      </c>
      <c r="B11" s="18" t="s">
        <v>251</v>
      </c>
      <c r="C11" s="19">
        <v>14.2</v>
      </c>
      <c r="D11" s="19">
        <v>12.0</v>
      </c>
      <c r="E11" s="19">
        <v>11.8</v>
      </c>
      <c r="F11" s="19">
        <v>16.1</v>
      </c>
      <c r="G11" s="19">
        <v>13.0</v>
      </c>
      <c r="H11" s="19">
        <v>14.2</v>
      </c>
    </row>
    <row r="12">
      <c r="A12" s="17">
        <v>11.0</v>
      </c>
      <c r="B12" s="18" t="s">
        <v>252</v>
      </c>
      <c r="C12" s="19">
        <v>14.3</v>
      </c>
      <c r="D12" s="19">
        <v>13.2</v>
      </c>
      <c r="E12" s="19">
        <v>10.0</v>
      </c>
      <c r="F12" s="19">
        <v>14.5</v>
      </c>
      <c r="G12" s="19">
        <v>14.1</v>
      </c>
      <c r="H12" s="19">
        <v>15.1</v>
      </c>
    </row>
    <row r="13">
      <c r="A13" s="17">
        <v>12.0</v>
      </c>
      <c r="B13" s="18" t="s">
        <v>253</v>
      </c>
      <c r="C13" s="19">
        <v>14.4</v>
      </c>
      <c r="D13" s="19">
        <v>12.6</v>
      </c>
      <c r="E13" s="19">
        <v>11.5</v>
      </c>
      <c r="F13" s="19">
        <v>15.2</v>
      </c>
      <c r="G13" s="19">
        <v>13.4</v>
      </c>
      <c r="H13" s="19">
        <v>14.6</v>
      </c>
    </row>
    <row r="14">
      <c r="A14" s="17">
        <v>13.0</v>
      </c>
      <c r="B14" s="18" t="s">
        <v>254</v>
      </c>
      <c r="C14" s="19">
        <v>14.4</v>
      </c>
      <c r="D14" s="19">
        <v>15.7</v>
      </c>
      <c r="E14" s="19">
        <v>11.8</v>
      </c>
      <c r="F14" s="19">
        <v>13.9</v>
      </c>
      <c r="G14" s="19">
        <v>15.0</v>
      </c>
      <c r="H14" s="19">
        <v>16.1</v>
      </c>
    </row>
    <row r="15">
      <c r="A15" s="17">
        <v>14.0</v>
      </c>
      <c r="B15" s="18" t="s">
        <v>255</v>
      </c>
      <c r="C15" s="19">
        <v>14.7</v>
      </c>
      <c r="D15" s="19">
        <v>13.3</v>
      </c>
      <c r="E15" s="19">
        <v>28.9</v>
      </c>
      <c r="F15" s="19">
        <v>16.2</v>
      </c>
      <c r="G15" s="19">
        <v>13.4</v>
      </c>
      <c r="H15" s="19">
        <v>16.1</v>
      </c>
    </row>
    <row r="16">
      <c r="A16" s="17">
        <v>15.0</v>
      </c>
      <c r="B16" s="18" t="s">
        <v>256</v>
      </c>
      <c r="C16" s="19">
        <v>14.8</v>
      </c>
      <c r="D16" s="19">
        <v>13.5</v>
      </c>
      <c r="E16" s="19">
        <v>12.4</v>
      </c>
      <c r="F16" s="19">
        <v>14.7</v>
      </c>
      <c r="G16" s="19">
        <v>14.9</v>
      </c>
      <c r="H16" s="19">
        <v>13.3</v>
      </c>
    </row>
    <row r="17">
      <c r="A17" s="17">
        <v>16.0</v>
      </c>
      <c r="B17" s="18" t="s">
        <v>257</v>
      </c>
      <c r="C17" s="19">
        <v>14.8</v>
      </c>
      <c r="D17" s="19">
        <v>11.5</v>
      </c>
      <c r="E17" s="19">
        <v>9.0</v>
      </c>
      <c r="F17" s="19">
        <v>17.7</v>
      </c>
      <c r="G17" s="19">
        <v>12.9</v>
      </c>
      <c r="H17" s="19">
        <v>14.8</v>
      </c>
    </row>
    <row r="18">
      <c r="A18" s="17">
        <v>17.0</v>
      </c>
      <c r="B18" s="18" t="s">
        <v>258</v>
      </c>
      <c r="C18" s="19">
        <v>14.9</v>
      </c>
      <c r="D18" s="19">
        <v>14.3</v>
      </c>
      <c r="E18" s="19">
        <v>17.8</v>
      </c>
      <c r="F18" s="19">
        <v>13.7</v>
      </c>
      <c r="G18" s="19">
        <v>16.5</v>
      </c>
      <c r="H18" s="19">
        <v>14.5</v>
      </c>
    </row>
    <row r="19">
      <c r="A19" s="17">
        <v>18.0</v>
      </c>
      <c r="B19" s="18" t="s">
        <v>259</v>
      </c>
      <c r="C19" s="19">
        <v>15.5</v>
      </c>
      <c r="D19" s="19">
        <v>18.3</v>
      </c>
      <c r="E19" s="19">
        <v>19.2</v>
      </c>
      <c r="F19" s="19">
        <v>16.3</v>
      </c>
      <c r="G19" s="19">
        <v>14.3</v>
      </c>
      <c r="H19" s="19">
        <v>16.7</v>
      </c>
    </row>
    <row r="20">
      <c r="A20" s="17">
        <v>19.0</v>
      </c>
      <c r="B20" s="18" t="s">
        <v>260</v>
      </c>
      <c r="C20" s="19">
        <v>15.7</v>
      </c>
      <c r="D20" s="19">
        <v>15.3</v>
      </c>
      <c r="E20" s="19">
        <v>17.2</v>
      </c>
      <c r="F20" s="19">
        <v>14.8</v>
      </c>
      <c r="G20" s="19">
        <v>16.9</v>
      </c>
      <c r="H20" s="19">
        <v>13.9</v>
      </c>
    </row>
    <row r="21">
      <c r="A21" s="17">
        <v>20.0</v>
      </c>
      <c r="B21" s="18" t="s">
        <v>261</v>
      </c>
      <c r="C21" s="19">
        <v>15.7</v>
      </c>
      <c r="D21" s="19">
        <v>14.7</v>
      </c>
      <c r="E21" s="19">
        <v>12.9</v>
      </c>
      <c r="F21" s="19">
        <v>13.7</v>
      </c>
      <c r="G21" s="19">
        <v>19.9</v>
      </c>
      <c r="H21" s="19">
        <v>15.3</v>
      </c>
    </row>
    <row r="22">
      <c r="A22" s="17">
        <v>21.0</v>
      </c>
      <c r="B22" s="18" t="s">
        <v>262</v>
      </c>
      <c r="C22" s="19">
        <v>15.7</v>
      </c>
      <c r="D22" s="19">
        <v>13.4</v>
      </c>
      <c r="E22" s="19">
        <v>11.4</v>
      </c>
      <c r="F22" s="19">
        <v>16.4</v>
      </c>
      <c r="G22" s="19">
        <v>15.4</v>
      </c>
      <c r="H22" s="19">
        <v>15.3</v>
      </c>
    </row>
    <row r="23">
      <c r="A23" s="17">
        <v>22.0</v>
      </c>
      <c r="B23" s="18" t="s">
        <v>263</v>
      </c>
      <c r="C23" s="19">
        <v>15.8</v>
      </c>
      <c r="D23" s="19">
        <v>15.3</v>
      </c>
      <c r="E23" s="19">
        <v>26.4</v>
      </c>
      <c r="F23" s="19">
        <v>17.2</v>
      </c>
      <c r="G23" s="19">
        <v>13.5</v>
      </c>
      <c r="H23" s="19">
        <v>17.7</v>
      </c>
    </row>
    <row r="24">
      <c r="A24" s="17">
        <v>23.0</v>
      </c>
      <c r="B24" s="18" t="s">
        <v>264</v>
      </c>
      <c r="C24" s="19">
        <v>16.0</v>
      </c>
      <c r="D24" s="19">
        <v>20.2</v>
      </c>
      <c r="E24" s="19">
        <v>27.9</v>
      </c>
      <c r="F24" s="19">
        <v>19.2</v>
      </c>
      <c r="G24" s="19">
        <v>13.7</v>
      </c>
      <c r="H24" s="19">
        <v>12.6</v>
      </c>
    </row>
    <row r="25">
      <c r="A25" s="17">
        <v>24.0</v>
      </c>
      <c r="B25" s="18" t="s">
        <v>265</v>
      </c>
      <c r="C25" s="19">
        <v>16.2</v>
      </c>
      <c r="D25" s="19">
        <v>14.7</v>
      </c>
      <c r="E25" s="19">
        <v>12.1</v>
      </c>
      <c r="F25" s="19">
        <v>18.0</v>
      </c>
      <c r="G25" s="19">
        <v>15.4</v>
      </c>
      <c r="H25" s="19">
        <v>14.3</v>
      </c>
    </row>
    <row r="26">
      <c r="A26" s="17">
        <v>25.0</v>
      </c>
      <c r="B26" s="18" t="s">
        <v>266</v>
      </c>
      <c r="C26" s="19">
        <v>16.3</v>
      </c>
      <c r="D26" s="19">
        <v>18.4</v>
      </c>
      <c r="E26" s="19">
        <v>24.0</v>
      </c>
      <c r="F26" s="19">
        <v>17.0</v>
      </c>
      <c r="G26" s="19">
        <v>15.8</v>
      </c>
      <c r="H26" s="19">
        <v>14.7</v>
      </c>
    </row>
    <row r="27">
      <c r="A27" s="17">
        <v>26.0</v>
      </c>
      <c r="B27" s="18" t="s">
        <v>267</v>
      </c>
      <c r="C27" s="19">
        <v>16.8</v>
      </c>
      <c r="D27" s="19">
        <v>20.0</v>
      </c>
      <c r="E27" s="19">
        <v>21.1</v>
      </c>
      <c r="F27" s="19">
        <v>15.9</v>
      </c>
      <c r="G27" s="19">
        <v>17.4</v>
      </c>
      <c r="H27" s="19">
        <v>14.8</v>
      </c>
    </row>
    <row r="28">
      <c r="A28" s="17">
        <v>27.0</v>
      </c>
      <c r="B28" s="18" t="s">
        <v>268</v>
      </c>
      <c r="C28" s="19">
        <v>16.8</v>
      </c>
      <c r="D28" s="19">
        <v>18.7</v>
      </c>
      <c r="E28" s="19">
        <v>21.5</v>
      </c>
      <c r="F28" s="19">
        <v>19.6</v>
      </c>
      <c r="G28" s="19">
        <v>14.8</v>
      </c>
      <c r="H28" s="19">
        <v>17.0</v>
      </c>
    </row>
    <row r="29">
      <c r="A29" s="17">
        <v>28.0</v>
      </c>
      <c r="B29" s="18" t="s">
        <v>269</v>
      </c>
      <c r="C29" s="19">
        <v>17.0</v>
      </c>
      <c r="D29" s="19">
        <v>20.2</v>
      </c>
      <c r="E29" s="19">
        <v>26.3</v>
      </c>
      <c r="F29" s="19">
        <v>16.9</v>
      </c>
      <c r="G29" s="19">
        <v>17.0</v>
      </c>
      <c r="H29" s="19">
        <v>16.2</v>
      </c>
    </row>
    <row r="30">
      <c r="A30" s="17">
        <v>29.0</v>
      </c>
      <c r="B30" s="18" t="s">
        <v>270</v>
      </c>
      <c r="C30" s="19">
        <v>17.9</v>
      </c>
      <c r="D30" s="19">
        <v>21.8</v>
      </c>
      <c r="E30" s="19">
        <v>25.7</v>
      </c>
      <c r="F30" s="19">
        <v>18.5</v>
      </c>
      <c r="G30" s="19">
        <v>17.5</v>
      </c>
      <c r="H30" s="19">
        <v>19.1</v>
      </c>
    </row>
    <row r="31">
      <c r="A31" s="17">
        <v>30.0</v>
      </c>
      <c r="B31" s="18" t="s">
        <v>271</v>
      </c>
      <c r="C31" s="19">
        <v>18.6</v>
      </c>
      <c r="D31" s="19">
        <v>18.8</v>
      </c>
      <c r="E31" s="19">
        <v>18.4</v>
      </c>
      <c r="F31" s="19">
        <v>17.6</v>
      </c>
      <c r="G31" s="19">
        <v>19.6</v>
      </c>
      <c r="H31" s="19">
        <v>19.9</v>
      </c>
    </row>
    <row r="32">
      <c r="A32" s="17">
        <v>31.0</v>
      </c>
      <c r="B32" s="18" t="s">
        <v>272</v>
      </c>
      <c r="C32" s="19">
        <v>20.6</v>
      </c>
      <c r="D32" s="19">
        <v>21.7</v>
      </c>
      <c r="E32" s="19">
        <v>39.7</v>
      </c>
      <c r="F32" s="19">
        <v>31.3</v>
      </c>
      <c r="G32" s="19">
        <v>15.6</v>
      </c>
      <c r="H32" s="19">
        <v>17.9</v>
      </c>
    </row>
    <row r="33">
      <c r="A33" s="17">
        <v>32.0</v>
      </c>
      <c r="B33" s="18" t="s">
        <v>273</v>
      </c>
      <c r="C33" s="19">
        <v>26.4</v>
      </c>
      <c r="D33" s="19">
        <v>24.1</v>
      </c>
      <c r="E33" s="19">
        <v>33.7</v>
      </c>
      <c r="F33" s="19">
        <v>22.3</v>
      </c>
      <c r="G33" s="19">
        <v>32.6</v>
      </c>
      <c r="H33" s="19">
        <v>14.1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</hyperlinks>
  <drawing r:id="rId3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0" t="s">
        <v>109</v>
      </c>
      <c r="B1" s="21" t="s">
        <v>88</v>
      </c>
      <c r="C1" s="22">
        <v>2024.0</v>
      </c>
      <c r="D1" s="23" t="s">
        <v>110</v>
      </c>
      <c r="E1" s="23" t="s">
        <v>111</v>
      </c>
      <c r="F1" s="22" t="s">
        <v>112</v>
      </c>
      <c r="G1" s="22" t="s">
        <v>113</v>
      </c>
      <c r="H1" s="22">
        <v>2023.0</v>
      </c>
    </row>
    <row r="2">
      <c r="A2" s="24">
        <v>1.0</v>
      </c>
      <c r="B2" s="25" t="s">
        <v>274</v>
      </c>
      <c r="C2" s="26">
        <v>21.3</v>
      </c>
      <c r="D2" s="26">
        <v>19.4</v>
      </c>
      <c r="E2" s="26">
        <v>19.2</v>
      </c>
      <c r="F2" s="26">
        <v>23.1</v>
      </c>
      <c r="G2" s="26">
        <v>20.5</v>
      </c>
      <c r="H2" s="26">
        <v>15.5</v>
      </c>
    </row>
    <row r="3">
      <c r="A3" s="24">
        <v>2.0</v>
      </c>
      <c r="B3" s="25" t="s">
        <v>275</v>
      </c>
      <c r="C3" s="26">
        <v>20.7</v>
      </c>
      <c r="D3" s="26">
        <v>21.7</v>
      </c>
      <c r="E3" s="26">
        <v>21.5</v>
      </c>
      <c r="F3" s="26">
        <v>20.8</v>
      </c>
      <c r="G3" s="26">
        <v>20.6</v>
      </c>
      <c r="H3" s="26">
        <v>17.4</v>
      </c>
    </row>
    <row r="4">
      <c r="A4" s="24">
        <v>3.0</v>
      </c>
      <c r="B4" s="25" t="s">
        <v>276</v>
      </c>
      <c r="C4" s="26">
        <v>18.7</v>
      </c>
      <c r="D4" s="26">
        <v>18.6</v>
      </c>
      <c r="E4" s="26">
        <v>27.1</v>
      </c>
      <c r="F4" s="26">
        <v>17.2</v>
      </c>
      <c r="G4" s="26">
        <v>20.1</v>
      </c>
      <c r="H4" s="26">
        <v>15.3</v>
      </c>
    </row>
    <row r="5">
      <c r="A5" s="24">
        <v>4.0</v>
      </c>
      <c r="B5" s="25" t="s">
        <v>277</v>
      </c>
      <c r="C5" s="26">
        <v>17.9</v>
      </c>
      <c r="D5" s="26">
        <v>16.8</v>
      </c>
      <c r="E5" s="26">
        <v>33.7</v>
      </c>
      <c r="F5" s="26">
        <v>19.7</v>
      </c>
      <c r="G5" s="26">
        <v>16.0</v>
      </c>
      <c r="H5" s="26">
        <v>14.3</v>
      </c>
    </row>
    <row r="6">
      <c r="A6" s="24">
        <v>5.0</v>
      </c>
      <c r="B6" s="25" t="s">
        <v>278</v>
      </c>
      <c r="C6" s="26">
        <v>17.8</v>
      </c>
      <c r="D6" s="26">
        <v>18.4</v>
      </c>
      <c r="E6" s="26">
        <v>17.2</v>
      </c>
      <c r="F6" s="26">
        <v>17.1</v>
      </c>
      <c r="G6" s="26">
        <v>18.8</v>
      </c>
      <c r="H6" s="26">
        <v>17.6</v>
      </c>
    </row>
    <row r="7">
      <c r="A7" s="24">
        <v>6.0</v>
      </c>
      <c r="B7" s="25" t="s">
        <v>279</v>
      </c>
      <c r="C7" s="26">
        <v>17.7</v>
      </c>
      <c r="D7" s="26">
        <v>13.2</v>
      </c>
      <c r="E7" s="26">
        <v>12.9</v>
      </c>
      <c r="F7" s="26">
        <v>19.7</v>
      </c>
      <c r="G7" s="26">
        <v>16.4</v>
      </c>
      <c r="H7" s="26">
        <v>15.6</v>
      </c>
    </row>
    <row r="8">
      <c r="A8" s="24">
        <v>7.0</v>
      </c>
      <c r="B8" s="25" t="s">
        <v>280</v>
      </c>
      <c r="C8" s="26">
        <v>17.6</v>
      </c>
      <c r="D8" s="26">
        <v>20.9</v>
      </c>
      <c r="E8" s="26">
        <v>28.9</v>
      </c>
      <c r="F8" s="26">
        <v>16.6</v>
      </c>
      <c r="G8" s="26">
        <v>18.1</v>
      </c>
      <c r="H8" s="26">
        <v>16.6</v>
      </c>
    </row>
    <row r="9">
      <c r="A9" s="24">
        <v>8.0</v>
      </c>
      <c r="B9" s="25" t="s">
        <v>281</v>
      </c>
      <c r="C9" s="26">
        <v>17.3</v>
      </c>
      <c r="D9" s="26">
        <v>20.3</v>
      </c>
      <c r="E9" s="26">
        <v>17.4</v>
      </c>
      <c r="F9" s="26">
        <v>19.1</v>
      </c>
      <c r="G9" s="26">
        <v>16.0</v>
      </c>
      <c r="H9" s="26">
        <v>14.5</v>
      </c>
    </row>
    <row r="10">
      <c r="A10" s="24">
        <v>9.0</v>
      </c>
      <c r="B10" s="25" t="s">
        <v>282</v>
      </c>
      <c r="C10" s="26">
        <v>16.9</v>
      </c>
      <c r="D10" s="26">
        <v>17.2</v>
      </c>
      <c r="E10" s="26">
        <v>13.2</v>
      </c>
      <c r="F10" s="26">
        <v>16.2</v>
      </c>
      <c r="G10" s="26">
        <v>17.9</v>
      </c>
      <c r="H10" s="26">
        <v>14.7</v>
      </c>
    </row>
    <row r="11">
      <c r="A11" s="24">
        <v>10.0</v>
      </c>
      <c r="B11" s="25" t="s">
        <v>283</v>
      </c>
      <c r="C11" s="26">
        <v>15.9</v>
      </c>
      <c r="D11" s="26">
        <v>15.5</v>
      </c>
      <c r="E11" s="26">
        <v>39.7</v>
      </c>
      <c r="F11" s="26">
        <v>16.6</v>
      </c>
      <c r="G11" s="26">
        <v>15.5</v>
      </c>
      <c r="H11" s="26">
        <v>14.1</v>
      </c>
    </row>
    <row r="12">
      <c r="A12" s="24">
        <v>11.0</v>
      </c>
      <c r="B12" s="25" t="s">
        <v>284</v>
      </c>
      <c r="C12" s="26">
        <v>15.6</v>
      </c>
      <c r="D12" s="26">
        <v>16.1</v>
      </c>
      <c r="E12" s="26">
        <v>9.0</v>
      </c>
      <c r="F12" s="26">
        <v>15.9</v>
      </c>
      <c r="G12" s="26">
        <v>15.2</v>
      </c>
      <c r="H12" s="26">
        <v>16.2</v>
      </c>
    </row>
    <row r="13">
      <c r="A13" s="24">
        <v>12.0</v>
      </c>
      <c r="B13" s="25" t="s">
        <v>285</v>
      </c>
      <c r="C13" s="26">
        <v>15.4</v>
      </c>
      <c r="D13" s="26">
        <v>13.1</v>
      </c>
      <c r="E13" s="26">
        <v>11.8</v>
      </c>
      <c r="F13" s="26">
        <v>15.0</v>
      </c>
      <c r="G13" s="26">
        <v>15.9</v>
      </c>
      <c r="H13" s="26">
        <v>17.0</v>
      </c>
    </row>
    <row r="14">
      <c r="A14" s="24">
        <v>13.0</v>
      </c>
      <c r="B14" s="25" t="s">
        <v>286</v>
      </c>
      <c r="C14" s="26">
        <v>15.2</v>
      </c>
      <c r="D14" s="26">
        <v>17.5</v>
      </c>
      <c r="E14" s="26">
        <v>25.7</v>
      </c>
      <c r="F14" s="26">
        <v>18.3</v>
      </c>
      <c r="G14" s="26">
        <v>14.1</v>
      </c>
      <c r="H14" s="26">
        <v>12.8</v>
      </c>
    </row>
    <row r="15">
      <c r="A15" s="24">
        <v>14.0</v>
      </c>
      <c r="B15" s="25" t="s">
        <v>287</v>
      </c>
      <c r="C15" s="26">
        <v>14.9</v>
      </c>
      <c r="D15" s="26">
        <v>15.0</v>
      </c>
      <c r="E15" s="26">
        <v>12.1</v>
      </c>
      <c r="F15" s="26">
        <v>13.4</v>
      </c>
      <c r="G15" s="26">
        <v>17.4</v>
      </c>
      <c r="H15" s="26">
        <v>15.1</v>
      </c>
    </row>
    <row r="16">
      <c r="A16" s="24">
        <v>15.0</v>
      </c>
      <c r="B16" s="25" t="s">
        <v>288</v>
      </c>
      <c r="C16" s="26">
        <v>14.9</v>
      </c>
      <c r="D16" s="26">
        <v>18.8</v>
      </c>
      <c r="E16" s="26">
        <v>24.0</v>
      </c>
      <c r="F16" s="26">
        <v>12.3</v>
      </c>
      <c r="G16" s="26">
        <v>18.4</v>
      </c>
      <c r="H16" s="26">
        <v>16.6</v>
      </c>
    </row>
    <row r="17">
      <c r="A17" s="24">
        <v>16.0</v>
      </c>
      <c r="B17" s="25" t="s">
        <v>289</v>
      </c>
      <c r="C17" s="26">
        <v>14.8</v>
      </c>
      <c r="D17" s="26">
        <v>13.1</v>
      </c>
      <c r="E17" s="26">
        <v>12.4</v>
      </c>
      <c r="F17" s="26">
        <v>13.5</v>
      </c>
      <c r="G17" s="26">
        <v>16.7</v>
      </c>
      <c r="H17" s="26">
        <v>17.9</v>
      </c>
    </row>
    <row r="18">
      <c r="A18" s="24">
        <v>17.0</v>
      </c>
      <c r="B18" s="25" t="s">
        <v>290</v>
      </c>
      <c r="C18" s="26">
        <v>14.8</v>
      </c>
      <c r="D18" s="26">
        <v>16.9</v>
      </c>
      <c r="E18" s="26">
        <v>26.3</v>
      </c>
      <c r="F18" s="26">
        <v>16.8</v>
      </c>
      <c r="G18" s="26">
        <v>12.9</v>
      </c>
      <c r="H18" s="26">
        <v>13.3</v>
      </c>
    </row>
    <row r="19">
      <c r="A19" s="24">
        <v>18.0</v>
      </c>
      <c r="B19" s="25" t="s">
        <v>291</v>
      </c>
      <c r="C19" s="26">
        <v>14.7</v>
      </c>
      <c r="D19" s="26">
        <v>16.1</v>
      </c>
      <c r="E19" s="26">
        <v>26.4</v>
      </c>
      <c r="F19" s="26">
        <v>15.2</v>
      </c>
      <c r="G19" s="26">
        <v>14.1</v>
      </c>
      <c r="H19" s="26">
        <v>15.7</v>
      </c>
    </row>
    <row r="20">
      <c r="A20" s="24">
        <v>19.0</v>
      </c>
      <c r="B20" s="25" t="s">
        <v>292</v>
      </c>
      <c r="C20" s="26">
        <v>14.4</v>
      </c>
      <c r="D20" s="26">
        <v>12.5</v>
      </c>
      <c r="E20" s="26">
        <v>11.4</v>
      </c>
      <c r="F20" s="26">
        <v>13.9</v>
      </c>
      <c r="G20" s="26">
        <v>14.8</v>
      </c>
      <c r="H20" s="26">
        <v>14.0</v>
      </c>
    </row>
    <row r="21">
      <c r="A21" s="24">
        <v>20.0</v>
      </c>
      <c r="B21" s="25" t="s">
        <v>293</v>
      </c>
      <c r="C21" s="26">
        <v>14.1</v>
      </c>
      <c r="D21" s="26">
        <v>15.5</v>
      </c>
      <c r="E21" s="26">
        <v>13.8</v>
      </c>
      <c r="F21" s="26">
        <v>16.2</v>
      </c>
      <c r="G21" s="26">
        <v>12.3</v>
      </c>
      <c r="H21" s="26">
        <v>15.2</v>
      </c>
    </row>
    <row r="22">
      <c r="A22" s="24">
        <v>21.0</v>
      </c>
      <c r="B22" s="25" t="s">
        <v>294</v>
      </c>
      <c r="C22" s="26">
        <v>14.1</v>
      </c>
      <c r="D22" s="26">
        <v>12.3</v>
      </c>
      <c r="E22" s="26">
        <v>11.1</v>
      </c>
      <c r="F22" s="26">
        <v>19.0</v>
      </c>
      <c r="G22" s="26">
        <v>12.5</v>
      </c>
      <c r="H22" s="26">
        <v>14.0</v>
      </c>
    </row>
    <row r="23">
      <c r="A23" s="24">
        <v>22.0</v>
      </c>
      <c r="B23" s="25" t="s">
        <v>295</v>
      </c>
      <c r="C23" s="26">
        <v>14.1</v>
      </c>
      <c r="D23" s="26">
        <v>13.8</v>
      </c>
      <c r="E23" s="26">
        <v>11.8</v>
      </c>
      <c r="F23" s="26">
        <v>13.9</v>
      </c>
      <c r="G23" s="26">
        <v>14.3</v>
      </c>
      <c r="H23" s="26">
        <v>17.1</v>
      </c>
    </row>
    <row r="24">
      <c r="A24" s="24">
        <v>23.0</v>
      </c>
      <c r="B24" s="25" t="s">
        <v>296</v>
      </c>
      <c r="C24" s="26">
        <v>13.9</v>
      </c>
      <c r="D24" s="26">
        <v>12.0</v>
      </c>
      <c r="E24" s="26">
        <v>10.0</v>
      </c>
      <c r="F24" s="26">
        <v>12.9</v>
      </c>
      <c r="G24" s="26">
        <v>17.1</v>
      </c>
      <c r="H24" s="26">
        <v>14.6</v>
      </c>
    </row>
    <row r="25">
      <c r="A25" s="24">
        <v>24.0</v>
      </c>
      <c r="B25" s="25" t="s">
        <v>297</v>
      </c>
      <c r="C25" s="26">
        <v>13.8</v>
      </c>
      <c r="D25" s="26">
        <v>13.3</v>
      </c>
      <c r="E25" s="26">
        <v>15.5</v>
      </c>
      <c r="F25" s="26">
        <v>13.6</v>
      </c>
      <c r="G25" s="26">
        <v>14.0</v>
      </c>
      <c r="H25" s="26">
        <v>18.4</v>
      </c>
    </row>
    <row r="26">
      <c r="A26" s="24">
        <v>25.0</v>
      </c>
      <c r="B26" s="25" t="s">
        <v>298</v>
      </c>
      <c r="C26" s="26">
        <v>13.7</v>
      </c>
      <c r="D26" s="26">
        <v>13.7</v>
      </c>
      <c r="E26" s="26">
        <v>10.6</v>
      </c>
      <c r="F26" s="26">
        <v>11.0</v>
      </c>
      <c r="G26" s="26">
        <v>16.1</v>
      </c>
      <c r="H26" s="26">
        <v>12.2</v>
      </c>
    </row>
    <row r="27">
      <c r="A27" s="24">
        <v>26.0</v>
      </c>
      <c r="B27" s="25" t="s">
        <v>299</v>
      </c>
      <c r="C27" s="26">
        <v>13.6</v>
      </c>
      <c r="D27" s="26">
        <v>13.1</v>
      </c>
      <c r="E27" s="26">
        <v>18.4</v>
      </c>
      <c r="F27" s="26">
        <v>14.3</v>
      </c>
      <c r="G27" s="26">
        <v>13.3</v>
      </c>
      <c r="H27" s="26">
        <v>15.7</v>
      </c>
    </row>
    <row r="28">
      <c r="A28" s="24">
        <v>27.0</v>
      </c>
      <c r="B28" s="25" t="s">
        <v>300</v>
      </c>
      <c r="C28" s="26">
        <v>13.3</v>
      </c>
      <c r="D28" s="26">
        <v>14.5</v>
      </c>
      <c r="E28" s="26">
        <v>17.8</v>
      </c>
      <c r="F28" s="26">
        <v>9.6</v>
      </c>
      <c r="G28" s="26">
        <v>19.1</v>
      </c>
      <c r="H28" s="26">
        <v>14.0</v>
      </c>
    </row>
    <row r="29">
      <c r="A29" s="24">
        <v>28.0</v>
      </c>
      <c r="B29" s="25" t="s">
        <v>301</v>
      </c>
      <c r="C29" s="26">
        <v>12.7</v>
      </c>
      <c r="D29" s="26">
        <v>12.9</v>
      </c>
      <c r="E29" s="26">
        <v>10.5</v>
      </c>
      <c r="F29" s="26">
        <v>11.6</v>
      </c>
      <c r="G29" s="26">
        <v>15.5</v>
      </c>
      <c r="H29" s="26">
        <v>15.2</v>
      </c>
    </row>
    <row r="30">
      <c r="A30" s="24">
        <v>29.0</v>
      </c>
      <c r="B30" s="25" t="s">
        <v>302</v>
      </c>
      <c r="C30" s="26">
        <v>12.2</v>
      </c>
      <c r="D30" s="26">
        <v>13.0</v>
      </c>
      <c r="E30" s="26">
        <v>11.5</v>
      </c>
      <c r="F30" s="26">
        <v>15.0</v>
      </c>
      <c r="G30" s="26">
        <v>10.8</v>
      </c>
      <c r="H30" s="26">
        <v>15.7</v>
      </c>
    </row>
    <row r="31">
      <c r="A31" s="24">
        <v>30.0</v>
      </c>
      <c r="B31" s="25" t="s">
        <v>303</v>
      </c>
      <c r="C31" s="26">
        <v>12.1</v>
      </c>
      <c r="D31" s="26">
        <v>9.8</v>
      </c>
      <c r="E31" s="26">
        <v>13.0</v>
      </c>
      <c r="F31" s="26">
        <v>11.6</v>
      </c>
      <c r="G31" s="26">
        <v>12.6</v>
      </c>
      <c r="H31" s="26">
        <v>17.0</v>
      </c>
    </row>
    <row r="32">
      <c r="A32" s="24">
        <v>31.0</v>
      </c>
      <c r="B32" s="25" t="s">
        <v>304</v>
      </c>
      <c r="C32" s="26">
        <v>11.3</v>
      </c>
      <c r="D32" s="26">
        <v>12.8</v>
      </c>
      <c r="E32" s="26">
        <v>11.4</v>
      </c>
      <c r="F32" s="26">
        <v>12.3</v>
      </c>
      <c r="G32" s="26">
        <v>10.3</v>
      </c>
      <c r="H32" s="26">
        <v>15.5</v>
      </c>
    </row>
    <row r="33">
      <c r="A33" s="24">
        <v>32.0</v>
      </c>
      <c r="B33" s="25" t="s">
        <v>305</v>
      </c>
      <c r="C33" s="26">
        <v>11.1</v>
      </c>
      <c r="D33" s="26">
        <v>11.1</v>
      </c>
      <c r="E33" s="26">
        <v>10.5</v>
      </c>
      <c r="F33" s="26">
        <v>11.7</v>
      </c>
      <c r="G33" s="26">
        <v>10.7</v>
      </c>
      <c r="H33" s="26">
        <v>12.0</v>
      </c>
    </row>
    <row r="34">
      <c r="A34" s="27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</hyperlinks>
  <drawing r:id="rId3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0" t="s">
        <v>109</v>
      </c>
      <c r="B1" s="21" t="s">
        <v>88</v>
      </c>
      <c r="C1" s="22">
        <v>2024.0</v>
      </c>
      <c r="D1" s="23" t="s">
        <v>110</v>
      </c>
      <c r="E1" s="23" t="s">
        <v>111</v>
      </c>
      <c r="F1" s="22" t="s">
        <v>112</v>
      </c>
      <c r="G1" s="22" t="s">
        <v>113</v>
      </c>
      <c r="H1" s="22">
        <v>2023.0</v>
      </c>
    </row>
    <row r="2">
      <c r="A2" s="24">
        <v>1.0</v>
      </c>
      <c r="B2" s="25" t="s">
        <v>306</v>
      </c>
      <c r="C2" s="26">
        <v>461.4</v>
      </c>
      <c r="D2" s="26">
        <v>504.0</v>
      </c>
      <c r="E2" s="26">
        <v>508.0</v>
      </c>
      <c r="F2" s="26">
        <v>431.3</v>
      </c>
      <c r="G2" s="26">
        <v>484.0</v>
      </c>
      <c r="H2" s="26">
        <v>367.6</v>
      </c>
    </row>
    <row r="3">
      <c r="A3" s="24">
        <v>2.0</v>
      </c>
      <c r="B3" s="25" t="s">
        <v>307</v>
      </c>
      <c r="C3" s="26">
        <v>411.8</v>
      </c>
      <c r="D3" s="26">
        <v>424.0</v>
      </c>
      <c r="E3" s="26">
        <v>391.0</v>
      </c>
      <c r="F3" s="26">
        <v>405.0</v>
      </c>
      <c r="G3" s="26">
        <v>418.7</v>
      </c>
      <c r="H3" s="26">
        <v>394.0</v>
      </c>
    </row>
    <row r="4">
      <c r="A4" s="24">
        <v>3.0</v>
      </c>
      <c r="B4" s="25" t="s">
        <v>308</v>
      </c>
      <c r="C4" s="26">
        <v>404.3</v>
      </c>
      <c r="D4" s="26">
        <v>392.3</v>
      </c>
      <c r="E4" s="26">
        <v>310.0</v>
      </c>
      <c r="F4" s="26">
        <v>381.5</v>
      </c>
      <c r="G4" s="26">
        <v>434.7</v>
      </c>
      <c r="H4" s="26">
        <v>396.2</v>
      </c>
    </row>
    <row r="5">
      <c r="A5" s="24">
        <v>4.0</v>
      </c>
      <c r="B5" s="25" t="s">
        <v>309</v>
      </c>
      <c r="C5" s="26">
        <v>384.1</v>
      </c>
      <c r="D5" s="26">
        <v>386.7</v>
      </c>
      <c r="E5" s="26">
        <v>421.0</v>
      </c>
      <c r="F5" s="26">
        <v>426.7</v>
      </c>
      <c r="G5" s="26">
        <v>352.3</v>
      </c>
      <c r="H5" s="26">
        <v>312.8</v>
      </c>
    </row>
    <row r="6">
      <c r="A6" s="24">
        <v>5.0</v>
      </c>
      <c r="B6" s="25" t="s">
        <v>310</v>
      </c>
      <c r="C6" s="26">
        <v>383.4</v>
      </c>
      <c r="D6" s="26">
        <v>469.3</v>
      </c>
      <c r="E6" s="26">
        <v>481.0</v>
      </c>
      <c r="F6" s="26">
        <v>385.3</v>
      </c>
      <c r="G6" s="26">
        <v>381.0</v>
      </c>
      <c r="H6" s="26">
        <v>323.9</v>
      </c>
    </row>
    <row r="7">
      <c r="A7" s="24">
        <v>6.0</v>
      </c>
      <c r="B7" s="25" t="s">
        <v>311</v>
      </c>
      <c r="C7" s="26">
        <v>382.4</v>
      </c>
      <c r="D7" s="26">
        <v>345.7</v>
      </c>
      <c r="E7" s="26">
        <v>277.0</v>
      </c>
      <c r="F7" s="26">
        <v>390.5</v>
      </c>
      <c r="G7" s="26">
        <v>371.7</v>
      </c>
      <c r="H7" s="26">
        <v>348.3</v>
      </c>
    </row>
    <row r="8">
      <c r="A8" s="24">
        <v>7.0</v>
      </c>
      <c r="B8" s="25" t="s">
        <v>312</v>
      </c>
      <c r="C8" s="26">
        <v>368.4</v>
      </c>
      <c r="D8" s="26">
        <v>447.3</v>
      </c>
      <c r="E8" s="26">
        <v>369.0</v>
      </c>
      <c r="F8" s="26">
        <v>354.2</v>
      </c>
      <c r="G8" s="26">
        <v>404.0</v>
      </c>
      <c r="H8" s="26">
        <v>334.3</v>
      </c>
    </row>
    <row r="9">
      <c r="A9" s="24">
        <v>8.0</v>
      </c>
      <c r="B9" s="25" t="s">
        <v>313</v>
      </c>
      <c r="C9" s="26">
        <v>368.3</v>
      </c>
      <c r="D9" s="26">
        <v>343.3</v>
      </c>
      <c r="E9" s="26">
        <v>339.0</v>
      </c>
      <c r="F9" s="26">
        <v>341.3</v>
      </c>
      <c r="G9" s="26">
        <v>404.3</v>
      </c>
      <c r="H9" s="26">
        <v>322.9</v>
      </c>
    </row>
    <row r="10">
      <c r="A10" s="24">
        <v>9.0</v>
      </c>
      <c r="B10" s="25" t="s">
        <v>314</v>
      </c>
      <c r="C10" s="26">
        <v>362.2</v>
      </c>
      <c r="D10" s="26">
        <v>312.7</v>
      </c>
      <c r="E10" s="26">
        <v>339.0</v>
      </c>
      <c r="F10" s="26">
        <v>368.5</v>
      </c>
      <c r="G10" s="26">
        <v>359.0</v>
      </c>
      <c r="H10" s="26">
        <v>350.0</v>
      </c>
    </row>
    <row r="11">
      <c r="A11" s="24">
        <v>10.0</v>
      </c>
      <c r="B11" s="25" t="s">
        <v>315</v>
      </c>
      <c r="C11" s="26">
        <v>350.3</v>
      </c>
      <c r="D11" s="26">
        <v>372.7</v>
      </c>
      <c r="E11" s="26">
        <v>329.0</v>
      </c>
      <c r="F11" s="26">
        <v>366.3</v>
      </c>
      <c r="G11" s="26">
        <v>334.3</v>
      </c>
      <c r="H11" s="26">
        <v>357.9</v>
      </c>
    </row>
    <row r="12">
      <c r="A12" s="24">
        <v>11.0</v>
      </c>
      <c r="B12" s="25" t="s">
        <v>316</v>
      </c>
      <c r="C12" s="26">
        <v>349.7</v>
      </c>
      <c r="D12" s="26">
        <v>330.0</v>
      </c>
      <c r="E12" s="26">
        <v>197.0</v>
      </c>
      <c r="F12" s="26">
        <v>390.0</v>
      </c>
      <c r="G12" s="26">
        <v>319.5</v>
      </c>
      <c r="H12" s="26">
        <v>336.3</v>
      </c>
    </row>
    <row r="13">
      <c r="A13" s="24">
        <v>12.0</v>
      </c>
      <c r="B13" s="25" t="s">
        <v>317</v>
      </c>
      <c r="C13" s="26">
        <v>336.5</v>
      </c>
      <c r="D13" s="26">
        <v>329.7</v>
      </c>
      <c r="E13" s="26">
        <v>251.0</v>
      </c>
      <c r="F13" s="26">
        <v>338.7</v>
      </c>
      <c r="G13" s="26">
        <v>334.3</v>
      </c>
      <c r="H13" s="26">
        <v>379.3</v>
      </c>
    </row>
    <row r="14">
      <c r="A14" s="24">
        <v>13.0</v>
      </c>
      <c r="B14" s="25" t="s">
        <v>318</v>
      </c>
      <c r="C14" s="26">
        <v>331.7</v>
      </c>
      <c r="D14" s="26">
        <v>323.0</v>
      </c>
      <c r="E14" s="26">
        <v>223.0</v>
      </c>
      <c r="F14" s="26">
        <v>367.3</v>
      </c>
      <c r="G14" s="26">
        <v>305.0</v>
      </c>
      <c r="H14" s="26">
        <v>318.9</v>
      </c>
    </row>
    <row r="15">
      <c r="A15" s="24">
        <v>14.0</v>
      </c>
      <c r="B15" s="25" t="s">
        <v>319</v>
      </c>
      <c r="C15" s="26">
        <v>331.3</v>
      </c>
      <c r="D15" s="26">
        <v>329.0</v>
      </c>
      <c r="E15" s="26">
        <v>326.0</v>
      </c>
      <c r="F15" s="26">
        <v>347.0</v>
      </c>
      <c r="G15" s="26">
        <v>310.3</v>
      </c>
      <c r="H15" s="26">
        <v>324.1</v>
      </c>
    </row>
    <row r="16">
      <c r="A16" s="24">
        <v>15.0</v>
      </c>
      <c r="B16" s="25" t="s">
        <v>320</v>
      </c>
      <c r="C16" s="26">
        <v>329.3</v>
      </c>
      <c r="D16" s="26">
        <v>333.3</v>
      </c>
      <c r="E16" s="26">
        <v>284.0</v>
      </c>
      <c r="F16" s="26">
        <v>312.8</v>
      </c>
      <c r="G16" s="26">
        <v>351.3</v>
      </c>
      <c r="H16" s="26">
        <v>336.8</v>
      </c>
    </row>
    <row r="17">
      <c r="A17" s="24">
        <v>16.0</v>
      </c>
      <c r="B17" s="25" t="s">
        <v>321</v>
      </c>
      <c r="C17" s="26">
        <v>325.9</v>
      </c>
      <c r="D17" s="26">
        <v>379.7</v>
      </c>
      <c r="E17" s="26">
        <v>364.0</v>
      </c>
      <c r="F17" s="26">
        <v>410.0</v>
      </c>
      <c r="G17" s="26">
        <v>292.2</v>
      </c>
      <c r="H17" s="26">
        <v>339.5</v>
      </c>
    </row>
    <row r="18">
      <c r="A18" s="24">
        <v>17.0</v>
      </c>
      <c r="B18" s="25" t="s">
        <v>322</v>
      </c>
      <c r="C18" s="26">
        <v>325.0</v>
      </c>
      <c r="D18" s="26">
        <v>304.0</v>
      </c>
      <c r="E18" s="26">
        <v>276.0</v>
      </c>
      <c r="F18" s="26">
        <v>353.3</v>
      </c>
      <c r="G18" s="26">
        <v>303.8</v>
      </c>
      <c r="H18" s="26">
        <v>347.8</v>
      </c>
    </row>
    <row r="19">
      <c r="A19" s="24">
        <v>18.0</v>
      </c>
      <c r="B19" s="25" t="s">
        <v>323</v>
      </c>
      <c r="C19" s="26">
        <v>323.6</v>
      </c>
      <c r="D19" s="26">
        <v>338.3</v>
      </c>
      <c r="E19" s="26">
        <v>386.0</v>
      </c>
      <c r="F19" s="26">
        <v>327.8</v>
      </c>
      <c r="G19" s="26">
        <v>318.0</v>
      </c>
      <c r="H19" s="26">
        <v>362.9</v>
      </c>
    </row>
    <row r="20">
      <c r="A20" s="24">
        <v>19.0</v>
      </c>
      <c r="B20" s="25" t="s">
        <v>324</v>
      </c>
      <c r="C20" s="26">
        <v>321.0</v>
      </c>
      <c r="D20" s="26">
        <v>341.3</v>
      </c>
      <c r="E20" s="26">
        <v>389.0</v>
      </c>
      <c r="F20" s="26">
        <v>376.3</v>
      </c>
      <c r="G20" s="26">
        <v>279.5</v>
      </c>
      <c r="H20" s="26">
        <v>373.8</v>
      </c>
    </row>
    <row r="21">
      <c r="A21" s="24">
        <v>20.0</v>
      </c>
      <c r="B21" s="25" t="s">
        <v>325</v>
      </c>
      <c r="C21" s="26">
        <v>314.1</v>
      </c>
      <c r="D21" s="26">
        <v>309.3</v>
      </c>
      <c r="E21" s="26">
        <v>409.0</v>
      </c>
      <c r="F21" s="26">
        <v>327.0</v>
      </c>
      <c r="G21" s="26">
        <v>304.5</v>
      </c>
      <c r="H21" s="26">
        <v>305.4</v>
      </c>
    </row>
    <row r="22">
      <c r="A22" s="24">
        <v>21.0</v>
      </c>
      <c r="B22" s="25" t="s">
        <v>326</v>
      </c>
      <c r="C22" s="26">
        <v>312.9</v>
      </c>
      <c r="D22" s="26">
        <v>264.7</v>
      </c>
      <c r="E22" s="26">
        <v>271.0</v>
      </c>
      <c r="F22" s="26">
        <v>293.0</v>
      </c>
      <c r="G22" s="26">
        <v>339.3</v>
      </c>
      <c r="H22" s="26">
        <v>337.2</v>
      </c>
    </row>
    <row r="23">
      <c r="A23" s="24">
        <v>22.0</v>
      </c>
      <c r="B23" s="25" t="s">
        <v>327</v>
      </c>
      <c r="C23" s="26">
        <v>308.2</v>
      </c>
      <c r="D23" s="26">
        <v>297.7</v>
      </c>
      <c r="E23" s="26">
        <v>337.0</v>
      </c>
      <c r="F23" s="26">
        <v>311.7</v>
      </c>
      <c r="G23" s="26">
        <v>304.7</v>
      </c>
      <c r="H23" s="26">
        <v>393.7</v>
      </c>
    </row>
    <row r="24">
      <c r="A24" s="24">
        <v>23.0</v>
      </c>
      <c r="B24" s="25" t="s">
        <v>328</v>
      </c>
      <c r="C24" s="26">
        <v>307.0</v>
      </c>
      <c r="D24" s="26">
        <v>323.3</v>
      </c>
      <c r="E24" s="26">
        <v>323.0</v>
      </c>
      <c r="F24" s="26">
        <v>347.0</v>
      </c>
      <c r="G24" s="26">
        <v>277.0</v>
      </c>
      <c r="H24" s="26">
        <v>268.6</v>
      </c>
    </row>
    <row r="25">
      <c r="A25" s="24">
        <v>24.0</v>
      </c>
      <c r="B25" s="25" t="s">
        <v>329</v>
      </c>
      <c r="C25" s="26">
        <v>301.5</v>
      </c>
      <c r="D25" s="26">
        <v>353.7</v>
      </c>
      <c r="E25" s="26">
        <v>373.0</v>
      </c>
      <c r="F25" s="26">
        <v>278.7</v>
      </c>
      <c r="G25" s="26">
        <v>324.3</v>
      </c>
      <c r="H25" s="26">
        <v>323.2</v>
      </c>
    </row>
    <row r="26">
      <c r="A26" s="24">
        <v>25.0</v>
      </c>
      <c r="B26" s="25" t="s">
        <v>330</v>
      </c>
      <c r="C26" s="26">
        <v>300.0</v>
      </c>
      <c r="D26" s="26">
        <v>323.0</v>
      </c>
      <c r="E26" s="26">
        <v>395.0</v>
      </c>
      <c r="F26" s="26">
        <v>270.0</v>
      </c>
      <c r="G26" s="26">
        <v>315.0</v>
      </c>
      <c r="H26" s="26">
        <v>329.4</v>
      </c>
    </row>
    <row r="27">
      <c r="A27" s="24">
        <v>26.0</v>
      </c>
      <c r="B27" s="25" t="s">
        <v>331</v>
      </c>
      <c r="C27" s="26">
        <v>296.7</v>
      </c>
      <c r="D27" s="26">
        <v>307.3</v>
      </c>
      <c r="E27" s="26">
        <v>317.0</v>
      </c>
      <c r="F27" s="26">
        <v>291.3</v>
      </c>
      <c r="G27" s="26">
        <v>300.8</v>
      </c>
      <c r="H27" s="26">
        <v>289.5</v>
      </c>
    </row>
    <row r="28">
      <c r="A28" s="24">
        <v>27.0</v>
      </c>
      <c r="B28" s="25" t="s">
        <v>332</v>
      </c>
      <c r="C28" s="26">
        <v>294.0</v>
      </c>
      <c r="D28" s="26">
        <v>331.3</v>
      </c>
      <c r="E28" s="26">
        <v>389.0</v>
      </c>
      <c r="F28" s="26">
        <v>300.0</v>
      </c>
      <c r="G28" s="26">
        <v>289.5</v>
      </c>
      <c r="H28" s="26">
        <v>298.4</v>
      </c>
    </row>
    <row r="29">
      <c r="A29" s="24">
        <v>28.0</v>
      </c>
      <c r="B29" s="25" t="s">
        <v>333</v>
      </c>
      <c r="C29" s="26">
        <v>290.7</v>
      </c>
      <c r="D29" s="26">
        <v>282.7</v>
      </c>
      <c r="E29" s="26">
        <v>119.0</v>
      </c>
      <c r="F29" s="26">
        <v>242.8</v>
      </c>
      <c r="G29" s="26">
        <v>354.7</v>
      </c>
      <c r="H29" s="26">
        <v>280.0</v>
      </c>
    </row>
    <row r="30">
      <c r="A30" s="24">
        <v>29.0</v>
      </c>
      <c r="B30" s="25" t="s">
        <v>334</v>
      </c>
      <c r="C30" s="26">
        <v>281.6</v>
      </c>
      <c r="D30" s="26">
        <v>269.0</v>
      </c>
      <c r="E30" s="26">
        <v>180.0</v>
      </c>
      <c r="F30" s="26">
        <v>289.7</v>
      </c>
      <c r="G30" s="26">
        <v>275.5</v>
      </c>
      <c r="H30" s="26">
        <v>265.3</v>
      </c>
    </row>
    <row r="31">
      <c r="A31" s="24">
        <v>30.0</v>
      </c>
      <c r="B31" s="25" t="s">
        <v>335</v>
      </c>
      <c r="C31" s="26">
        <v>262.9</v>
      </c>
      <c r="D31" s="26">
        <v>295.0</v>
      </c>
      <c r="E31" s="26">
        <v>295.0</v>
      </c>
      <c r="F31" s="26">
        <v>300.0</v>
      </c>
      <c r="G31" s="26">
        <v>235.0</v>
      </c>
      <c r="H31" s="26">
        <v>276.2</v>
      </c>
    </row>
    <row r="32">
      <c r="A32" s="24">
        <v>31.0</v>
      </c>
      <c r="B32" s="25" t="s">
        <v>336</v>
      </c>
      <c r="C32" s="26">
        <v>259.2</v>
      </c>
      <c r="D32" s="26">
        <v>258.0</v>
      </c>
      <c r="E32" s="26">
        <v>289.0</v>
      </c>
      <c r="F32" s="26">
        <v>259.3</v>
      </c>
      <c r="G32" s="26">
        <v>259.0</v>
      </c>
      <c r="H32" s="26">
        <v>289.0</v>
      </c>
    </row>
    <row r="33">
      <c r="A33" s="24">
        <v>32.0</v>
      </c>
      <c r="B33" s="25" t="s">
        <v>337</v>
      </c>
      <c r="C33" s="26">
        <v>253.9</v>
      </c>
      <c r="D33" s="26">
        <v>264.0</v>
      </c>
      <c r="E33" s="26">
        <v>336.0</v>
      </c>
      <c r="F33" s="26">
        <v>261.0</v>
      </c>
      <c r="G33" s="26">
        <v>248.5</v>
      </c>
      <c r="H33" s="26">
        <v>335.2</v>
      </c>
    </row>
    <row r="34">
      <c r="A34" s="27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</hyperlinks>
  <drawing r:id="rId3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">
        <v>109</v>
      </c>
      <c r="B1" s="14" t="s">
        <v>88</v>
      </c>
      <c r="C1" s="15">
        <v>2024.0</v>
      </c>
      <c r="D1" s="16" t="s">
        <v>110</v>
      </c>
      <c r="E1" s="16" t="s">
        <v>111</v>
      </c>
      <c r="F1" s="15" t="s">
        <v>112</v>
      </c>
      <c r="G1" s="15" t="s">
        <v>113</v>
      </c>
      <c r="H1" s="15">
        <v>2023.0</v>
      </c>
    </row>
    <row r="2">
      <c r="A2" s="17">
        <v>1.0</v>
      </c>
      <c r="B2" s="18" t="s">
        <v>338</v>
      </c>
      <c r="C2" s="19">
        <v>272.2</v>
      </c>
      <c r="D2" s="19">
        <v>280.7</v>
      </c>
      <c r="E2" s="19">
        <v>389.0</v>
      </c>
      <c r="F2" s="19">
        <v>304.0</v>
      </c>
      <c r="G2" s="19">
        <v>240.3</v>
      </c>
      <c r="H2" s="19">
        <v>335.1</v>
      </c>
    </row>
    <row r="3">
      <c r="A3" s="17">
        <v>2.0</v>
      </c>
      <c r="B3" s="18" t="s">
        <v>339</v>
      </c>
      <c r="C3" s="19">
        <v>277.0</v>
      </c>
      <c r="D3" s="19">
        <v>281.3</v>
      </c>
      <c r="E3" s="19">
        <v>277.0</v>
      </c>
      <c r="F3" s="19">
        <v>264.7</v>
      </c>
      <c r="G3" s="19">
        <v>286.3</v>
      </c>
      <c r="H3" s="19">
        <v>331.5</v>
      </c>
    </row>
    <row r="4">
      <c r="A4" s="17">
        <v>3.0</v>
      </c>
      <c r="B4" s="18" t="s">
        <v>340</v>
      </c>
      <c r="C4" s="19">
        <v>282.4</v>
      </c>
      <c r="D4" s="19">
        <v>317.0</v>
      </c>
      <c r="E4" s="19">
        <v>271.0</v>
      </c>
      <c r="F4" s="19">
        <v>310.3</v>
      </c>
      <c r="G4" s="19">
        <v>261.5</v>
      </c>
      <c r="H4" s="19">
        <v>370.8</v>
      </c>
    </row>
    <row r="5">
      <c r="A5" s="17">
        <v>4.0</v>
      </c>
      <c r="B5" s="18" t="s">
        <v>341</v>
      </c>
      <c r="C5" s="19">
        <v>285.2</v>
      </c>
      <c r="D5" s="19">
        <v>275.7</v>
      </c>
      <c r="E5" s="19">
        <v>284.0</v>
      </c>
      <c r="F5" s="19">
        <v>252.7</v>
      </c>
      <c r="G5" s="19">
        <v>317.7</v>
      </c>
      <c r="H5" s="19">
        <v>323.3</v>
      </c>
    </row>
    <row r="6">
      <c r="A6" s="17">
        <v>5.0</v>
      </c>
      <c r="B6" s="18" t="s">
        <v>342</v>
      </c>
      <c r="C6" s="19">
        <v>292.0</v>
      </c>
      <c r="D6" s="19">
        <v>297.3</v>
      </c>
      <c r="E6" s="19">
        <v>278.0</v>
      </c>
      <c r="F6" s="19">
        <v>286.0</v>
      </c>
      <c r="G6" s="19">
        <v>298.0</v>
      </c>
      <c r="H6" s="19">
        <v>324.2</v>
      </c>
    </row>
    <row r="7">
      <c r="A7" s="17">
        <v>6.0</v>
      </c>
      <c r="B7" s="18" t="s">
        <v>343</v>
      </c>
      <c r="C7" s="19">
        <v>292.4</v>
      </c>
      <c r="D7" s="19">
        <v>340.3</v>
      </c>
      <c r="E7" s="19">
        <v>409.0</v>
      </c>
      <c r="F7" s="19">
        <v>228.0</v>
      </c>
      <c r="G7" s="19">
        <v>340.8</v>
      </c>
      <c r="H7" s="19">
        <v>292.3</v>
      </c>
    </row>
    <row r="8">
      <c r="A8" s="17">
        <v>7.0</v>
      </c>
      <c r="B8" s="18" t="s">
        <v>344</v>
      </c>
      <c r="C8" s="19">
        <v>295.3</v>
      </c>
      <c r="D8" s="19">
        <v>323.7</v>
      </c>
      <c r="E8" s="19">
        <v>326.0</v>
      </c>
      <c r="F8" s="19">
        <v>312.5</v>
      </c>
      <c r="G8" s="19">
        <v>286.8</v>
      </c>
      <c r="H8" s="19">
        <v>362.9</v>
      </c>
    </row>
    <row r="9">
      <c r="A9" s="17">
        <v>8.0</v>
      </c>
      <c r="B9" s="18" t="s">
        <v>345</v>
      </c>
      <c r="C9" s="19">
        <v>298.3</v>
      </c>
      <c r="D9" s="19">
        <v>347.7</v>
      </c>
      <c r="E9" s="19">
        <v>323.0</v>
      </c>
      <c r="F9" s="19">
        <v>311.3</v>
      </c>
      <c r="G9" s="19">
        <v>288.5</v>
      </c>
      <c r="H9" s="19">
        <v>343.6</v>
      </c>
    </row>
    <row r="10">
      <c r="A10" s="17">
        <v>9.0</v>
      </c>
      <c r="B10" s="18" t="s">
        <v>346</v>
      </c>
      <c r="C10" s="19">
        <v>304.3</v>
      </c>
      <c r="D10" s="19">
        <v>269.3</v>
      </c>
      <c r="E10" s="19">
        <v>119.0</v>
      </c>
      <c r="F10" s="19">
        <v>314.5</v>
      </c>
      <c r="G10" s="19">
        <v>299.3</v>
      </c>
      <c r="H10" s="19">
        <v>360.0</v>
      </c>
    </row>
    <row r="11">
      <c r="A11" s="17">
        <v>10.0</v>
      </c>
      <c r="B11" s="18" t="s">
        <v>347</v>
      </c>
      <c r="C11" s="19">
        <v>306.2</v>
      </c>
      <c r="D11" s="19">
        <v>251.3</v>
      </c>
      <c r="E11" s="19">
        <v>310.0</v>
      </c>
      <c r="F11" s="19">
        <v>330.7</v>
      </c>
      <c r="G11" s="19">
        <v>281.7</v>
      </c>
      <c r="H11" s="19">
        <v>298.9</v>
      </c>
    </row>
    <row r="12">
      <c r="A12" s="17">
        <v>11.0</v>
      </c>
      <c r="B12" s="18" t="s">
        <v>348</v>
      </c>
      <c r="C12" s="19">
        <v>316.9</v>
      </c>
      <c r="D12" s="19">
        <v>280.3</v>
      </c>
      <c r="E12" s="19">
        <v>259.0</v>
      </c>
      <c r="F12" s="19">
        <v>323.7</v>
      </c>
      <c r="G12" s="19">
        <v>311.8</v>
      </c>
      <c r="H12" s="19">
        <v>330.9</v>
      </c>
    </row>
    <row r="13">
      <c r="A13" s="17">
        <v>12.0</v>
      </c>
      <c r="B13" s="18" t="s">
        <v>349</v>
      </c>
      <c r="C13" s="19">
        <v>317.6</v>
      </c>
      <c r="D13" s="19">
        <v>325.3</v>
      </c>
      <c r="E13" s="19">
        <v>339.0</v>
      </c>
      <c r="F13" s="19">
        <v>312.0</v>
      </c>
      <c r="G13" s="19">
        <v>325.0</v>
      </c>
      <c r="H13" s="19">
        <v>361.7</v>
      </c>
    </row>
    <row r="14">
      <c r="A14" s="17">
        <v>13.0</v>
      </c>
      <c r="B14" s="18" t="s">
        <v>350</v>
      </c>
      <c r="C14" s="19">
        <v>317.9</v>
      </c>
      <c r="D14" s="19">
        <v>343.0</v>
      </c>
      <c r="E14" s="19">
        <v>223.0</v>
      </c>
      <c r="F14" s="19">
        <v>276.0</v>
      </c>
      <c r="G14" s="19">
        <v>349.3</v>
      </c>
      <c r="H14" s="19">
        <v>274.9</v>
      </c>
    </row>
    <row r="15">
      <c r="A15" s="17">
        <v>14.0</v>
      </c>
      <c r="B15" s="18" t="s">
        <v>351</v>
      </c>
      <c r="C15" s="19">
        <v>318.0</v>
      </c>
      <c r="D15" s="19">
        <v>348.3</v>
      </c>
      <c r="E15" s="19">
        <v>329.0</v>
      </c>
      <c r="F15" s="19">
        <v>292.3</v>
      </c>
      <c r="G15" s="19">
        <v>352.3</v>
      </c>
      <c r="H15" s="19">
        <v>319.7</v>
      </c>
    </row>
    <row r="16">
      <c r="A16" s="17">
        <v>15.0</v>
      </c>
      <c r="B16" s="18" t="s">
        <v>352</v>
      </c>
      <c r="C16" s="19">
        <v>318.4</v>
      </c>
      <c r="D16" s="19">
        <v>290.0</v>
      </c>
      <c r="E16" s="19">
        <v>197.0</v>
      </c>
      <c r="F16" s="19">
        <v>303.0</v>
      </c>
      <c r="G16" s="19">
        <v>339.0</v>
      </c>
      <c r="H16" s="19">
        <v>345.4</v>
      </c>
    </row>
    <row r="17">
      <c r="A17" s="17">
        <v>16.0</v>
      </c>
      <c r="B17" s="18" t="s">
        <v>353</v>
      </c>
      <c r="C17" s="19">
        <v>329.1</v>
      </c>
      <c r="D17" s="19">
        <v>292.0</v>
      </c>
      <c r="E17" s="19">
        <v>180.0</v>
      </c>
      <c r="F17" s="19">
        <v>232.0</v>
      </c>
      <c r="G17" s="19">
        <v>402.0</v>
      </c>
      <c r="H17" s="19">
        <v>388.9</v>
      </c>
    </row>
    <row r="18">
      <c r="A18" s="17">
        <v>17.0</v>
      </c>
      <c r="B18" s="18" t="s">
        <v>354</v>
      </c>
      <c r="C18" s="19">
        <v>336.1</v>
      </c>
      <c r="D18" s="19">
        <v>335.7</v>
      </c>
      <c r="E18" s="19">
        <v>339.0</v>
      </c>
      <c r="F18" s="19">
        <v>330.6</v>
      </c>
      <c r="G18" s="19">
        <v>350.0</v>
      </c>
      <c r="H18" s="19">
        <v>321.1</v>
      </c>
    </row>
    <row r="19">
      <c r="A19" s="17">
        <v>18.0</v>
      </c>
      <c r="B19" s="18" t="s">
        <v>355</v>
      </c>
      <c r="C19" s="19">
        <v>338.3</v>
      </c>
      <c r="D19" s="19">
        <v>383.3</v>
      </c>
      <c r="E19" s="19">
        <v>383.0</v>
      </c>
      <c r="F19" s="19">
        <v>373.0</v>
      </c>
      <c r="G19" s="19">
        <v>303.7</v>
      </c>
      <c r="H19" s="19">
        <v>348.0</v>
      </c>
    </row>
    <row r="20">
      <c r="A20" s="17">
        <v>19.0</v>
      </c>
      <c r="B20" s="18" t="s">
        <v>356</v>
      </c>
      <c r="C20" s="19">
        <v>342.0</v>
      </c>
      <c r="D20" s="19">
        <v>369.0</v>
      </c>
      <c r="E20" s="19">
        <v>289.0</v>
      </c>
      <c r="F20" s="19">
        <v>266.0</v>
      </c>
      <c r="G20" s="19">
        <v>399.0</v>
      </c>
      <c r="H20" s="19">
        <v>310.9</v>
      </c>
    </row>
    <row r="21">
      <c r="A21" s="17">
        <v>20.0</v>
      </c>
      <c r="B21" s="18" t="s">
        <v>357</v>
      </c>
      <c r="C21" s="19">
        <v>343.9</v>
      </c>
      <c r="D21" s="19">
        <v>424.0</v>
      </c>
      <c r="E21" s="19">
        <v>369.0</v>
      </c>
      <c r="F21" s="19">
        <v>334.8</v>
      </c>
      <c r="G21" s="19">
        <v>356.0</v>
      </c>
      <c r="H21" s="19">
        <v>371.4</v>
      </c>
    </row>
    <row r="22">
      <c r="A22" s="17">
        <v>21.0</v>
      </c>
      <c r="B22" s="18" t="s">
        <v>358</v>
      </c>
      <c r="C22" s="19">
        <v>346.9</v>
      </c>
      <c r="D22" s="19">
        <v>343.7</v>
      </c>
      <c r="E22" s="19">
        <v>386.0</v>
      </c>
      <c r="F22" s="19">
        <v>361.0</v>
      </c>
      <c r="G22" s="19">
        <v>336.3</v>
      </c>
      <c r="H22" s="19">
        <v>333.2</v>
      </c>
    </row>
    <row r="23">
      <c r="A23" s="17">
        <v>22.0</v>
      </c>
      <c r="B23" s="18" t="s">
        <v>359</v>
      </c>
      <c r="C23" s="19">
        <v>351.0</v>
      </c>
      <c r="D23" s="19">
        <v>305.3</v>
      </c>
      <c r="E23" s="19">
        <v>276.0</v>
      </c>
      <c r="F23" s="19">
        <v>335.3</v>
      </c>
      <c r="G23" s="19">
        <v>372.0</v>
      </c>
      <c r="H23" s="19">
        <v>337.7</v>
      </c>
    </row>
    <row r="24">
      <c r="A24" s="17">
        <v>23.0</v>
      </c>
      <c r="B24" s="18" t="s">
        <v>360</v>
      </c>
      <c r="C24" s="19">
        <v>353.1</v>
      </c>
      <c r="D24" s="19">
        <v>388.3</v>
      </c>
      <c r="E24" s="19">
        <v>336.0</v>
      </c>
      <c r="F24" s="19">
        <v>388.7</v>
      </c>
      <c r="G24" s="19">
        <v>326.5</v>
      </c>
      <c r="H24" s="19">
        <v>374.6</v>
      </c>
    </row>
    <row r="25">
      <c r="A25" s="17">
        <v>24.0</v>
      </c>
      <c r="B25" s="18" t="s">
        <v>361</v>
      </c>
      <c r="C25" s="19">
        <v>355.6</v>
      </c>
      <c r="D25" s="19">
        <v>409.3</v>
      </c>
      <c r="E25" s="19">
        <v>481.0</v>
      </c>
      <c r="F25" s="19">
        <v>267.0</v>
      </c>
      <c r="G25" s="19">
        <v>422.0</v>
      </c>
      <c r="H25" s="19">
        <v>297.6</v>
      </c>
    </row>
    <row r="26">
      <c r="A26" s="17">
        <v>25.0</v>
      </c>
      <c r="B26" s="18" t="s">
        <v>362</v>
      </c>
      <c r="C26" s="19">
        <v>356.5</v>
      </c>
      <c r="D26" s="19">
        <v>340.3</v>
      </c>
      <c r="E26" s="19">
        <v>492.0</v>
      </c>
      <c r="F26" s="19">
        <v>460.0</v>
      </c>
      <c r="G26" s="19">
        <v>253.0</v>
      </c>
      <c r="H26" s="19">
        <v>306.1</v>
      </c>
    </row>
    <row r="27">
      <c r="A27" s="17">
        <v>26.0</v>
      </c>
      <c r="B27" s="18" t="s">
        <v>363</v>
      </c>
      <c r="C27" s="19">
        <v>359.6</v>
      </c>
      <c r="D27" s="19">
        <v>368.0</v>
      </c>
      <c r="E27" s="19">
        <v>364.0</v>
      </c>
      <c r="F27" s="19">
        <v>366.0</v>
      </c>
      <c r="G27" s="19">
        <v>354.8</v>
      </c>
      <c r="H27" s="19">
        <v>301.6</v>
      </c>
    </row>
    <row r="28">
      <c r="A28" s="17">
        <v>27.0</v>
      </c>
      <c r="B28" s="18" t="s">
        <v>364</v>
      </c>
      <c r="C28" s="19">
        <v>376.4</v>
      </c>
      <c r="D28" s="19">
        <v>371.7</v>
      </c>
      <c r="E28" s="19">
        <v>295.0</v>
      </c>
      <c r="F28" s="19">
        <v>372.0</v>
      </c>
      <c r="G28" s="19">
        <v>378.2</v>
      </c>
      <c r="H28" s="19">
        <v>342.8</v>
      </c>
    </row>
    <row r="29">
      <c r="A29" s="17">
        <v>27.0</v>
      </c>
      <c r="B29" s="18" t="s">
        <v>365</v>
      </c>
      <c r="C29" s="19">
        <v>376.4</v>
      </c>
      <c r="D29" s="19">
        <v>405.3</v>
      </c>
      <c r="E29" s="19">
        <v>395.0</v>
      </c>
      <c r="F29" s="19">
        <v>365.5</v>
      </c>
      <c r="G29" s="19">
        <v>391.0</v>
      </c>
      <c r="H29" s="19">
        <v>355.7</v>
      </c>
    </row>
    <row r="30">
      <c r="A30" s="17">
        <v>29.0</v>
      </c>
      <c r="B30" s="18" t="s">
        <v>366</v>
      </c>
      <c r="C30" s="19">
        <v>382.0</v>
      </c>
      <c r="D30" s="19">
        <v>358.3</v>
      </c>
      <c r="E30" s="19">
        <v>337.0</v>
      </c>
      <c r="F30" s="19">
        <v>388.3</v>
      </c>
      <c r="G30" s="19">
        <v>373.7</v>
      </c>
      <c r="H30" s="19">
        <v>349.8</v>
      </c>
    </row>
    <row r="31">
      <c r="A31" s="17">
        <v>30.0</v>
      </c>
      <c r="B31" s="18" t="s">
        <v>367</v>
      </c>
      <c r="C31" s="19">
        <v>385.7</v>
      </c>
      <c r="D31" s="19">
        <v>422.7</v>
      </c>
      <c r="E31" s="19">
        <v>421.0</v>
      </c>
      <c r="F31" s="19">
        <v>381.7</v>
      </c>
      <c r="G31" s="19">
        <v>388.8</v>
      </c>
      <c r="H31" s="19">
        <v>293.9</v>
      </c>
    </row>
    <row r="32">
      <c r="A32" s="17">
        <v>31.0</v>
      </c>
      <c r="B32" s="18" t="s">
        <v>368</v>
      </c>
      <c r="C32" s="19">
        <v>386.0</v>
      </c>
      <c r="D32" s="19">
        <v>453.7</v>
      </c>
      <c r="E32" s="19">
        <v>508.0</v>
      </c>
      <c r="F32" s="19">
        <v>346.5</v>
      </c>
      <c r="G32" s="19">
        <v>438.7</v>
      </c>
      <c r="H32" s="19">
        <v>343.1</v>
      </c>
    </row>
    <row r="33">
      <c r="A33" s="17">
        <v>32.0</v>
      </c>
      <c r="B33" s="18" t="s">
        <v>369</v>
      </c>
      <c r="C33" s="19">
        <v>394.9</v>
      </c>
      <c r="D33" s="19">
        <v>481.0</v>
      </c>
      <c r="E33" s="19">
        <v>389.0</v>
      </c>
      <c r="F33" s="19">
        <v>409.0</v>
      </c>
      <c r="G33" s="19">
        <v>376.0</v>
      </c>
      <c r="H33" s="19">
        <v>327.2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</hyperlinks>
  <drawing r:id="rId3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">
        <v>109</v>
      </c>
      <c r="B1" s="14" t="s">
        <v>88</v>
      </c>
      <c r="C1" s="15">
        <v>2024.0</v>
      </c>
      <c r="D1" s="16" t="s">
        <v>110</v>
      </c>
      <c r="E1" s="16" t="s">
        <v>111</v>
      </c>
      <c r="F1" s="15" t="s">
        <v>112</v>
      </c>
      <c r="G1" s="15" t="s">
        <v>113</v>
      </c>
      <c r="H1" s="15">
        <v>2023.0</v>
      </c>
    </row>
    <row r="2">
      <c r="A2" s="17">
        <v>1.0</v>
      </c>
      <c r="B2" s="18" t="s">
        <v>370</v>
      </c>
      <c r="C2" s="19">
        <v>13.8</v>
      </c>
      <c r="D2" s="19">
        <v>16.7</v>
      </c>
      <c r="E2" s="19">
        <v>17.0</v>
      </c>
      <c r="F2" s="19">
        <v>13.5</v>
      </c>
      <c r="G2" s="19">
        <v>14.0</v>
      </c>
      <c r="H2" s="19">
        <v>23.4</v>
      </c>
    </row>
    <row r="3">
      <c r="A3" s="17">
        <v>2.0</v>
      </c>
      <c r="B3" s="18" t="s">
        <v>371</v>
      </c>
      <c r="C3" s="19">
        <v>14.4</v>
      </c>
      <c r="D3" s="19">
        <v>16.0</v>
      </c>
      <c r="E3" s="19">
        <v>15.0</v>
      </c>
      <c r="F3" s="19">
        <v>15.0</v>
      </c>
      <c r="G3" s="19">
        <v>14.0</v>
      </c>
      <c r="H3" s="19">
        <v>19.7</v>
      </c>
    </row>
    <row r="4">
      <c r="A4" s="17">
        <v>3.0</v>
      </c>
      <c r="B4" s="18" t="s">
        <v>372</v>
      </c>
      <c r="C4" s="19">
        <v>15.1</v>
      </c>
      <c r="D4" s="19">
        <v>17.0</v>
      </c>
      <c r="E4" s="19">
        <v>10.0</v>
      </c>
      <c r="F4" s="19">
        <v>18.0</v>
      </c>
      <c r="G4" s="19">
        <v>13.0</v>
      </c>
      <c r="H4" s="19">
        <v>24.3</v>
      </c>
    </row>
    <row r="5">
      <c r="A5" s="17">
        <v>4.0</v>
      </c>
      <c r="B5" s="18" t="s">
        <v>373</v>
      </c>
      <c r="C5" s="19">
        <v>16.8</v>
      </c>
      <c r="D5" s="19">
        <v>14.7</v>
      </c>
      <c r="E5" s="19">
        <v>16.0</v>
      </c>
      <c r="F5" s="19">
        <v>15.0</v>
      </c>
      <c r="G5" s="19">
        <v>18.7</v>
      </c>
      <c r="H5" s="19">
        <v>22.3</v>
      </c>
    </row>
    <row r="6">
      <c r="A6" s="17">
        <v>5.0</v>
      </c>
      <c r="B6" s="18" t="s">
        <v>374</v>
      </c>
      <c r="C6" s="19">
        <v>17.2</v>
      </c>
      <c r="D6" s="19">
        <v>13.7</v>
      </c>
      <c r="E6" s="19">
        <v>18.0</v>
      </c>
      <c r="F6" s="19">
        <v>19.3</v>
      </c>
      <c r="G6" s="19">
        <v>15.0</v>
      </c>
      <c r="H6" s="19">
        <v>17.0</v>
      </c>
    </row>
    <row r="7">
      <c r="A7" s="17">
        <v>6.0</v>
      </c>
      <c r="B7" s="18" t="s">
        <v>375</v>
      </c>
      <c r="C7" s="19">
        <v>19.2</v>
      </c>
      <c r="D7" s="19">
        <v>17.3</v>
      </c>
      <c r="E7" s="19">
        <v>3.0</v>
      </c>
      <c r="F7" s="19">
        <v>19.0</v>
      </c>
      <c r="G7" s="19">
        <v>19.3</v>
      </c>
      <c r="H7" s="19">
        <v>25.6</v>
      </c>
    </row>
    <row r="8">
      <c r="A8" s="17">
        <v>7.0</v>
      </c>
      <c r="B8" s="18" t="s">
        <v>376</v>
      </c>
      <c r="C8" s="19">
        <v>19.4</v>
      </c>
      <c r="D8" s="19">
        <v>17.7</v>
      </c>
      <c r="E8" s="19">
        <v>10.0</v>
      </c>
      <c r="F8" s="19">
        <v>16.0</v>
      </c>
      <c r="G8" s="19">
        <v>22.0</v>
      </c>
      <c r="H8" s="19">
        <v>18.7</v>
      </c>
    </row>
    <row r="9">
      <c r="A9" s="17">
        <v>8.0</v>
      </c>
      <c r="B9" s="18" t="s">
        <v>377</v>
      </c>
      <c r="C9" s="19">
        <v>19.6</v>
      </c>
      <c r="D9" s="19">
        <v>26.0</v>
      </c>
      <c r="E9" s="19">
        <v>30.0</v>
      </c>
      <c r="F9" s="19">
        <v>18.3</v>
      </c>
      <c r="G9" s="19">
        <v>20.5</v>
      </c>
      <c r="H9" s="19">
        <v>21.3</v>
      </c>
    </row>
    <row r="10">
      <c r="A10" s="17">
        <v>9.0</v>
      </c>
      <c r="B10" s="18" t="s">
        <v>378</v>
      </c>
      <c r="C10" s="19">
        <v>20.0</v>
      </c>
      <c r="D10" s="19">
        <v>22.3</v>
      </c>
      <c r="E10" s="19">
        <v>29.0</v>
      </c>
      <c r="F10" s="19">
        <v>23.0</v>
      </c>
      <c r="G10" s="19">
        <v>17.0</v>
      </c>
      <c r="H10" s="19">
        <v>23.8</v>
      </c>
    </row>
    <row r="11">
      <c r="A11" s="17">
        <v>10.0</v>
      </c>
      <c r="B11" s="18" t="s">
        <v>379</v>
      </c>
      <c r="C11" s="19">
        <v>20.4</v>
      </c>
      <c r="D11" s="19">
        <v>18.0</v>
      </c>
      <c r="E11" s="19">
        <v>22.0</v>
      </c>
      <c r="F11" s="19">
        <v>19.0</v>
      </c>
      <c r="G11" s="19">
        <v>22.3</v>
      </c>
      <c r="H11" s="19">
        <v>21.4</v>
      </c>
    </row>
    <row r="12">
      <c r="A12" s="17">
        <v>11.0</v>
      </c>
      <c r="B12" s="18" t="s">
        <v>380</v>
      </c>
      <c r="C12" s="19">
        <v>20.7</v>
      </c>
      <c r="D12" s="19">
        <v>27.7</v>
      </c>
      <c r="E12" s="19">
        <v>37.0</v>
      </c>
      <c r="F12" s="19">
        <v>12.0</v>
      </c>
      <c r="G12" s="19">
        <v>27.3</v>
      </c>
      <c r="H12" s="19">
        <v>20.9</v>
      </c>
    </row>
    <row r="13">
      <c r="A13" s="17">
        <v>12.0</v>
      </c>
      <c r="B13" s="18" t="s">
        <v>381</v>
      </c>
      <c r="C13" s="19">
        <v>21.3</v>
      </c>
      <c r="D13" s="19">
        <v>21.3</v>
      </c>
      <c r="E13" s="19">
        <v>10.0</v>
      </c>
      <c r="F13" s="19">
        <v>19.8</v>
      </c>
      <c r="G13" s="19">
        <v>23.3</v>
      </c>
      <c r="H13" s="19">
        <v>24.4</v>
      </c>
    </row>
    <row r="14">
      <c r="A14" s="17">
        <v>12.0</v>
      </c>
      <c r="B14" s="18" t="s">
        <v>382</v>
      </c>
      <c r="C14" s="19">
        <v>21.3</v>
      </c>
      <c r="D14" s="19">
        <v>21.7</v>
      </c>
      <c r="E14" s="19">
        <v>28.0</v>
      </c>
      <c r="F14" s="19">
        <v>23.3</v>
      </c>
      <c r="G14" s="19">
        <v>18.7</v>
      </c>
      <c r="H14" s="19">
        <v>23.9</v>
      </c>
    </row>
    <row r="15">
      <c r="A15" s="17">
        <v>14.0</v>
      </c>
      <c r="B15" s="18" t="s">
        <v>383</v>
      </c>
      <c r="C15" s="19">
        <v>21.5</v>
      </c>
      <c r="D15" s="19">
        <v>19.0</v>
      </c>
      <c r="E15" s="19">
        <v>16.0</v>
      </c>
      <c r="F15" s="19">
        <v>26.3</v>
      </c>
      <c r="G15" s="19">
        <v>16.7</v>
      </c>
      <c r="H15" s="19">
        <v>23.2</v>
      </c>
    </row>
    <row r="16">
      <c r="A16" s="17">
        <v>15.0</v>
      </c>
      <c r="B16" s="18" t="s">
        <v>384</v>
      </c>
      <c r="C16" s="19">
        <v>21.7</v>
      </c>
      <c r="D16" s="19">
        <v>16.7</v>
      </c>
      <c r="E16" s="19">
        <v>7.0</v>
      </c>
      <c r="F16" s="19">
        <v>12.7</v>
      </c>
      <c r="G16" s="19">
        <v>28.5</v>
      </c>
      <c r="H16" s="19">
        <v>30.5</v>
      </c>
    </row>
    <row r="17">
      <c r="A17" s="17">
        <v>16.0</v>
      </c>
      <c r="B17" s="18" t="s">
        <v>385</v>
      </c>
      <c r="C17" s="19">
        <v>22.6</v>
      </c>
      <c r="D17" s="19">
        <v>25.3</v>
      </c>
      <c r="E17" s="19">
        <v>28.0</v>
      </c>
      <c r="F17" s="19">
        <v>21.0</v>
      </c>
      <c r="G17" s="19">
        <v>24.7</v>
      </c>
      <c r="H17" s="19">
        <v>18.8</v>
      </c>
    </row>
    <row r="18">
      <c r="A18" s="17">
        <v>17.0</v>
      </c>
      <c r="B18" s="18" t="s">
        <v>386</v>
      </c>
      <c r="C18" s="19">
        <v>22.7</v>
      </c>
      <c r="D18" s="19">
        <v>21.7</v>
      </c>
      <c r="E18" s="19">
        <v>24.0</v>
      </c>
      <c r="F18" s="19">
        <v>17.7</v>
      </c>
      <c r="G18" s="19">
        <v>26.5</v>
      </c>
      <c r="H18" s="19">
        <v>21.1</v>
      </c>
    </row>
    <row r="19">
      <c r="A19" s="17">
        <v>18.0</v>
      </c>
      <c r="B19" s="18" t="s">
        <v>387</v>
      </c>
      <c r="C19" s="19">
        <v>23.1</v>
      </c>
      <c r="D19" s="19">
        <v>25.0</v>
      </c>
      <c r="E19" s="19">
        <v>21.0</v>
      </c>
      <c r="F19" s="19">
        <v>25.0</v>
      </c>
      <c r="G19" s="19">
        <v>21.8</v>
      </c>
      <c r="H19" s="19">
        <v>22.6</v>
      </c>
    </row>
    <row r="20">
      <c r="A20" s="17">
        <v>19.0</v>
      </c>
      <c r="B20" s="18" t="s">
        <v>388</v>
      </c>
      <c r="C20" s="19">
        <v>23.4</v>
      </c>
      <c r="D20" s="19">
        <v>26.3</v>
      </c>
      <c r="E20" s="19">
        <v>14.0</v>
      </c>
      <c r="F20" s="19">
        <v>22.0</v>
      </c>
      <c r="G20" s="19">
        <v>25.3</v>
      </c>
      <c r="H20" s="19">
        <v>23.6</v>
      </c>
    </row>
    <row r="21">
      <c r="A21" s="17">
        <v>20.0</v>
      </c>
      <c r="B21" s="18" t="s">
        <v>389</v>
      </c>
      <c r="C21" s="19">
        <v>23.7</v>
      </c>
      <c r="D21" s="19">
        <v>20.7</v>
      </c>
      <c r="E21" s="19">
        <v>14.0</v>
      </c>
      <c r="F21" s="19">
        <v>31.7</v>
      </c>
      <c r="G21" s="19">
        <v>17.8</v>
      </c>
      <c r="H21" s="19">
        <v>22.6</v>
      </c>
    </row>
    <row r="22">
      <c r="A22" s="17">
        <v>21.0</v>
      </c>
      <c r="B22" s="18" t="s">
        <v>390</v>
      </c>
      <c r="C22" s="19">
        <v>24.0</v>
      </c>
      <c r="D22" s="19">
        <v>22.0</v>
      </c>
      <c r="E22" s="19">
        <v>34.0</v>
      </c>
      <c r="F22" s="19">
        <v>24.7</v>
      </c>
      <c r="G22" s="19">
        <v>23.3</v>
      </c>
      <c r="H22" s="19">
        <v>21.6</v>
      </c>
    </row>
    <row r="23">
      <c r="A23" s="17">
        <v>22.0</v>
      </c>
      <c r="B23" s="18" t="s">
        <v>391</v>
      </c>
      <c r="C23" s="19">
        <v>24.1</v>
      </c>
      <c r="D23" s="19">
        <v>28.0</v>
      </c>
      <c r="E23" s="19">
        <v>34.0</v>
      </c>
      <c r="F23" s="19">
        <v>25.6</v>
      </c>
      <c r="G23" s="19">
        <v>20.5</v>
      </c>
      <c r="H23" s="19">
        <v>21.9</v>
      </c>
    </row>
    <row r="24">
      <c r="A24" s="17">
        <v>23.0</v>
      </c>
      <c r="B24" s="18" t="s">
        <v>392</v>
      </c>
      <c r="C24" s="19">
        <v>24.9</v>
      </c>
      <c r="D24" s="19">
        <v>19.7</v>
      </c>
      <c r="E24" s="19">
        <v>20.0</v>
      </c>
      <c r="F24" s="19">
        <v>20.8</v>
      </c>
      <c r="G24" s="19">
        <v>30.3</v>
      </c>
      <c r="H24" s="19">
        <v>22.3</v>
      </c>
    </row>
    <row r="25">
      <c r="A25" s="17">
        <v>24.0</v>
      </c>
      <c r="B25" s="18" t="s">
        <v>393</v>
      </c>
      <c r="C25" s="19">
        <v>25.0</v>
      </c>
      <c r="D25" s="19">
        <v>29.3</v>
      </c>
      <c r="E25" s="19">
        <v>32.0</v>
      </c>
      <c r="F25" s="19">
        <v>26.3</v>
      </c>
      <c r="G25" s="19">
        <v>24.0</v>
      </c>
      <c r="H25" s="19">
        <v>21.5</v>
      </c>
    </row>
    <row r="26">
      <c r="A26" s="17">
        <v>25.0</v>
      </c>
      <c r="B26" s="18" t="s">
        <v>394</v>
      </c>
      <c r="C26" s="19">
        <v>25.4</v>
      </c>
      <c r="D26" s="19">
        <v>24.0</v>
      </c>
      <c r="E26" s="19">
        <v>15.0</v>
      </c>
      <c r="F26" s="19">
        <v>21.8</v>
      </c>
      <c r="G26" s="19">
        <v>30.3</v>
      </c>
      <c r="H26" s="19">
        <v>26.8</v>
      </c>
    </row>
    <row r="27">
      <c r="A27" s="17">
        <v>26.0</v>
      </c>
      <c r="B27" s="18" t="s">
        <v>395</v>
      </c>
      <c r="C27" s="19">
        <v>25.7</v>
      </c>
      <c r="D27" s="19">
        <v>36.7</v>
      </c>
      <c r="E27" s="19">
        <v>33.0</v>
      </c>
      <c r="F27" s="19">
        <v>27.3</v>
      </c>
      <c r="G27" s="19">
        <v>23.7</v>
      </c>
      <c r="H27" s="19">
        <v>19.2</v>
      </c>
    </row>
    <row r="28">
      <c r="A28" s="17">
        <v>26.0</v>
      </c>
      <c r="B28" s="18" t="s">
        <v>396</v>
      </c>
      <c r="C28" s="19">
        <v>25.7</v>
      </c>
      <c r="D28" s="19">
        <v>30.7</v>
      </c>
      <c r="E28" s="19">
        <v>31.0</v>
      </c>
      <c r="F28" s="19">
        <v>19.7</v>
      </c>
      <c r="G28" s="19">
        <v>30.3</v>
      </c>
      <c r="H28" s="19">
        <v>16.2</v>
      </c>
    </row>
    <row r="29">
      <c r="A29" s="17">
        <v>28.0</v>
      </c>
      <c r="B29" s="18" t="s">
        <v>397</v>
      </c>
      <c r="C29" s="19">
        <v>26.0</v>
      </c>
      <c r="D29" s="19">
        <v>34.7</v>
      </c>
      <c r="E29" s="19">
        <v>41.0</v>
      </c>
      <c r="F29" s="19">
        <v>25.8</v>
      </c>
      <c r="G29" s="19">
        <v>26.3</v>
      </c>
      <c r="H29" s="19">
        <v>19.2</v>
      </c>
    </row>
    <row r="30">
      <c r="A30" s="17">
        <v>29.0</v>
      </c>
      <c r="B30" s="18" t="s">
        <v>398</v>
      </c>
      <c r="C30" s="19">
        <v>26.1</v>
      </c>
      <c r="D30" s="19">
        <v>28.7</v>
      </c>
      <c r="E30" s="19">
        <v>20.0</v>
      </c>
      <c r="F30" s="19">
        <v>28.0</v>
      </c>
      <c r="G30" s="19">
        <v>24.8</v>
      </c>
      <c r="H30" s="19">
        <v>19.5</v>
      </c>
    </row>
    <row r="31">
      <c r="A31" s="17">
        <v>30.0</v>
      </c>
      <c r="B31" s="18" t="s">
        <v>399</v>
      </c>
      <c r="C31" s="19">
        <v>27.7</v>
      </c>
      <c r="D31" s="19">
        <v>28.3</v>
      </c>
      <c r="E31" s="19">
        <v>16.0</v>
      </c>
      <c r="F31" s="19">
        <v>26.0</v>
      </c>
      <c r="G31" s="19">
        <v>28.4</v>
      </c>
      <c r="H31" s="19">
        <v>21.8</v>
      </c>
    </row>
    <row r="32">
      <c r="A32" s="17">
        <v>31.0</v>
      </c>
      <c r="B32" s="18" t="s">
        <v>400</v>
      </c>
      <c r="C32" s="19">
        <v>28.0</v>
      </c>
      <c r="D32" s="19">
        <v>26.3</v>
      </c>
      <c r="E32" s="19">
        <v>47.0</v>
      </c>
      <c r="F32" s="19">
        <v>39.7</v>
      </c>
      <c r="G32" s="19">
        <v>16.3</v>
      </c>
      <c r="H32" s="19">
        <v>20.2</v>
      </c>
    </row>
    <row r="33">
      <c r="A33" s="17">
        <v>32.0</v>
      </c>
      <c r="B33" s="18" t="s">
        <v>401</v>
      </c>
      <c r="C33" s="19">
        <v>34.7</v>
      </c>
      <c r="D33" s="19">
        <v>38.0</v>
      </c>
      <c r="E33" s="19">
        <v>40.0</v>
      </c>
      <c r="F33" s="19">
        <v>32.7</v>
      </c>
      <c r="G33" s="19">
        <v>36.3</v>
      </c>
      <c r="H33" s="19">
        <v>24.5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</hyperlinks>
  <drawing r:id="rId3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">
        <v>109</v>
      </c>
      <c r="B1" s="14" t="s">
        <v>88</v>
      </c>
      <c r="C1" s="15">
        <v>2024.0</v>
      </c>
      <c r="D1" s="16" t="s">
        <v>110</v>
      </c>
      <c r="E1" s="16" t="s">
        <v>111</v>
      </c>
      <c r="F1" s="15" t="s">
        <v>112</v>
      </c>
      <c r="G1" s="15" t="s">
        <v>113</v>
      </c>
      <c r="H1" s="15">
        <v>2023.0</v>
      </c>
    </row>
    <row r="2">
      <c r="A2" s="17">
        <v>1.0</v>
      </c>
      <c r="B2" s="18" t="s">
        <v>402</v>
      </c>
      <c r="C2" s="19">
        <v>31.1</v>
      </c>
      <c r="D2" s="19">
        <v>37.3</v>
      </c>
      <c r="E2" s="19">
        <v>41.0</v>
      </c>
      <c r="F2" s="19">
        <v>29.3</v>
      </c>
      <c r="G2" s="19">
        <v>32.5</v>
      </c>
      <c r="H2" s="19">
        <v>27.7</v>
      </c>
    </row>
    <row r="3">
      <c r="A3" s="17">
        <v>1.0</v>
      </c>
      <c r="B3" s="18" t="s">
        <v>403</v>
      </c>
      <c r="C3" s="19">
        <v>31.1</v>
      </c>
      <c r="D3" s="19">
        <v>32.3</v>
      </c>
      <c r="E3" s="19">
        <v>40.0</v>
      </c>
      <c r="F3" s="19">
        <v>31.7</v>
      </c>
      <c r="G3" s="19">
        <v>30.8</v>
      </c>
      <c r="H3" s="19">
        <v>19.4</v>
      </c>
    </row>
    <row r="4">
      <c r="A4" s="17">
        <v>3.0</v>
      </c>
      <c r="B4" s="18" t="s">
        <v>404</v>
      </c>
      <c r="C4" s="19">
        <v>30.3</v>
      </c>
      <c r="D4" s="19">
        <v>40.0</v>
      </c>
      <c r="E4" s="19">
        <v>31.0</v>
      </c>
      <c r="F4" s="19">
        <v>28.0</v>
      </c>
      <c r="G4" s="19">
        <v>32.7</v>
      </c>
      <c r="H4" s="19">
        <v>27.4</v>
      </c>
    </row>
    <row r="5">
      <c r="A5" s="17">
        <v>4.0</v>
      </c>
      <c r="B5" s="18" t="s">
        <v>405</v>
      </c>
      <c r="C5" s="19">
        <v>29.9</v>
      </c>
      <c r="D5" s="19">
        <v>37.3</v>
      </c>
      <c r="E5" s="19">
        <v>31.0</v>
      </c>
      <c r="F5" s="19">
        <v>27.0</v>
      </c>
      <c r="G5" s="19">
        <v>33.7</v>
      </c>
      <c r="H5" s="19">
        <v>21.2</v>
      </c>
    </row>
    <row r="6">
      <c r="A6" s="17">
        <v>5.0</v>
      </c>
      <c r="B6" s="18" t="s">
        <v>406</v>
      </c>
      <c r="C6" s="19">
        <v>28.4</v>
      </c>
      <c r="D6" s="19">
        <v>25.7</v>
      </c>
      <c r="E6" s="19">
        <v>34.0</v>
      </c>
      <c r="F6" s="19">
        <v>38.3</v>
      </c>
      <c r="G6" s="19">
        <v>21.0</v>
      </c>
      <c r="H6" s="19">
        <v>26.6</v>
      </c>
    </row>
    <row r="7">
      <c r="A7" s="17">
        <v>6.0</v>
      </c>
      <c r="B7" s="18" t="s">
        <v>407</v>
      </c>
      <c r="C7" s="19">
        <v>26.9</v>
      </c>
      <c r="D7" s="19">
        <v>24.0</v>
      </c>
      <c r="E7" s="19">
        <v>20.0</v>
      </c>
      <c r="F7" s="19">
        <v>28.7</v>
      </c>
      <c r="G7" s="19">
        <v>25.5</v>
      </c>
      <c r="H7" s="19">
        <v>20.2</v>
      </c>
    </row>
    <row r="8">
      <c r="A8" s="17">
        <v>7.0</v>
      </c>
      <c r="B8" s="18" t="s">
        <v>408</v>
      </c>
      <c r="C8" s="19">
        <v>26.6</v>
      </c>
      <c r="D8" s="19">
        <v>27.3</v>
      </c>
      <c r="E8" s="19">
        <v>24.0</v>
      </c>
      <c r="F8" s="19">
        <v>25.8</v>
      </c>
      <c r="G8" s="19">
        <v>27.7</v>
      </c>
      <c r="H8" s="19">
        <v>23.8</v>
      </c>
    </row>
    <row r="9">
      <c r="A9" s="17">
        <v>8.0</v>
      </c>
      <c r="B9" s="18" t="s">
        <v>409</v>
      </c>
      <c r="C9" s="19">
        <v>25.7</v>
      </c>
      <c r="D9" s="19">
        <v>26.0</v>
      </c>
      <c r="E9" s="19">
        <v>34.0</v>
      </c>
      <c r="F9" s="19">
        <v>23.5</v>
      </c>
      <c r="G9" s="19">
        <v>28.7</v>
      </c>
      <c r="H9" s="19">
        <v>21.4</v>
      </c>
    </row>
    <row r="10">
      <c r="A10" s="17">
        <v>8.0</v>
      </c>
      <c r="B10" s="18" t="s">
        <v>410</v>
      </c>
      <c r="C10" s="19">
        <v>25.7</v>
      </c>
      <c r="D10" s="19">
        <v>25.7</v>
      </c>
      <c r="E10" s="19">
        <v>18.0</v>
      </c>
      <c r="F10" s="19">
        <v>25.8</v>
      </c>
      <c r="G10" s="19">
        <v>25.7</v>
      </c>
      <c r="H10" s="19">
        <v>28.6</v>
      </c>
    </row>
    <row r="11">
      <c r="A11" s="17">
        <v>10.0</v>
      </c>
      <c r="B11" s="18" t="s">
        <v>411</v>
      </c>
      <c r="C11" s="19">
        <v>25.4</v>
      </c>
      <c r="D11" s="19">
        <v>25.3</v>
      </c>
      <c r="E11" s="19">
        <v>21.0</v>
      </c>
      <c r="F11" s="19">
        <v>27.0</v>
      </c>
      <c r="G11" s="19">
        <v>24.3</v>
      </c>
      <c r="H11" s="19">
        <v>21.5</v>
      </c>
    </row>
    <row r="12">
      <c r="A12" s="17">
        <v>11.0</v>
      </c>
      <c r="B12" s="18" t="s">
        <v>412</v>
      </c>
      <c r="C12" s="19">
        <v>25.3</v>
      </c>
      <c r="D12" s="19">
        <v>16.7</v>
      </c>
      <c r="E12" s="19">
        <v>10.0</v>
      </c>
      <c r="F12" s="19">
        <v>24.0</v>
      </c>
      <c r="G12" s="19">
        <v>27.0</v>
      </c>
      <c r="H12" s="19">
        <v>23.6</v>
      </c>
    </row>
    <row r="13">
      <c r="A13" s="17">
        <v>12.0</v>
      </c>
      <c r="B13" s="18" t="s">
        <v>413</v>
      </c>
      <c r="C13" s="19">
        <v>24.7</v>
      </c>
      <c r="D13" s="19">
        <v>31.7</v>
      </c>
      <c r="E13" s="19">
        <v>35.0</v>
      </c>
      <c r="F13" s="19">
        <v>28.0</v>
      </c>
      <c r="G13" s="19">
        <v>21.3</v>
      </c>
      <c r="H13" s="19">
        <v>21.2</v>
      </c>
    </row>
    <row r="14">
      <c r="A14" s="17">
        <v>13.0</v>
      </c>
      <c r="B14" s="18" t="s">
        <v>414</v>
      </c>
      <c r="C14" s="19">
        <v>24.3</v>
      </c>
      <c r="D14" s="19">
        <v>23.7</v>
      </c>
      <c r="E14" s="19">
        <v>28.0</v>
      </c>
      <c r="F14" s="19">
        <v>26.3</v>
      </c>
      <c r="G14" s="19">
        <v>22.3</v>
      </c>
      <c r="H14" s="19">
        <v>22.2</v>
      </c>
    </row>
    <row r="15">
      <c r="A15" s="17">
        <v>14.0</v>
      </c>
      <c r="B15" s="18" t="s">
        <v>415</v>
      </c>
      <c r="C15" s="19">
        <v>23.6</v>
      </c>
      <c r="D15" s="19">
        <v>28.7</v>
      </c>
      <c r="E15" s="19">
        <v>22.0</v>
      </c>
      <c r="F15" s="19">
        <v>22.0</v>
      </c>
      <c r="G15" s="19">
        <v>24.8</v>
      </c>
      <c r="H15" s="19">
        <v>22.7</v>
      </c>
    </row>
    <row r="16">
      <c r="A16" s="17">
        <v>15.0</v>
      </c>
      <c r="B16" s="18" t="s">
        <v>416</v>
      </c>
      <c r="C16" s="19">
        <v>23.3</v>
      </c>
      <c r="D16" s="19">
        <v>29.3</v>
      </c>
      <c r="E16" s="19">
        <v>14.0</v>
      </c>
      <c r="F16" s="19">
        <v>20.6</v>
      </c>
      <c r="G16" s="19">
        <v>30.0</v>
      </c>
      <c r="H16" s="19">
        <v>18.9</v>
      </c>
    </row>
    <row r="17">
      <c r="A17" s="17">
        <v>16.0</v>
      </c>
      <c r="B17" s="18" t="s">
        <v>417</v>
      </c>
      <c r="C17" s="19">
        <v>23.0</v>
      </c>
      <c r="D17" s="19">
        <v>28.7</v>
      </c>
      <c r="E17" s="19">
        <v>37.0</v>
      </c>
      <c r="F17" s="19">
        <v>24.7</v>
      </c>
      <c r="G17" s="19">
        <v>21.8</v>
      </c>
      <c r="H17" s="19">
        <v>17.8</v>
      </c>
    </row>
    <row r="18">
      <c r="A18" s="17">
        <v>17.0</v>
      </c>
      <c r="B18" s="18" t="s">
        <v>418</v>
      </c>
      <c r="C18" s="19">
        <v>22.3</v>
      </c>
      <c r="D18" s="19">
        <v>21.3</v>
      </c>
      <c r="E18" s="19">
        <v>28.0</v>
      </c>
      <c r="F18" s="19">
        <v>20.5</v>
      </c>
      <c r="G18" s="19">
        <v>23.3</v>
      </c>
      <c r="H18" s="19">
        <v>24.6</v>
      </c>
    </row>
    <row r="19">
      <c r="A19" s="17">
        <v>18.0</v>
      </c>
      <c r="B19" s="18" t="s">
        <v>419</v>
      </c>
      <c r="C19" s="19">
        <v>22.1</v>
      </c>
      <c r="D19" s="19">
        <v>23.3</v>
      </c>
      <c r="E19" s="19">
        <v>16.0</v>
      </c>
      <c r="F19" s="19">
        <v>22.8</v>
      </c>
      <c r="G19" s="19">
        <v>21.3</v>
      </c>
      <c r="H19" s="19">
        <v>23.3</v>
      </c>
    </row>
    <row r="20">
      <c r="A20" s="17">
        <v>19.0</v>
      </c>
      <c r="B20" s="18" t="s">
        <v>420</v>
      </c>
      <c r="C20" s="19">
        <v>21.4</v>
      </c>
      <c r="D20" s="19">
        <v>18.0</v>
      </c>
      <c r="E20" s="19">
        <v>17.0</v>
      </c>
      <c r="F20" s="19">
        <v>21.3</v>
      </c>
      <c r="G20" s="19">
        <v>21.7</v>
      </c>
      <c r="H20" s="19">
        <v>19.4</v>
      </c>
    </row>
    <row r="21">
      <c r="A21" s="17">
        <v>20.0</v>
      </c>
      <c r="B21" s="18" t="s">
        <v>421</v>
      </c>
      <c r="C21" s="19">
        <v>21.0</v>
      </c>
      <c r="D21" s="19">
        <v>16.3</v>
      </c>
      <c r="E21" s="19">
        <v>9.0</v>
      </c>
      <c r="F21" s="19">
        <v>17.7</v>
      </c>
      <c r="G21" s="19">
        <v>24.3</v>
      </c>
      <c r="H21" s="19">
        <v>30.1</v>
      </c>
    </row>
    <row r="22">
      <c r="A22" s="17">
        <v>21.0</v>
      </c>
      <c r="B22" s="18" t="s">
        <v>422</v>
      </c>
      <c r="C22" s="19">
        <v>20.7</v>
      </c>
      <c r="D22" s="19">
        <v>27.7</v>
      </c>
      <c r="E22" s="19">
        <v>33.0</v>
      </c>
      <c r="F22" s="19">
        <v>18.7</v>
      </c>
      <c r="G22" s="19">
        <v>22.3</v>
      </c>
      <c r="H22" s="19">
        <v>21.0</v>
      </c>
    </row>
    <row r="23">
      <c r="A23" s="17">
        <v>21.0</v>
      </c>
      <c r="B23" s="18" t="s">
        <v>423</v>
      </c>
      <c r="C23" s="19">
        <v>20.7</v>
      </c>
      <c r="D23" s="19">
        <v>28.3</v>
      </c>
      <c r="E23" s="19">
        <v>32.0</v>
      </c>
      <c r="F23" s="19">
        <v>25.0</v>
      </c>
      <c r="G23" s="19">
        <v>19.0</v>
      </c>
      <c r="H23" s="19">
        <v>22.2</v>
      </c>
    </row>
    <row r="24">
      <c r="A24" s="17">
        <v>23.0</v>
      </c>
      <c r="B24" s="18" t="s">
        <v>424</v>
      </c>
      <c r="C24" s="19">
        <v>20.6</v>
      </c>
      <c r="D24" s="19">
        <v>23.0</v>
      </c>
      <c r="E24" s="19">
        <v>30.0</v>
      </c>
      <c r="F24" s="19">
        <v>24.0</v>
      </c>
      <c r="G24" s="19">
        <v>16.0</v>
      </c>
      <c r="H24" s="19">
        <v>23.7</v>
      </c>
    </row>
    <row r="25">
      <c r="A25" s="17">
        <v>24.0</v>
      </c>
      <c r="B25" s="18" t="s">
        <v>425</v>
      </c>
      <c r="C25" s="19">
        <v>18.3</v>
      </c>
      <c r="D25" s="19">
        <v>17.3</v>
      </c>
      <c r="E25" s="19">
        <v>15.0</v>
      </c>
      <c r="F25" s="19">
        <v>17.7</v>
      </c>
      <c r="G25" s="19">
        <v>18.8</v>
      </c>
      <c r="H25" s="19">
        <v>15.8</v>
      </c>
    </row>
    <row r="26">
      <c r="A26" s="17">
        <v>25.0</v>
      </c>
      <c r="B26" s="18" t="s">
        <v>426</v>
      </c>
      <c r="C26" s="19">
        <v>17.7</v>
      </c>
      <c r="D26" s="19">
        <v>15.3</v>
      </c>
      <c r="E26" s="19">
        <v>15.0</v>
      </c>
      <c r="F26" s="19">
        <v>18.3</v>
      </c>
      <c r="G26" s="19">
        <v>17.3</v>
      </c>
      <c r="H26" s="19">
        <v>19.5</v>
      </c>
    </row>
    <row r="27">
      <c r="A27" s="17">
        <v>26.0</v>
      </c>
      <c r="B27" s="18" t="s">
        <v>427</v>
      </c>
      <c r="C27" s="19">
        <v>17.7</v>
      </c>
      <c r="D27" s="19">
        <v>16.0</v>
      </c>
      <c r="E27" s="19">
        <v>15.0</v>
      </c>
      <c r="F27" s="19">
        <v>16.0</v>
      </c>
      <c r="G27" s="19">
        <v>18.5</v>
      </c>
      <c r="H27" s="19">
        <v>20.4</v>
      </c>
    </row>
    <row r="28">
      <c r="A28" s="17">
        <v>26.0</v>
      </c>
      <c r="B28" s="18" t="s">
        <v>428</v>
      </c>
      <c r="C28" s="19">
        <v>17.7</v>
      </c>
      <c r="D28" s="19">
        <v>19.3</v>
      </c>
      <c r="E28" s="19">
        <v>10.0</v>
      </c>
      <c r="F28" s="19">
        <v>16.0</v>
      </c>
      <c r="G28" s="19">
        <v>19.3</v>
      </c>
      <c r="H28" s="19">
        <v>17.9</v>
      </c>
    </row>
    <row r="29">
      <c r="A29" s="17">
        <v>28.0</v>
      </c>
      <c r="B29" s="18" t="s">
        <v>429</v>
      </c>
      <c r="C29" s="19">
        <v>15.7</v>
      </c>
      <c r="D29" s="19">
        <v>12.3</v>
      </c>
      <c r="E29" s="19">
        <v>7.0</v>
      </c>
      <c r="F29" s="19">
        <v>15.7</v>
      </c>
      <c r="G29" s="19">
        <v>15.8</v>
      </c>
      <c r="H29" s="19">
        <v>13.9</v>
      </c>
    </row>
    <row r="30">
      <c r="A30" s="17">
        <v>29.0</v>
      </c>
      <c r="B30" s="18" t="s">
        <v>430</v>
      </c>
      <c r="C30" s="19">
        <v>15.6</v>
      </c>
      <c r="D30" s="19">
        <v>14.3</v>
      </c>
      <c r="E30" s="19">
        <v>14.0</v>
      </c>
      <c r="F30" s="19">
        <v>15.3</v>
      </c>
      <c r="G30" s="19">
        <v>15.8</v>
      </c>
      <c r="H30" s="19">
        <v>22.8</v>
      </c>
    </row>
    <row r="31">
      <c r="A31" s="17">
        <v>30.0</v>
      </c>
      <c r="B31" s="18" t="s">
        <v>431</v>
      </c>
      <c r="C31" s="19">
        <v>14.1</v>
      </c>
      <c r="D31" s="19">
        <v>15.7</v>
      </c>
      <c r="E31" s="19">
        <v>16.0</v>
      </c>
      <c r="F31" s="19">
        <v>17.0</v>
      </c>
      <c r="G31" s="19">
        <v>12.0</v>
      </c>
      <c r="H31" s="19">
        <v>13.9</v>
      </c>
    </row>
    <row r="32">
      <c r="A32" s="17">
        <v>30.0</v>
      </c>
      <c r="B32" s="18" t="s">
        <v>432</v>
      </c>
      <c r="C32" s="19">
        <v>14.1</v>
      </c>
      <c r="D32" s="19">
        <v>13.0</v>
      </c>
      <c r="E32" s="19">
        <v>3.0</v>
      </c>
      <c r="F32" s="19">
        <v>7.8</v>
      </c>
      <c r="G32" s="19">
        <v>22.7</v>
      </c>
      <c r="H32" s="19">
        <v>15.6</v>
      </c>
    </row>
    <row r="33">
      <c r="A33" s="17">
        <v>32.0</v>
      </c>
      <c r="B33" s="18" t="s">
        <v>433</v>
      </c>
      <c r="C33" s="19">
        <v>11.7</v>
      </c>
      <c r="D33" s="19">
        <v>12.3</v>
      </c>
      <c r="E33" s="19">
        <v>10.0</v>
      </c>
      <c r="F33" s="19">
        <v>14.0</v>
      </c>
      <c r="G33" s="19">
        <v>9.3</v>
      </c>
      <c r="H33" s="19">
        <v>27.9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</hyperlinks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">
        <v>1.0</v>
      </c>
      <c r="B1" s="6" t="s">
        <v>24</v>
      </c>
      <c r="C1" s="5">
        <v>1.0</v>
      </c>
      <c r="D1" s="6" t="s">
        <v>25</v>
      </c>
      <c r="E1" s="5">
        <v>1.0</v>
      </c>
    </row>
    <row r="2">
      <c r="A2" s="5">
        <v>2.0</v>
      </c>
      <c r="B2" s="6" t="s">
        <v>26</v>
      </c>
      <c r="C2" s="5">
        <v>2.0</v>
      </c>
      <c r="D2" s="6" t="s">
        <v>27</v>
      </c>
      <c r="E2" s="5">
        <v>2.0</v>
      </c>
    </row>
    <row r="3">
      <c r="A3" s="5">
        <v>3.0</v>
      </c>
      <c r="B3" s="6" t="s">
        <v>28</v>
      </c>
      <c r="C3" s="5">
        <v>3.0</v>
      </c>
      <c r="D3" s="6" t="s">
        <v>29</v>
      </c>
      <c r="E3" s="5">
        <v>3.0</v>
      </c>
    </row>
    <row r="4">
      <c r="A4" s="5">
        <v>4.0</v>
      </c>
      <c r="B4" s="6" t="s">
        <v>30</v>
      </c>
      <c r="C4" s="5">
        <v>4.0</v>
      </c>
      <c r="D4" s="6" t="s">
        <v>31</v>
      </c>
      <c r="E4" s="5">
        <v>4.0</v>
      </c>
    </row>
    <row r="5">
      <c r="A5" s="5">
        <v>5.0</v>
      </c>
      <c r="B5" s="6" t="s">
        <v>32</v>
      </c>
      <c r="C5" s="5">
        <v>5.0</v>
      </c>
      <c r="D5" s="6" t="s">
        <v>33</v>
      </c>
      <c r="E5" s="5">
        <v>5.0</v>
      </c>
    </row>
    <row r="6">
      <c r="A6" s="5">
        <v>6.0</v>
      </c>
      <c r="B6" s="6" t="s">
        <v>34</v>
      </c>
      <c r="C6" s="5">
        <v>6.0</v>
      </c>
      <c r="D6" s="6" t="s">
        <v>35</v>
      </c>
      <c r="E6" s="5">
        <v>6.0</v>
      </c>
    </row>
    <row r="7">
      <c r="A7" s="5">
        <v>7.0</v>
      </c>
      <c r="B7" s="6" t="s">
        <v>36</v>
      </c>
      <c r="C7" s="5">
        <v>7.0</v>
      </c>
      <c r="D7" s="6" t="s">
        <v>37</v>
      </c>
      <c r="E7" s="5">
        <v>7.0</v>
      </c>
    </row>
    <row r="8">
      <c r="A8" s="5">
        <v>8.0</v>
      </c>
      <c r="B8" s="6" t="s">
        <v>38</v>
      </c>
      <c r="C8" s="5">
        <v>8.0</v>
      </c>
      <c r="D8" s="6" t="s">
        <v>39</v>
      </c>
      <c r="E8" s="5">
        <v>8.0</v>
      </c>
    </row>
    <row r="9">
      <c r="A9" s="5">
        <v>9.0</v>
      </c>
      <c r="B9" s="6" t="s">
        <v>40</v>
      </c>
      <c r="C9" s="5">
        <v>9.0</v>
      </c>
      <c r="D9" s="6" t="s">
        <v>41</v>
      </c>
      <c r="E9" s="5">
        <v>9.0</v>
      </c>
    </row>
    <row r="10">
      <c r="A10" s="5">
        <v>10.0</v>
      </c>
      <c r="B10" s="6" t="s">
        <v>42</v>
      </c>
      <c r="C10" s="5">
        <v>10.0</v>
      </c>
      <c r="D10" s="6" t="s">
        <v>43</v>
      </c>
      <c r="E10" s="5">
        <v>10.0</v>
      </c>
    </row>
    <row r="11">
      <c r="A11" s="5">
        <v>11.0</v>
      </c>
      <c r="B11" s="6" t="s">
        <v>44</v>
      </c>
      <c r="C11" s="5">
        <v>11.0</v>
      </c>
      <c r="D11" s="6" t="s">
        <v>45</v>
      </c>
      <c r="E11" s="5">
        <v>11.0</v>
      </c>
    </row>
    <row r="12">
      <c r="A12" s="5">
        <v>12.0</v>
      </c>
      <c r="B12" s="6" t="s">
        <v>46</v>
      </c>
      <c r="C12" s="5">
        <v>12.0</v>
      </c>
      <c r="D12" s="6" t="s">
        <v>47</v>
      </c>
      <c r="E12" s="5">
        <v>12.0</v>
      </c>
    </row>
    <row r="13">
      <c r="A13" s="5">
        <v>13.0</v>
      </c>
      <c r="B13" s="6" t="s">
        <v>48</v>
      </c>
      <c r="C13" s="5">
        <v>13.0</v>
      </c>
      <c r="D13" s="6" t="s">
        <v>49</v>
      </c>
      <c r="E13" s="5">
        <v>13.0</v>
      </c>
    </row>
    <row r="14">
      <c r="A14" s="5">
        <v>14.0</v>
      </c>
      <c r="B14" s="6" t="s">
        <v>50</v>
      </c>
      <c r="C14" s="5">
        <v>14.0</v>
      </c>
      <c r="D14" s="6" t="s">
        <v>51</v>
      </c>
      <c r="E14" s="5">
        <v>14.0</v>
      </c>
    </row>
    <row r="15">
      <c r="A15" s="5">
        <v>15.0</v>
      </c>
      <c r="B15" s="6" t="s">
        <v>52</v>
      </c>
      <c r="C15" s="5">
        <v>15.0</v>
      </c>
      <c r="D15" s="6" t="s">
        <v>53</v>
      </c>
      <c r="E15" s="5">
        <v>15.0</v>
      </c>
    </row>
    <row r="16">
      <c r="A16" s="5">
        <v>16.0</v>
      </c>
      <c r="B16" s="6" t="s">
        <v>54</v>
      </c>
      <c r="C16" s="5">
        <v>16.0</v>
      </c>
      <c r="D16" s="6" t="s">
        <v>55</v>
      </c>
      <c r="E16" s="5">
        <v>16.0</v>
      </c>
    </row>
    <row r="17">
      <c r="A17" s="5">
        <v>17.0</v>
      </c>
      <c r="B17" s="6" t="s">
        <v>56</v>
      </c>
      <c r="C17" s="5">
        <v>17.0</v>
      </c>
      <c r="D17" s="6" t="s">
        <v>57</v>
      </c>
      <c r="E17" s="5">
        <v>17.0</v>
      </c>
    </row>
    <row r="18">
      <c r="A18" s="5">
        <v>18.0</v>
      </c>
      <c r="B18" s="6" t="s">
        <v>58</v>
      </c>
      <c r="C18" s="5">
        <v>18.0</v>
      </c>
      <c r="D18" s="6" t="s">
        <v>59</v>
      </c>
      <c r="E18" s="5">
        <v>18.0</v>
      </c>
    </row>
    <row r="19">
      <c r="A19" s="5">
        <v>19.0</v>
      </c>
      <c r="B19" s="6" t="s">
        <v>60</v>
      </c>
      <c r="C19" s="5">
        <v>19.0</v>
      </c>
      <c r="D19" s="6" t="s">
        <v>61</v>
      </c>
      <c r="E19" s="5">
        <v>19.0</v>
      </c>
    </row>
    <row r="20">
      <c r="A20" s="5">
        <v>20.0</v>
      </c>
      <c r="B20" s="6" t="s">
        <v>62</v>
      </c>
      <c r="C20" s="5">
        <v>20.0</v>
      </c>
      <c r="D20" s="6" t="s">
        <v>63</v>
      </c>
      <c r="E20" s="5">
        <v>20.0</v>
      </c>
    </row>
    <row r="21">
      <c r="A21" s="5">
        <v>21.0</v>
      </c>
      <c r="B21" s="6" t="s">
        <v>64</v>
      </c>
      <c r="C21" s="5">
        <v>21.0</v>
      </c>
      <c r="D21" s="6" t="s">
        <v>65</v>
      </c>
      <c r="E21" s="5">
        <v>21.0</v>
      </c>
    </row>
    <row r="22">
      <c r="A22" s="5">
        <v>22.0</v>
      </c>
      <c r="B22" s="6" t="s">
        <v>66</v>
      </c>
      <c r="C22" s="5">
        <v>22.0</v>
      </c>
      <c r="D22" s="6" t="s">
        <v>67</v>
      </c>
      <c r="E22" s="5">
        <v>22.0</v>
      </c>
    </row>
    <row r="23">
      <c r="A23" s="5">
        <v>23.0</v>
      </c>
      <c r="B23" s="6" t="s">
        <v>68</v>
      </c>
      <c r="C23" s="5">
        <v>23.0</v>
      </c>
      <c r="D23" s="6" t="s">
        <v>69</v>
      </c>
      <c r="E23" s="5">
        <v>23.0</v>
      </c>
    </row>
    <row r="24">
      <c r="A24" s="5">
        <v>24.0</v>
      </c>
      <c r="B24" s="6" t="s">
        <v>70</v>
      </c>
      <c r="C24" s="5">
        <v>24.0</v>
      </c>
      <c r="D24" s="6" t="s">
        <v>71</v>
      </c>
      <c r="E24" s="5">
        <v>24.0</v>
      </c>
    </row>
    <row r="25">
      <c r="A25" s="5">
        <v>25.0</v>
      </c>
      <c r="B25" s="6" t="s">
        <v>72</v>
      </c>
      <c r="C25" s="5">
        <v>25.0</v>
      </c>
      <c r="D25" s="6" t="s">
        <v>73</v>
      </c>
      <c r="E25" s="5">
        <v>25.0</v>
      </c>
    </row>
    <row r="26">
      <c r="A26" s="5">
        <v>26.0</v>
      </c>
      <c r="B26" s="6" t="s">
        <v>74</v>
      </c>
      <c r="C26" s="5">
        <v>26.0</v>
      </c>
      <c r="D26" s="6" t="s">
        <v>75</v>
      </c>
      <c r="E26" s="5">
        <v>26.0</v>
      </c>
    </row>
    <row r="27">
      <c r="A27" s="5">
        <v>27.0</v>
      </c>
      <c r="B27" s="6" t="s">
        <v>76</v>
      </c>
      <c r="C27" s="5">
        <v>27.0</v>
      </c>
      <c r="D27" s="6" t="s">
        <v>77</v>
      </c>
      <c r="E27" s="5">
        <v>27.0</v>
      </c>
    </row>
    <row r="28">
      <c r="A28" s="5">
        <v>28.0</v>
      </c>
      <c r="B28" s="6" t="s">
        <v>78</v>
      </c>
      <c r="C28" s="5">
        <v>28.0</v>
      </c>
      <c r="D28" s="6" t="s">
        <v>79</v>
      </c>
      <c r="E28" s="5">
        <v>28.0</v>
      </c>
    </row>
    <row r="29">
      <c r="A29" s="5">
        <v>29.0</v>
      </c>
      <c r="B29" s="6" t="s">
        <v>80</v>
      </c>
      <c r="C29" s="5">
        <v>29.0</v>
      </c>
      <c r="D29" s="6" t="s">
        <v>81</v>
      </c>
      <c r="E29" s="5">
        <v>29.0</v>
      </c>
    </row>
    <row r="30">
      <c r="A30" s="5">
        <v>30.0</v>
      </c>
      <c r="B30" s="6" t="s">
        <v>82</v>
      </c>
      <c r="C30" s="5">
        <v>30.0</v>
      </c>
      <c r="D30" s="6" t="s">
        <v>83</v>
      </c>
      <c r="E30" s="5">
        <v>30.0</v>
      </c>
    </row>
    <row r="31">
      <c r="A31" s="5">
        <v>31.0</v>
      </c>
      <c r="B31" s="6" t="s">
        <v>84</v>
      </c>
      <c r="C31" s="5">
        <v>31.0</v>
      </c>
      <c r="D31" s="6" t="s">
        <v>85</v>
      </c>
      <c r="E31" s="5">
        <v>31.0</v>
      </c>
    </row>
    <row r="32">
      <c r="A32" s="5">
        <v>32.0</v>
      </c>
      <c r="B32" s="6" t="s">
        <v>86</v>
      </c>
      <c r="C32" s="5">
        <v>32.0</v>
      </c>
      <c r="D32" s="6" t="s">
        <v>87</v>
      </c>
      <c r="E32" s="5">
        <v>32.0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tr">
        <f>IFERROR(__xludf.DUMMYFUNCTION("IMPORTRANGE(""https://docs.google.com/spreadsheets/d/13MAhBT9K2M70JP2OISI4aettE0FK27CjAGHAew7TsAE/edit?gid=917497601#gid=917497601"",""Sheet9!A1:L"")"),"game_id")</f>
        <v>game_id</v>
      </c>
      <c r="B1" s="2" t="str">
        <f>IFERROR(__xludf.DUMMYFUNCTION("""COMPUTED_VALUE"""),"commence_time")</f>
        <v>commence_time</v>
      </c>
      <c r="C1" s="2" t="str">
        <f>IFERROR(__xludf.DUMMYFUNCTION("""COMPUTED_VALUE"""),"in_play")</f>
        <v>in_play</v>
      </c>
      <c r="D1" s="2" t="str">
        <f>IFERROR(__xludf.DUMMYFUNCTION("""COMPUTED_VALUE"""),"bookmaker")</f>
        <v>bookmaker</v>
      </c>
      <c r="E1" s="2" t="str">
        <f>IFERROR(__xludf.DUMMYFUNCTION("""COMPUTED_VALUE"""),"last_update")</f>
        <v>last_update</v>
      </c>
      <c r="F1" s="2" t="str">
        <f>IFERROR(__xludf.DUMMYFUNCTION("""COMPUTED_VALUE"""),"home_team")</f>
        <v>home_team</v>
      </c>
      <c r="G1" s="2" t="str">
        <f>IFERROR(__xludf.DUMMYFUNCTION("""COMPUTED_VALUE"""),"away_team")</f>
        <v>away_team</v>
      </c>
      <c r="H1" s="2" t="str">
        <f>IFERROR(__xludf.DUMMYFUNCTION("""COMPUTED_VALUE"""),"market")</f>
        <v>market</v>
      </c>
      <c r="I1" s="2" t="str">
        <f>IFERROR(__xludf.DUMMYFUNCTION("""COMPUTED_VALUE"""),"label")</f>
        <v>label</v>
      </c>
      <c r="J1" s="2" t="str">
        <f>IFERROR(__xludf.DUMMYFUNCTION("""COMPUTED_VALUE"""),"description")</f>
        <v>description</v>
      </c>
      <c r="K1" s="2" t="str">
        <f>IFERROR(__xludf.DUMMYFUNCTION("""COMPUTED_VALUE"""),"price")</f>
        <v>price</v>
      </c>
      <c r="L1" s="2" t="str">
        <f>IFERROR(__xludf.DUMMYFUNCTION("""COMPUTED_VALUE"""),"point")</f>
        <v>point</v>
      </c>
    </row>
    <row r="2">
      <c r="A2" s="2" t="str">
        <f>IFERROR(__xludf.DUMMYFUNCTION("""COMPUTED_VALUE"""),"86278ec4bbdcadd945d79df6c695c2ec")</f>
        <v>86278ec4bbdcadd945d79df6c695c2ec</v>
      </c>
      <c r="B2" s="7">
        <f>IFERROR(__xludf.DUMMYFUNCTION("""COMPUTED_VALUE"""),45594.01041666667)</f>
        <v>45594.01042</v>
      </c>
      <c r="C2" s="2" t="b">
        <f>IFERROR(__xludf.DUMMYFUNCTION("""COMPUTED_VALUE"""),FALSE)</f>
        <v>0</v>
      </c>
      <c r="D2" s="2" t="str">
        <f>IFERROR(__xludf.DUMMYFUNCTION("""COMPUTED_VALUE"""),"DraftKings")</f>
        <v>DraftKings</v>
      </c>
      <c r="E2" s="7">
        <f>IFERROR(__xludf.DUMMYFUNCTION("""COMPUTED_VALUE"""),45593.91478009259)</f>
        <v>45593.91478</v>
      </c>
      <c r="F2" s="2" t="str">
        <f>IFERROR(__xludf.DUMMYFUNCTION("""COMPUTED_VALUE"""),"Pittsburgh Steelers")</f>
        <v>Pittsburgh Steelers</v>
      </c>
      <c r="G2" s="2" t="str">
        <f>IFERROR(__xludf.DUMMYFUNCTION("""COMPUTED_VALUE"""),"New York Giants")</f>
        <v>New York Giants</v>
      </c>
      <c r="H2" s="2" t="str">
        <f>IFERROR(__xludf.DUMMYFUNCTION("""COMPUTED_VALUE"""),"spreads")</f>
        <v>spreads</v>
      </c>
      <c r="I2" s="2" t="str">
        <f>IFERROR(__xludf.DUMMYFUNCTION("""COMPUTED_VALUE"""),"New York Giants")</f>
        <v>New York Giants</v>
      </c>
      <c r="J2" s="2"/>
      <c r="K2" s="2">
        <f>IFERROR(__xludf.DUMMYFUNCTION("""COMPUTED_VALUE"""),-105.0)</f>
        <v>-105</v>
      </c>
      <c r="L2" s="2">
        <f>IFERROR(__xludf.DUMMYFUNCTION("""COMPUTED_VALUE"""),6.0)</f>
        <v>6</v>
      </c>
    </row>
    <row r="3">
      <c r="A3" s="2" t="str">
        <f>IFERROR(__xludf.DUMMYFUNCTION("""COMPUTED_VALUE"""),"86278ec4bbdcadd945d79df6c695c2ec")</f>
        <v>86278ec4bbdcadd945d79df6c695c2ec</v>
      </c>
      <c r="B3" s="7">
        <f>IFERROR(__xludf.DUMMYFUNCTION("""COMPUTED_VALUE"""),45594.01041666667)</f>
        <v>45594.01042</v>
      </c>
      <c r="C3" s="2" t="b">
        <f>IFERROR(__xludf.DUMMYFUNCTION("""COMPUTED_VALUE"""),FALSE)</f>
        <v>0</v>
      </c>
      <c r="D3" s="2" t="str">
        <f>IFERROR(__xludf.DUMMYFUNCTION("""COMPUTED_VALUE"""),"DraftKings")</f>
        <v>DraftKings</v>
      </c>
      <c r="E3" s="7">
        <f>IFERROR(__xludf.DUMMYFUNCTION("""COMPUTED_VALUE"""),45593.91478009259)</f>
        <v>45593.91478</v>
      </c>
      <c r="F3" s="2" t="str">
        <f>IFERROR(__xludf.DUMMYFUNCTION("""COMPUTED_VALUE"""),"Pittsburgh Steelers")</f>
        <v>Pittsburgh Steelers</v>
      </c>
      <c r="G3" s="2" t="str">
        <f>IFERROR(__xludf.DUMMYFUNCTION("""COMPUTED_VALUE"""),"New York Giants")</f>
        <v>New York Giants</v>
      </c>
      <c r="H3" s="2" t="str">
        <f>IFERROR(__xludf.DUMMYFUNCTION("""COMPUTED_VALUE"""),"spreads")</f>
        <v>spreads</v>
      </c>
      <c r="I3" s="2" t="str">
        <f>IFERROR(__xludf.DUMMYFUNCTION("""COMPUTED_VALUE"""),"Pittsburgh Steelers")</f>
        <v>Pittsburgh Steelers</v>
      </c>
      <c r="J3" s="2"/>
      <c r="K3" s="2">
        <f>IFERROR(__xludf.DUMMYFUNCTION("""COMPUTED_VALUE"""),-115.0)</f>
        <v>-115</v>
      </c>
      <c r="L3" s="2">
        <f>IFERROR(__xludf.DUMMYFUNCTION("""COMPUTED_VALUE"""),-6.0)</f>
        <v>-6</v>
      </c>
    </row>
    <row r="4">
      <c r="A4" s="2" t="str">
        <f>IFERROR(__xludf.DUMMYFUNCTION("""COMPUTED_VALUE"""),"86278ec4bbdcadd945d79df6c695c2ec")</f>
        <v>86278ec4bbdcadd945d79df6c695c2ec</v>
      </c>
      <c r="B4" s="7">
        <f>IFERROR(__xludf.DUMMYFUNCTION("""COMPUTED_VALUE"""),45594.01041666667)</f>
        <v>45594.01042</v>
      </c>
      <c r="C4" s="2" t="b">
        <f>IFERROR(__xludf.DUMMYFUNCTION("""COMPUTED_VALUE"""),FALSE)</f>
        <v>0</v>
      </c>
      <c r="D4" s="2" t="str">
        <f>IFERROR(__xludf.DUMMYFUNCTION("""COMPUTED_VALUE"""),"BetUS")</f>
        <v>BetUS</v>
      </c>
      <c r="E4" s="7">
        <f>IFERROR(__xludf.DUMMYFUNCTION("""COMPUTED_VALUE"""),45593.91565972222)</f>
        <v>45593.91566</v>
      </c>
      <c r="F4" s="2" t="str">
        <f>IFERROR(__xludf.DUMMYFUNCTION("""COMPUTED_VALUE"""),"Pittsburgh Steelers")</f>
        <v>Pittsburgh Steelers</v>
      </c>
      <c r="G4" s="2" t="str">
        <f>IFERROR(__xludf.DUMMYFUNCTION("""COMPUTED_VALUE"""),"New York Giants")</f>
        <v>New York Giants</v>
      </c>
      <c r="H4" s="2" t="str">
        <f>IFERROR(__xludf.DUMMYFUNCTION("""COMPUTED_VALUE"""),"spreads")</f>
        <v>spreads</v>
      </c>
      <c r="I4" s="2" t="str">
        <f>IFERROR(__xludf.DUMMYFUNCTION("""COMPUTED_VALUE"""),"New York Giants")</f>
        <v>New York Giants</v>
      </c>
      <c r="J4" s="2"/>
      <c r="K4" s="2">
        <f>IFERROR(__xludf.DUMMYFUNCTION("""COMPUTED_VALUE"""),-110.0)</f>
        <v>-110</v>
      </c>
      <c r="L4" s="2">
        <f>IFERROR(__xludf.DUMMYFUNCTION("""COMPUTED_VALUE"""),6.0)</f>
        <v>6</v>
      </c>
    </row>
    <row r="5">
      <c r="A5" s="2" t="str">
        <f>IFERROR(__xludf.DUMMYFUNCTION("""COMPUTED_VALUE"""),"86278ec4bbdcadd945d79df6c695c2ec")</f>
        <v>86278ec4bbdcadd945d79df6c695c2ec</v>
      </c>
      <c r="B5" s="7">
        <f>IFERROR(__xludf.DUMMYFUNCTION("""COMPUTED_VALUE"""),45594.01041666667)</f>
        <v>45594.01042</v>
      </c>
      <c r="C5" s="2" t="b">
        <f>IFERROR(__xludf.DUMMYFUNCTION("""COMPUTED_VALUE"""),FALSE)</f>
        <v>0</v>
      </c>
      <c r="D5" s="2" t="str">
        <f>IFERROR(__xludf.DUMMYFUNCTION("""COMPUTED_VALUE"""),"BetUS")</f>
        <v>BetUS</v>
      </c>
      <c r="E5" s="7">
        <f>IFERROR(__xludf.DUMMYFUNCTION("""COMPUTED_VALUE"""),45593.91565972222)</f>
        <v>45593.91566</v>
      </c>
      <c r="F5" s="2" t="str">
        <f>IFERROR(__xludf.DUMMYFUNCTION("""COMPUTED_VALUE"""),"Pittsburgh Steelers")</f>
        <v>Pittsburgh Steelers</v>
      </c>
      <c r="G5" s="2" t="str">
        <f>IFERROR(__xludf.DUMMYFUNCTION("""COMPUTED_VALUE"""),"New York Giants")</f>
        <v>New York Giants</v>
      </c>
      <c r="H5" s="2" t="str">
        <f>IFERROR(__xludf.DUMMYFUNCTION("""COMPUTED_VALUE"""),"spreads")</f>
        <v>spreads</v>
      </c>
      <c r="I5" s="2" t="str">
        <f>IFERROR(__xludf.DUMMYFUNCTION("""COMPUTED_VALUE"""),"Pittsburgh Steelers")</f>
        <v>Pittsburgh Steelers</v>
      </c>
      <c r="J5" s="2"/>
      <c r="K5" s="2">
        <f>IFERROR(__xludf.DUMMYFUNCTION("""COMPUTED_VALUE"""),-110.0)</f>
        <v>-110</v>
      </c>
      <c r="L5" s="2">
        <f>IFERROR(__xludf.DUMMYFUNCTION("""COMPUTED_VALUE"""),-6.0)</f>
        <v>-6</v>
      </c>
    </row>
    <row r="6">
      <c r="A6" s="2" t="str">
        <f>IFERROR(__xludf.DUMMYFUNCTION("""COMPUTED_VALUE"""),"86278ec4bbdcadd945d79df6c695c2ec")</f>
        <v>86278ec4bbdcadd945d79df6c695c2ec</v>
      </c>
      <c r="B6" s="7">
        <f>IFERROR(__xludf.DUMMYFUNCTION("""COMPUTED_VALUE"""),45594.01041666667)</f>
        <v>45594.01042</v>
      </c>
      <c r="C6" s="2" t="b">
        <f>IFERROR(__xludf.DUMMYFUNCTION("""COMPUTED_VALUE"""),FALSE)</f>
        <v>0</v>
      </c>
      <c r="D6" s="2" t="str">
        <f>IFERROR(__xludf.DUMMYFUNCTION("""COMPUTED_VALUE"""),"FanDuel")</f>
        <v>FanDuel</v>
      </c>
      <c r="E6" s="7">
        <f>IFERROR(__xludf.DUMMYFUNCTION("""COMPUTED_VALUE"""),45593.91564814815)</f>
        <v>45593.91565</v>
      </c>
      <c r="F6" s="2" t="str">
        <f>IFERROR(__xludf.DUMMYFUNCTION("""COMPUTED_VALUE"""),"Pittsburgh Steelers")</f>
        <v>Pittsburgh Steelers</v>
      </c>
      <c r="G6" s="2" t="str">
        <f>IFERROR(__xludf.DUMMYFUNCTION("""COMPUTED_VALUE"""),"New York Giants")</f>
        <v>New York Giants</v>
      </c>
      <c r="H6" s="2" t="str">
        <f>IFERROR(__xludf.DUMMYFUNCTION("""COMPUTED_VALUE"""),"spreads")</f>
        <v>spreads</v>
      </c>
      <c r="I6" s="2" t="str">
        <f>IFERROR(__xludf.DUMMYFUNCTION("""COMPUTED_VALUE"""),"New York Giants")</f>
        <v>New York Giants</v>
      </c>
      <c r="J6" s="2"/>
      <c r="K6" s="2">
        <f>IFERROR(__xludf.DUMMYFUNCTION("""COMPUTED_VALUE"""),-110.0)</f>
        <v>-110</v>
      </c>
      <c r="L6" s="2">
        <f>IFERROR(__xludf.DUMMYFUNCTION("""COMPUTED_VALUE"""),6.0)</f>
        <v>6</v>
      </c>
    </row>
    <row r="7">
      <c r="A7" s="2" t="str">
        <f>IFERROR(__xludf.DUMMYFUNCTION("""COMPUTED_VALUE"""),"86278ec4bbdcadd945d79df6c695c2ec")</f>
        <v>86278ec4bbdcadd945d79df6c695c2ec</v>
      </c>
      <c r="B7" s="7">
        <f>IFERROR(__xludf.DUMMYFUNCTION("""COMPUTED_VALUE"""),45594.01041666667)</f>
        <v>45594.01042</v>
      </c>
      <c r="C7" s="2" t="b">
        <f>IFERROR(__xludf.DUMMYFUNCTION("""COMPUTED_VALUE"""),FALSE)</f>
        <v>0</v>
      </c>
      <c r="D7" s="2" t="str">
        <f>IFERROR(__xludf.DUMMYFUNCTION("""COMPUTED_VALUE"""),"FanDuel")</f>
        <v>FanDuel</v>
      </c>
      <c r="E7" s="7">
        <f>IFERROR(__xludf.DUMMYFUNCTION("""COMPUTED_VALUE"""),45593.91564814815)</f>
        <v>45593.91565</v>
      </c>
      <c r="F7" s="2" t="str">
        <f>IFERROR(__xludf.DUMMYFUNCTION("""COMPUTED_VALUE"""),"Pittsburgh Steelers")</f>
        <v>Pittsburgh Steelers</v>
      </c>
      <c r="G7" s="2" t="str">
        <f>IFERROR(__xludf.DUMMYFUNCTION("""COMPUTED_VALUE"""),"New York Giants")</f>
        <v>New York Giants</v>
      </c>
      <c r="H7" s="2" t="str">
        <f>IFERROR(__xludf.DUMMYFUNCTION("""COMPUTED_VALUE"""),"spreads")</f>
        <v>spreads</v>
      </c>
      <c r="I7" s="2" t="str">
        <f>IFERROR(__xludf.DUMMYFUNCTION("""COMPUTED_VALUE"""),"Pittsburgh Steelers")</f>
        <v>Pittsburgh Steelers</v>
      </c>
      <c r="J7" s="2"/>
      <c r="K7" s="2">
        <f>IFERROR(__xludf.DUMMYFUNCTION("""COMPUTED_VALUE"""),-110.0)</f>
        <v>-110</v>
      </c>
      <c r="L7" s="2">
        <f>IFERROR(__xludf.DUMMYFUNCTION("""COMPUTED_VALUE"""),-6.0)</f>
        <v>-6</v>
      </c>
    </row>
    <row r="8">
      <c r="A8" s="2" t="str">
        <f>IFERROR(__xludf.DUMMYFUNCTION("""COMPUTED_VALUE"""),"86278ec4bbdcadd945d79df6c695c2ec")</f>
        <v>86278ec4bbdcadd945d79df6c695c2ec</v>
      </c>
      <c r="B8" s="7">
        <f>IFERROR(__xludf.DUMMYFUNCTION("""COMPUTED_VALUE"""),45594.01041666667)</f>
        <v>45594.01042</v>
      </c>
      <c r="C8" s="2" t="b">
        <f>IFERROR(__xludf.DUMMYFUNCTION("""COMPUTED_VALUE"""),FALSE)</f>
        <v>0</v>
      </c>
      <c r="D8" s="8" t="str">
        <f>IFERROR(__xludf.DUMMYFUNCTION("""COMPUTED_VALUE"""),"MyBookie.ag")</f>
        <v>MyBookie.ag</v>
      </c>
      <c r="E8" s="7">
        <f>IFERROR(__xludf.DUMMYFUNCTION("""COMPUTED_VALUE"""),45593.91346064815)</f>
        <v>45593.91346</v>
      </c>
      <c r="F8" s="2" t="str">
        <f>IFERROR(__xludf.DUMMYFUNCTION("""COMPUTED_VALUE"""),"Pittsburgh Steelers")</f>
        <v>Pittsburgh Steelers</v>
      </c>
      <c r="G8" s="2" t="str">
        <f>IFERROR(__xludf.DUMMYFUNCTION("""COMPUTED_VALUE"""),"New York Giants")</f>
        <v>New York Giants</v>
      </c>
      <c r="H8" s="2" t="str">
        <f>IFERROR(__xludf.DUMMYFUNCTION("""COMPUTED_VALUE"""),"spreads")</f>
        <v>spreads</v>
      </c>
      <c r="I8" s="2" t="str">
        <f>IFERROR(__xludf.DUMMYFUNCTION("""COMPUTED_VALUE"""),"New York Giants")</f>
        <v>New York Giants</v>
      </c>
      <c r="J8" s="2"/>
      <c r="K8" s="2">
        <f>IFERROR(__xludf.DUMMYFUNCTION("""COMPUTED_VALUE"""),-110.0)</f>
        <v>-110</v>
      </c>
      <c r="L8" s="2">
        <f>IFERROR(__xludf.DUMMYFUNCTION("""COMPUTED_VALUE"""),6.0)</f>
        <v>6</v>
      </c>
    </row>
    <row r="9">
      <c r="A9" s="2" t="str">
        <f>IFERROR(__xludf.DUMMYFUNCTION("""COMPUTED_VALUE"""),"86278ec4bbdcadd945d79df6c695c2ec")</f>
        <v>86278ec4bbdcadd945d79df6c695c2ec</v>
      </c>
      <c r="B9" s="7">
        <f>IFERROR(__xludf.DUMMYFUNCTION("""COMPUTED_VALUE"""),45594.01041666667)</f>
        <v>45594.01042</v>
      </c>
      <c r="C9" s="2" t="b">
        <f>IFERROR(__xludf.DUMMYFUNCTION("""COMPUTED_VALUE"""),FALSE)</f>
        <v>0</v>
      </c>
      <c r="D9" s="8" t="str">
        <f>IFERROR(__xludf.DUMMYFUNCTION("""COMPUTED_VALUE"""),"MyBookie.ag")</f>
        <v>MyBookie.ag</v>
      </c>
      <c r="E9" s="7">
        <f>IFERROR(__xludf.DUMMYFUNCTION("""COMPUTED_VALUE"""),45593.91346064815)</f>
        <v>45593.91346</v>
      </c>
      <c r="F9" s="2" t="str">
        <f>IFERROR(__xludf.DUMMYFUNCTION("""COMPUTED_VALUE"""),"Pittsburgh Steelers")</f>
        <v>Pittsburgh Steelers</v>
      </c>
      <c r="G9" s="2" t="str">
        <f>IFERROR(__xludf.DUMMYFUNCTION("""COMPUTED_VALUE"""),"New York Giants")</f>
        <v>New York Giants</v>
      </c>
      <c r="H9" s="2" t="str">
        <f>IFERROR(__xludf.DUMMYFUNCTION("""COMPUTED_VALUE"""),"spreads")</f>
        <v>spreads</v>
      </c>
      <c r="I9" s="2" t="str">
        <f>IFERROR(__xludf.DUMMYFUNCTION("""COMPUTED_VALUE"""),"Pittsburgh Steelers")</f>
        <v>Pittsburgh Steelers</v>
      </c>
      <c r="J9" s="2"/>
      <c r="K9" s="2">
        <f>IFERROR(__xludf.DUMMYFUNCTION("""COMPUTED_VALUE"""),-110.0)</f>
        <v>-110</v>
      </c>
      <c r="L9" s="2">
        <f>IFERROR(__xludf.DUMMYFUNCTION("""COMPUTED_VALUE"""),-6.0)</f>
        <v>-6</v>
      </c>
    </row>
    <row r="10">
      <c r="A10" s="2" t="str">
        <f>IFERROR(__xludf.DUMMYFUNCTION("""COMPUTED_VALUE"""),"86278ec4bbdcadd945d79df6c695c2ec")</f>
        <v>86278ec4bbdcadd945d79df6c695c2ec</v>
      </c>
      <c r="B10" s="7">
        <f>IFERROR(__xludf.DUMMYFUNCTION("""COMPUTED_VALUE"""),45594.01041666667)</f>
        <v>45594.01042</v>
      </c>
      <c r="C10" s="2" t="b">
        <f>IFERROR(__xludf.DUMMYFUNCTION("""COMPUTED_VALUE"""),FALSE)</f>
        <v>0</v>
      </c>
      <c r="D10" s="8" t="str">
        <f>IFERROR(__xludf.DUMMYFUNCTION("""COMPUTED_VALUE"""),"BetOnline.ag")</f>
        <v>BetOnline.ag</v>
      </c>
      <c r="E10" s="7">
        <f>IFERROR(__xludf.DUMMYFUNCTION("""COMPUTED_VALUE"""),45593.91604166667)</f>
        <v>45593.91604</v>
      </c>
      <c r="F10" s="2" t="str">
        <f>IFERROR(__xludf.DUMMYFUNCTION("""COMPUTED_VALUE"""),"Pittsburgh Steelers")</f>
        <v>Pittsburgh Steelers</v>
      </c>
      <c r="G10" s="2" t="str">
        <f>IFERROR(__xludf.DUMMYFUNCTION("""COMPUTED_VALUE"""),"New York Giants")</f>
        <v>New York Giants</v>
      </c>
      <c r="H10" s="2" t="str">
        <f>IFERROR(__xludf.DUMMYFUNCTION("""COMPUTED_VALUE"""),"spreads")</f>
        <v>spreads</v>
      </c>
      <c r="I10" s="2" t="str">
        <f>IFERROR(__xludf.DUMMYFUNCTION("""COMPUTED_VALUE"""),"New York Giants")</f>
        <v>New York Giants</v>
      </c>
      <c r="J10" s="2"/>
      <c r="K10" s="2">
        <f>IFERROR(__xludf.DUMMYFUNCTION("""COMPUTED_VALUE"""),-110.0)</f>
        <v>-110</v>
      </c>
      <c r="L10" s="2">
        <f>IFERROR(__xludf.DUMMYFUNCTION("""COMPUTED_VALUE"""),6.0)</f>
        <v>6</v>
      </c>
    </row>
    <row r="11">
      <c r="A11" s="2" t="str">
        <f>IFERROR(__xludf.DUMMYFUNCTION("""COMPUTED_VALUE"""),"86278ec4bbdcadd945d79df6c695c2ec")</f>
        <v>86278ec4bbdcadd945d79df6c695c2ec</v>
      </c>
      <c r="B11" s="7">
        <f>IFERROR(__xludf.DUMMYFUNCTION("""COMPUTED_VALUE"""),45594.01041666667)</f>
        <v>45594.01042</v>
      </c>
      <c r="C11" s="2" t="b">
        <f>IFERROR(__xludf.DUMMYFUNCTION("""COMPUTED_VALUE"""),FALSE)</f>
        <v>0</v>
      </c>
      <c r="D11" s="8" t="str">
        <f>IFERROR(__xludf.DUMMYFUNCTION("""COMPUTED_VALUE"""),"BetOnline.ag")</f>
        <v>BetOnline.ag</v>
      </c>
      <c r="E11" s="7">
        <f>IFERROR(__xludf.DUMMYFUNCTION("""COMPUTED_VALUE"""),45593.91604166667)</f>
        <v>45593.91604</v>
      </c>
      <c r="F11" s="2" t="str">
        <f>IFERROR(__xludf.DUMMYFUNCTION("""COMPUTED_VALUE"""),"Pittsburgh Steelers")</f>
        <v>Pittsburgh Steelers</v>
      </c>
      <c r="G11" s="2" t="str">
        <f>IFERROR(__xludf.DUMMYFUNCTION("""COMPUTED_VALUE"""),"New York Giants")</f>
        <v>New York Giants</v>
      </c>
      <c r="H11" s="2" t="str">
        <f>IFERROR(__xludf.DUMMYFUNCTION("""COMPUTED_VALUE"""),"spreads")</f>
        <v>spreads</v>
      </c>
      <c r="I11" s="2" t="str">
        <f>IFERROR(__xludf.DUMMYFUNCTION("""COMPUTED_VALUE"""),"Pittsburgh Steelers")</f>
        <v>Pittsburgh Steelers</v>
      </c>
      <c r="J11" s="2"/>
      <c r="K11" s="2">
        <f>IFERROR(__xludf.DUMMYFUNCTION("""COMPUTED_VALUE"""),-110.0)</f>
        <v>-110</v>
      </c>
      <c r="L11" s="2">
        <f>IFERROR(__xludf.DUMMYFUNCTION("""COMPUTED_VALUE"""),-6.0)</f>
        <v>-6</v>
      </c>
    </row>
    <row r="12">
      <c r="A12" s="2" t="str">
        <f>IFERROR(__xludf.DUMMYFUNCTION("""COMPUTED_VALUE"""),"86278ec4bbdcadd945d79df6c695c2ec")</f>
        <v>86278ec4bbdcadd945d79df6c695c2ec</v>
      </c>
      <c r="B12" s="7">
        <f>IFERROR(__xludf.DUMMYFUNCTION("""COMPUTED_VALUE"""),45594.01041666667)</f>
        <v>45594.01042</v>
      </c>
      <c r="C12" s="2" t="b">
        <f>IFERROR(__xludf.DUMMYFUNCTION("""COMPUTED_VALUE"""),FALSE)</f>
        <v>0</v>
      </c>
      <c r="D12" s="8" t="str">
        <f>IFERROR(__xludf.DUMMYFUNCTION("""COMPUTED_VALUE"""),"LowVig.ag")</f>
        <v>LowVig.ag</v>
      </c>
      <c r="E12" s="7">
        <f>IFERROR(__xludf.DUMMYFUNCTION("""COMPUTED_VALUE"""),45593.91604166667)</f>
        <v>45593.91604</v>
      </c>
      <c r="F12" s="2" t="str">
        <f>IFERROR(__xludf.DUMMYFUNCTION("""COMPUTED_VALUE"""),"Pittsburgh Steelers")</f>
        <v>Pittsburgh Steelers</v>
      </c>
      <c r="G12" s="2" t="str">
        <f>IFERROR(__xludf.DUMMYFUNCTION("""COMPUTED_VALUE"""),"New York Giants")</f>
        <v>New York Giants</v>
      </c>
      <c r="H12" s="2" t="str">
        <f>IFERROR(__xludf.DUMMYFUNCTION("""COMPUTED_VALUE"""),"spreads")</f>
        <v>spreads</v>
      </c>
      <c r="I12" s="2" t="str">
        <f>IFERROR(__xludf.DUMMYFUNCTION("""COMPUTED_VALUE"""),"New York Giants")</f>
        <v>New York Giants</v>
      </c>
      <c r="J12" s="2"/>
      <c r="K12" s="2">
        <f>IFERROR(__xludf.DUMMYFUNCTION("""COMPUTED_VALUE"""),-103.0)</f>
        <v>-103</v>
      </c>
      <c r="L12" s="2">
        <f>IFERROR(__xludf.DUMMYFUNCTION("""COMPUTED_VALUE"""),6.0)</f>
        <v>6</v>
      </c>
    </row>
    <row r="13">
      <c r="A13" s="2" t="str">
        <f>IFERROR(__xludf.DUMMYFUNCTION("""COMPUTED_VALUE"""),"86278ec4bbdcadd945d79df6c695c2ec")</f>
        <v>86278ec4bbdcadd945d79df6c695c2ec</v>
      </c>
      <c r="B13" s="7">
        <f>IFERROR(__xludf.DUMMYFUNCTION("""COMPUTED_VALUE"""),45594.01041666667)</f>
        <v>45594.01042</v>
      </c>
      <c r="C13" s="2" t="b">
        <f>IFERROR(__xludf.DUMMYFUNCTION("""COMPUTED_VALUE"""),FALSE)</f>
        <v>0</v>
      </c>
      <c r="D13" s="8" t="str">
        <f>IFERROR(__xludf.DUMMYFUNCTION("""COMPUTED_VALUE"""),"LowVig.ag")</f>
        <v>LowVig.ag</v>
      </c>
      <c r="E13" s="7">
        <f>IFERROR(__xludf.DUMMYFUNCTION("""COMPUTED_VALUE"""),45593.91604166667)</f>
        <v>45593.91604</v>
      </c>
      <c r="F13" s="2" t="str">
        <f>IFERROR(__xludf.DUMMYFUNCTION("""COMPUTED_VALUE"""),"Pittsburgh Steelers")</f>
        <v>Pittsburgh Steelers</v>
      </c>
      <c r="G13" s="2" t="str">
        <f>IFERROR(__xludf.DUMMYFUNCTION("""COMPUTED_VALUE"""),"New York Giants")</f>
        <v>New York Giants</v>
      </c>
      <c r="H13" s="2" t="str">
        <f>IFERROR(__xludf.DUMMYFUNCTION("""COMPUTED_VALUE"""),"spreads")</f>
        <v>spreads</v>
      </c>
      <c r="I13" s="2" t="str">
        <f>IFERROR(__xludf.DUMMYFUNCTION("""COMPUTED_VALUE"""),"Pittsburgh Steelers")</f>
        <v>Pittsburgh Steelers</v>
      </c>
      <c r="J13" s="2"/>
      <c r="K13" s="2">
        <f>IFERROR(__xludf.DUMMYFUNCTION("""COMPUTED_VALUE"""),-107.0)</f>
        <v>-107</v>
      </c>
      <c r="L13" s="2">
        <f>IFERROR(__xludf.DUMMYFUNCTION("""COMPUTED_VALUE"""),-6.0)</f>
        <v>-6</v>
      </c>
    </row>
    <row r="14">
      <c r="A14" s="2" t="str">
        <f>IFERROR(__xludf.DUMMYFUNCTION("""COMPUTED_VALUE"""),"86278ec4bbdcadd945d79df6c695c2ec")</f>
        <v>86278ec4bbdcadd945d79df6c695c2ec</v>
      </c>
      <c r="B14" s="7">
        <f>IFERROR(__xludf.DUMMYFUNCTION("""COMPUTED_VALUE"""),45594.01041666667)</f>
        <v>45594.01042</v>
      </c>
      <c r="C14" s="2" t="b">
        <f>IFERROR(__xludf.DUMMYFUNCTION("""COMPUTED_VALUE"""),FALSE)</f>
        <v>0</v>
      </c>
      <c r="D14" s="2" t="str">
        <f>IFERROR(__xludf.DUMMYFUNCTION("""COMPUTED_VALUE"""),"BetRivers")</f>
        <v>BetRivers</v>
      </c>
      <c r="E14" s="7">
        <f>IFERROR(__xludf.DUMMYFUNCTION("""COMPUTED_VALUE"""),45593.91564814815)</f>
        <v>45593.91565</v>
      </c>
      <c r="F14" s="2" t="str">
        <f>IFERROR(__xludf.DUMMYFUNCTION("""COMPUTED_VALUE"""),"Pittsburgh Steelers")</f>
        <v>Pittsburgh Steelers</v>
      </c>
      <c r="G14" s="2" t="str">
        <f>IFERROR(__xludf.DUMMYFUNCTION("""COMPUTED_VALUE"""),"New York Giants")</f>
        <v>New York Giants</v>
      </c>
      <c r="H14" s="2" t="str">
        <f>IFERROR(__xludf.DUMMYFUNCTION("""COMPUTED_VALUE"""),"spreads")</f>
        <v>spreads</v>
      </c>
      <c r="I14" s="2" t="str">
        <f>IFERROR(__xludf.DUMMYFUNCTION("""COMPUTED_VALUE"""),"New York Giants")</f>
        <v>New York Giants</v>
      </c>
      <c r="J14" s="2"/>
      <c r="K14" s="2">
        <f>IFERROR(__xludf.DUMMYFUNCTION("""COMPUTED_VALUE"""),-112.0)</f>
        <v>-112</v>
      </c>
      <c r="L14" s="2">
        <f>IFERROR(__xludf.DUMMYFUNCTION("""COMPUTED_VALUE"""),6.0)</f>
        <v>6</v>
      </c>
    </row>
    <row r="15">
      <c r="A15" s="2" t="str">
        <f>IFERROR(__xludf.DUMMYFUNCTION("""COMPUTED_VALUE"""),"86278ec4bbdcadd945d79df6c695c2ec")</f>
        <v>86278ec4bbdcadd945d79df6c695c2ec</v>
      </c>
      <c r="B15" s="7">
        <f>IFERROR(__xludf.DUMMYFUNCTION("""COMPUTED_VALUE"""),45594.01041666667)</f>
        <v>45594.01042</v>
      </c>
      <c r="C15" s="2" t="b">
        <f>IFERROR(__xludf.DUMMYFUNCTION("""COMPUTED_VALUE"""),FALSE)</f>
        <v>0</v>
      </c>
      <c r="D15" s="2" t="str">
        <f>IFERROR(__xludf.DUMMYFUNCTION("""COMPUTED_VALUE"""),"BetRivers")</f>
        <v>BetRivers</v>
      </c>
      <c r="E15" s="7">
        <f>IFERROR(__xludf.DUMMYFUNCTION("""COMPUTED_VALUE"""),45593.91564814815)</f>
        <v>45593.91565</v>
      </c>
      <c r="F15" s="2" t="str">
        <f>IFERROR(__xludf.DUMMYFUNCTION("""COMPUTED_VALUE"""),"Pittsburgh Steelers")</f>
        <v>Pittsburgh Steelers</v>
      </c>
      <c r="G15" s="2" t="str">
        <f>IFERROR(__xludf.DUMMYFUNCTION("""COMPUTED_VALUE"""),"New York Giants")</f>
        <v>New York Giants</v>
      </c>
      <c r="H15" s="2" t="str">
        <f>IFERROR(__xludf.DUMMYFUNCTION("""COMPUTED_VALUE"""),"spreads")</f>
        <v>spreads</v>
      </c>
      <c r="I15" s="2" t="str">
        <f>IFERROR(__xludf.DUMMYFUNCTION("""COMPUTED_VALUE"""),"Pittsburgh Steelers")</f>
        <v>Pittsburgh Steelers</v>
      </c>
      <c r="J15" s="2"/>
      <c r="K15" s="2">
        <f>IFERROR(__xludf.DUMMYFUNCTION("""COMPUTED_VALUE"""),-109.0)</f>
        <v>-109</v>
      </c>
      <c r="L15" s="2">
        <f>IFERROR(__xludf.DUMMYFUNCTION("""COMPUTED_VALUE"""),-6.0)</f>
        <v>-6</v>
      </c>
    </row>
    <row r="16">
      <c r="A16" s="2" t="str">
        <f>IFERROR(__xludf.DUMMYFUNCTION("""COMPUTED_VALUE"""),"86278ec4bbdcadd945d79df6c695c2ec")</f>
        <v>86278ec4bbdcadd945d79df6c695c2ec</v>
      </c>
      <c r="B16" s="7">
        <f>IFERROR(__xludf.DUMMYFUNCTION("""COMPUTED_VALUE"""),45594.01041666667)</f>
        <v>45594.01042</v>
      </c>
      <c r="C16" s="2" t="b">
        <f>IFERROR(__xludf.DUMMYFUNCTION("""COMPUTED_VALUE"""),FALSE)</f>
        <v>0</v>
      </c>
      <c r="D16" s="2" t="str">
        <f>IFERROR(__xludf.DUMMYFUNCTION("""COMPUTED_VALUE"""),"BetMGM")</f>
        <v>BetMGM</v>
      </c>
      <c r="E16" s="7">
        <f>IFERROR(__xludf.DUMMYFUNCTION("""COMPUTED_VALUE"""),45593.91604166667)</f>
        <v>45593.91604</v>
      </c>
      <c r="F16" s="2" t="str">
        <f>IFERROR(__xludf.DUMMYFUNCTION("""COMPUTED_VALUE"""),"Pittsburgh Steelers")</f>
        <v>Pittsburgh Steelers</v>
      </c>
      <c r="G16" s="2" t="str">
        <f>IFERROR(__xludf.DUMMYFUNCTION("""COMPUTED_VALUE"""),"New York Giants")</f>
        <v>New York Giants</v>
      </c>
      <c r="H16" s="2" t="str">
        <f>IFERROR(__xludf.DUMMYFUNCTION("""COMPUTED_VALUE"""),"spreads")</f>
        <v>spreads</v>
      </c>
      <c r="I16" s="2" t="str">
        <f>IFERROR(__xludf.DUMMYFUNCTION("""COMPUTED_VALUE"""),"New York Giants")</f>
        <v>New York Giants</v>
      </c>
      <c r="J16" s="2"/>
      <c r="K16" s="2">
        <f>IFERROR(__xludf.DUMMYFUNCTION("""COMPUTED_VALUE"""),-110.0)</f>
        <v>-110</v>
      </c>
      <c r="L16" s="2">
        <f>IFERROR(__xludf.DUMMYFUNCTION("""COMPUTED_VALUE"""),6.0)</f>
        <v>6</v>
      </c>
    </row>
    <row r="17">
      <c r="A17" s="2" t="str">
        <f>IFERROR(__xludf.DUMMYFUNCTION("""COMPUTED_VALUE"""),"86278ec4bbdcadd945d79df6c695c2ec")</f>
        <v>86278ec4bbdcadd945d79df6c695c2ec</v>
      </c>
      <c r="B17" s="7">
        <f>IFERROR(__xludf.DUMMYFUNCTION("""COMPUTED_VALUE"""),45594.01041666667)</f>
        <v>45594.01042</v>
      </c>
      <c r="C17" s="2" t="b">
        <f>IFERROR(__xludf.DUMMYFUNCTION("""COMPUTED_VALUE"""),FALSE)</f>
        <v>0</v>
      </c>
      <c r="D17" s="2" t="str">
        <f>IFERROR(__xludf.DUMMYFUNCTION("""COMPUTED_VALUE"""),"BetMGM")</f>
        <v>BetMGM</v>
      </c>
      <c r="E17" s="7">
        <f>IFERROR(__xludf.DUMMYFUNCTION("""COMPUTED_VALUE"""),45593.91604166667)</f>
        <v>45593.91604</v>
      </c>
      <c r="F17" s="2" t="str">
        <f>IFERROR(__xludf.DUMMYFUNCTION("""COMPUTED_VALUE"""),"Pittsburgh Steelers")</f>
        <v>Pittsburgh Steelers</v>
      </c>
      <c r="G17" s="2" t="str">
        <f>IFERROR(__xludf.DUMMYFUNCTION("""COMPUTED_VALUE"""),"New York Giants")</f>
        <v>New York Giants</v>
      </c>
      <c r="H17" s="2" t="str">
        <f>IFERROR(__xludf.DUMMYFUNCTION("""COMPUTED_VALUE"""),"spreads")</f>
        <v>spreads</v>
      </c>
      <c r="I17" s="2" t="str">
        <f>IFERROR(__xludf.DUMMYFUNCTION("""COMPUTED_VALUE"""),"Pittsburgh Steelers")</f>
        <v>Pittsburgh Steelers</v>
      </c>
      <c r="J17" s="2"/>
      <c r="K17" s="2">
        <f>IFERROR(__xludf.DUMMYFUNCTION("""COMPUTED_VALUE"""),-110.0)</f>
        <v>-110</v>
      </c>
      <c r="L17" s="2">
        <f>IFERROR(__xludf.DUMMYFUNCTION("""COMPUTED_VALUE"""),-6.0)</f>
        <v>-6</v>
      </c>
    </row>
    <row r="18">
      <c r="A18" s="2" t="str">
        <f>IFERROR(__xludf.DUMMYFUNCTION("""COMPUTED_VALUE"""),"86278ec4bbdcadd945d79df6c695c2ec")</f>
        <v>86278ec4bbdcadd945d79df6c695c2ec</v>
      </c>
      <c r="B18" s="7">
        <f>IFERROR(__xludf.DUMMYFUNCTION("""COMPUTED_VALUE"""),45594.01041666667)</f>
        <v>45594.01042</v>
      </c>
      <c r="C18" s="2" t="b">
        <f>IFERROR(__xludf.DUMMYFUNCTION("""COMPUTED_VALUE"""),FALSE)</f>
        <v>0</v>
      </c>
      <c r="D18" s="2" t="str">
        <f>IFERROR(__xludf.DUMMYFUNCTION("""COMPUTED_VALUE"""),"Bovada")</f>
        <v>Bovada</v>
      </c>
      <c r="E18" s="7">
        <f>IFERROR(__xludf.DUMMYFUNCTION("""COMPUTED_VALUE"""),45593.91564814815)</f>
        <v>45593.91565</v>
      </c>
      <c r="F18" s="2" t="str">
        <f>IFERROR(__xludf.DUMMYFUNCTION("""COMPUTED_VALUE"""),"Pittsburgh Steelers")</f>
        <v>Pittsburgh Steelers</v>
      </c>
      <c r="G18" s="2" t="str">
        <f>IFERROR(__xludf.DUMMYFUNCTION("""COMPUTED_VALUE"""),"New York Giants")</f>
        <v>New York Giants</v>
      </c>
      <c r="H18" s="2" t="str">
        <f>IFERROR(__xludf.DUMMYFUNCTION("""COMPUTED_VALUE"""),"spreads")</f>
        <v>spreads</v>
      </c>
      <c r="I18" s="2" t="str">
        <f>IFERROR(__xludf.DUMMYFUNCTION("""COMPUTED_VALUE"""),"New York Giants")</f>
        <v>New York Giants</v>
      </c>
      <c r="J18" s="2"/>
      <c r="K18" s="2">
        <f>IFERROR(__xludf.DUMMYFUNCTION("""COMPUTED_VALUE"""),-110.0)</f>
        <v>-110</v>
      </c>
      <c r="L18" s="2">
        <f>IFERROR(__xludf.DUMMYFUNCTION("""COMPUTED_VALUE"""),6.0)</f>
        <v>6</v>
      </c>
    </row>
    <row r="19">
      <c r="A19" s="2" t="str">
        <f>IFERROR(__xludf.DUMMYFUNCTION("""COMPUTED_VALUE"""),"86278ec4bbdcadd945d79df6c695c2ec")</f>
        <v>86278ec4bbdcadd945d79df6c695c2ec</v>
      </c>
      <c r="B19" s="7">
        <f>IFERROR(__xludf.DUMMYFUNCTION("""COMPUTED_VALUE"""),45594.01041666667)</f>
        <v>45594.01042</v>
      </c>
      <c r="C19" s="2" t="b">
        <f>IFERROR(__xludf.DUMMYFUNCTION("""COMPUTED_VALUE"""),FALSE)</f>
        <v>0</v>
      </c>
      <c r="D19" s="2" t="str">
        <f>IFERROR(__xludf.DUMMYFUNCTION("""COMPUTED_VALUE"""),"Bovada")</f>
        <v>Bovada</v>
      </c>
      <c r="E19" s="7">
        <f>IFERROR(__xludf.DUMMYFUNCTION("""COMPUTED_VALUE"""),45593.91564814815)</f>
        <v>45593.91565</v>
      </c>
      <c r="F19" s="2" t="str">
        <f>IFERROR(__xludf.DUMMYFUNCTION("""COMPUTED_VALUE"""),"Pittsburgh Steelers")</f>
        <v>Pittsburgh Steelers</v>
      </c>
      <c r="G19" s="2" t="str">
        <f>IFERROR(__xludf.DUMMYFUNCTION("""COMPUTED_VALUE"""),"New York Giants")</f>
        <v>New York Giants</v>
      </c>
      <c r="H19" s="2" t="str">
        <f>IFERROR(__xludf.DUMMYFUNCTION("""COMPUTED_VALUE"""),"spreads")</f>
        <v>spreads</v>
      </c>
      <c r="I19" s="2" t="str">
        <f>IFERROR(__xludf.DUMMYFUNCTION("""COMPUTED_VALUE"""),"Pittsburgh Steelers")</f>
        <v>Pittsburgh Steelers</v>
      </c>
      <c r="J19" s="2"/>
      <c r="K19" s="2">
        <f>IFERROR(__xludf.DUMMYFUNCTION("""COMPUTED_VALUE"""),-110.0)</f>
        <v>-110</v>
      </c>
      <c r="L19" s="2">
        <f>IFERROR(__xludf.DUMMYFUNCTION("""COMPUTED_VALUE"""),-6.0)</f>
        <v>-6</v>
      </c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hyperlinks>
    <hyperlink r:id="rId1" ref="D8"/>
    <hyperlink r:id="rId2" ref="D9"/>
    <hyperlink r:id="rId3" ref="D10"/>
    <hyperlink r:id="rId4" ref="D11"/>
    <hyperlink r:id="rId5" ref="D12"/>
    <hyperlink r:id="rId6" ref="D13"/>
  </hyperlink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tr">
        <f>IFERROR(__xludf.DUMMYFUNCTION("IMPORTRANGE(""https://docs.google.com/spreadsheets/d/13MAhBT9K2M70JP2OISI4aettE0FK27CjAGHAew7TsAE/edit?gid=1671364351#gid=1671364351"",""odds!A1:L"")"),"game_id")</f>
        <v>game_id</v>
      </c>
      <c r="B1" s="2" t="str">
        <f>IFERROR(__xludf.DUMMYFUNCTION("""COMPUTED_VALUE"""),"commence_time")</f>
        <v>commence_time</v>
      </c>
      <c r="C1" s="2" t="str">
        <f>IFERROR(__xludf.DUMMYFUNCTION("""COMPUTED_VALUE"""),"in_play")</f>
        <v>in_play</v>
      </c>
      <c r="D1" s="2" t="str">
        <f>IFERROR(__xludf.DUMMYFUNCTION("""COMPUTED_VALUE"""),"bookmaker")</f>
        <v>bookmaker</v>
      </c>
      <c r="E1" s="2" t="str">
        <f>IFERROR(__xludf.DUMMYFUNCTION("""COMPUTED_VALUE"""),"last_update")</f>
        <v>last_update</v>
      </c>
      <c r="F1" s="2" t="str">
        <f>IFERROR(__xludf.DUMMYFUNCTION("""COMPUTED_VALUE"""),"home_team")</f>
        <v>home_team</v>
      </c>
      <c r="G1" s="2" t="str">
        <f>IFERROR(__xludf.DUMMYFUNCTION("""COMPUTED_VALUE"""),"away_team")</f>
        <v>away_team</v>
      </c>
      <c r="H1" s="2" t="str">
        <f>IFERROR(__xludf.DUMMYFUNCTION("""COMPUTED_VALUE"""),"market")</f>
        <v>market</v>
      </c>
      <c r="I1" s="2" t="str">
        <f>IFERROR(__xludf.DUMMYFUNCTION("""COMPUTED_VALUE"""),"label")</f>
        <v>label</v>
      </c>
      <c r="J1" s="2" t="str">
        <f>IFERROR(__xludf.DUMMYFUNCTION("""COMPUTED_VALUE"""),"description")</f>
        <v>description</v>
      </c>
      <c r="K1" s="2" t="str">
        <f>IFERROR(__xludf.DUMMYFUNCTION("""COMPUTED_VALUE"""),"price")</f>
        <v>price</v>
      </c>
      <c r="L1" s="2" t="str">
        <f>IFERROR(__xludf.DUMMYFUNCTION("""COMPUTED_VALUE"""),"point")</f>
        <v>point</v>
      </c>
    </row>
    <row r="2">
      <c r="A2" s="2" t="str">
        <f>IFERROR(__xludf.DUMMYFUNCTION("""COMPUTED_VALUE"""),"86278ec4bbdcadd945d79df6c695c2ec")</f>
        <v>86278ec4bbdcadd945d79df6c695c2ec</v>
      </c>
      <c r="B2" s="7">
        <f>IFERROR(__xludf.DUMMYFUNCTION("""COMPUTED_VALUE"""),45594.01041666667)</f>
        <v>45594.01042</v>
      </c>
      <c r="C2" s="2" t="b">
        <f>IFERROR(__xludf.DUMMYFUNCTION("""COMPUTED_VALUE"""),FALSE)</f>
        <v>0</v>
      </c>
      <c r="D2" s="2" t="str">
        <f>IFERROR(__xludf.DUMMYFUNCTION("""COMPUTED_VALUE"""),"DraftKings")</f>
        <v>DraftKings</v>
      </c>
      <c r="E2" s="7">
        <f>IFERROR(__xludf.DUMMYFUNCTION("""COMPUTED_VALUE"""),45593.91478009259)</f>
        <v>45593.91478</v>
      </c>
      <c r="F2" s="2" t="str">
        <f>IFERROR(__xludf.DUMMYFUNCTION("""COMPUTED_VALUE"""),"Pittsburgh Steelers")</f>
        <v>Pittsburgh Steelers</v>
      </c>
      <c r="G2" s="2" t="str">
        <f>IFERROR(__xludf.DUMMYFUNCTION("""COMPUTED_VALUE"""),"New York Giants")</f>
        <v>New York Giants</v>
      </c>
      <c r="H2" s="2" t="str">
        <f>IFERROR(__xludf.DUMMYFUNCTION("""COMPUTED_VALUE"""),"totals")</f>
        <v>totals</v>
      </c>
      <c r="I2" s="2" t="str">
        <f>IFERROR(__xludf.DUMMYFUNCTION("""COMPUTED_VALUE"""),"Over")</f>
        <v>Over</v>
      </c>
      <c r="J2" s="2"/>
      <c r="K2" s="2">
        <f>IFERROR(__xludf.DUMMYFUNCTION("""COMPUTED_VALUE"""),-108.0)</f>
        <v>-108</v>
      </c>
      <c r="L2" s="2">
        <f>IFERROR(__xludf.DUMMYFUNCTION("""COMPUTED_VALUE"""),37.5)</f>
        <v>37.5</v>
      </c>
    </row>
    <row r="3">
      <c r="A3" s="2" t="str">
        <f>IFERROR(__xludf.DUMMYFUNCTION("""COMPUTED_VALUE"""),"86278ec4bbdcadd945d79df6c695c2ec")</f>
        <v>86278ec4bbdcadd945d79df6c695c2ec</v>
      </c>
      <c r="B3" s="7">
        <f>IFERROR(__xludf.DUMMYFUNCTION("""COMPUTED_VALUE"""),45594.01041666667)</f>
        <v>45594.01042</v>
      </c>
      <c r="C3" s="2" t="b">
        <f>IFERROR(__xludf.DUMMYFUNCTION("""COMPUTED_VALUE"""),FALSE)</f>
        <v>0</v>
      </c>
      <c r="D3" s="2" t="str">
        <f>IFERROR(__xludf.DUMMYFUNCTION("""COMPUTED_VALUE"""),"DraftKings")</f>
        <v>DraftKings</v>
      </c>
      <c r="E3" s="7">
        <f>IFERROR(__xludf.DUMMYFUNCTION("""COMPUTED_VALUE"""),45593.91478009259)</f>
        <v>45593.91478</v>
      </c>
      <c r="F3" s="2" t="str">
        <f>IFERROR(__xludf.DUMMYFUNCTION("""COMPUTED_VALUE"""),"Pittsburgh Steelers")</f>
        <v>Pittsburgh Steelers</v>
      </c>
      <c r="G3" s="2" t="str">
        <f>IFERROR(__xludf.DUMMYFUNCTION("""COMPUTED_VALUE"""),"New York Giants")</f>
        <v>New York Giants</v>
      </c>
      <c r="H3" s="2" t="str">
        <f>IFERROR(__xludf.DUMMYFUNCTION("""COMPUTED_VALUE"""),"totals")</f>
        <v>totals</v>
      </c>
      <c r="I3" s="2" t="str">
        <f>IFERROR(__xludf.DUMMYFUNCTION("""COMPUTED_VALUE"""),"Under")</f>
        <v>Under</v>
      </c>
      <c r="J3" s="2"/>
      <c r="K3" s="2">
        <f>IFERROR(__xludf.DUMMYFUNCTION("""COMPUTED_VALUE"""),-112.0)</f>
        <v>-112</v>
      </c>
      <c r="L3" s="2">
        <f>IFERROR(__xludf.DUMMYFUNCTION("""COMPUTED_VALUE"""),37.5)</f>
        <v>37.5</v>
      </c>
    </row>
    <row r="4">
      <c r="A4" s="2" t="str">
        <f>IFERROR(__xludf.DUMMYFUNCTION("""COMPUTED_VALUE"""),"86278ec4bbdcadd945d79df6c695c2ec")</f>
        <v>86278ec4bbdcadd945d79df6c695c2ec</v>
      </c>
      <c r="B4" s="7">
        <f>IFERROR(__xludf.DUMMYFUNCTION("""COMPUTED_VALUE"""),45594.01041666667)</f>
        <v>45594.01042</v>
      </c>
      <c r="C4" s="2" t="b">
        <f>IFERROR(__xludf.DUMMYFUNCTION("""COMPUTED_VALUE"""),FALSE)</f>
        <v>0</v>
      </c>
      <c r="D4" s="2" t="str">
        <f>IFERROR(__xludf.DUMMYFUNCTION("""COMPUTED_VALUE"""),"BetUS")</f>
        <v>BetUS</v>
      </c>
      <c r="E4" s="7">
        <f>IFERROR(__xludf.DUMMYFUNCTION("""COMPUTED_VALUE"""),45593.91565972222)</f>
        <v>45593.91566</v>
      </c>
      <c r="F4" s="2" t="str">
        <f>IFERROR(__xludf.DUMMYFUNCTION("""COMPUTED_VALUE"""),"Pittsburgh Steelers")</f>
        <v>Pittsburgh Steelers</v>
      </c>
      <c r="G4" s="2" t="str">
        <f>IFERROR(__xludf.DUMMYFUNCTION("""COMPUTED_VALUE"""),"New York Giants")</f>
        <v>New York Giants</v>
      </c>
      <c r="H4" s="2" t="str">
        <f>IFERROR(__xludf.DUMMYFUNCTION("""COMPUTED_VALUE"""),"totals")</f>
        <v>totals</v>
      </c>
      <c r="I4" s="2" t="str">
        <f>IFERROR(__xludf.DUMMYFUNCTION("""COMPUTED_VALUE"""),"Over")</f>
        <v>Over</v>
      </c>
      <c r="J4" s="2"/>
      <c r="K4" s="2">
        <f>IFERROR(__xludf.DUMMYFUNCTION("""COMPUTED_VALUE"""),-115.0)</f>
        <v>-115</v>
      </c>
      <c r="L4" s="2">
        <f>IFERROR(__xludf.DUMMYFUNCTION("""COMPUTED_VALUE"""),37.0)</f>
        <v>37</v>
      </c>
    </row>
    <row r="5">
      <c r="A5" s="2" t="str">
        <f>IFERROR(__xludf.DUMMYFUNCTION("""COMPUTED_VALUE"""),"86278ec4bbdcadd945d79df6c695c2ec")</f>
        <v>86278ec4bbdcadd945d79df6c695c2ec</v>
      </c>
      <c r="B5" s="7">
        <f>IFERROR(__xludf.DUMMYFUNCTION("""COMPUTED_VALUE"""),45594.01041666667)</f>
        <v>45594.01042</v>
      </c>
      <c r="C5" s="2" t="b">
        <f>IFERROR(__xludf.DUMMYFUNCTION("""COMPUTED_VALUE"""),FALSE)</f>
        <v>0</v>
      </c>
      <c r="D5" s="2" t="str">
        <f>IFERROR(__xludf.DUMMYFUNCTION("""COMPUTED_VALUE"""),"BetUS")</f>
        <v>BetUS</v>
      </c>
      <c r="E5" s="7">
        <f>IFERROR(__xludf.DUMMYFUNCTION("""COMPUTED_VALUE"""),45593.91565972222)</f>
        <v>45593.91566</v>
      </c>
      <c r="F5" s="2" t="str">
        <f>IFERROR(__xludf.DUMMYFUNCTION("""COMPUTED_VALUE"""),"Pittsburgh Steelers")</f>
        <v>Pittsburgh Steelers</v>
      </c>
      <c r="G5" s="2" t="str">
        <f>IFERROR(__xludf.DUMMYFUNCTION("""COMPUTED_VALUE"""),"New York Giants")</f>
        <v>New York Giants</v>
      </c>
      <c r="H5" s="2" t="str">
        <f>IFERROR(__xludf.DUMMYFUNCTION("""COMPUTED_VALUE"""),"totals")</f>
        <v>totals</v>
      </c>
      <c r="I5" s="2" t="str">
        <f>IFERROR(__xludf.DUMMYFUNCTION("""COMPUTED_VALUE"""),"Under")</f>
        <v>Under</v>
      </c>
      <c r="J5" s="2"/>
      <c r="K5" s="2">
        <f>IFERROR(__xludf.DUMMYFUNCTION("""COMPUTED_VALUE"""),-105.0)</f>
        <v>-105</v>
      </c>
      <c r="L5" s="2">
        <f>IFERROR(__xludf.DUMMYFUNCTION("""COMPUTED_VALUE"""),37.0)</f>
        <v>37</v>
      </c>
    </row>
    <row r="6">
      <c r="A6" s="2" t="str">
        <f>IFERROR(__xludf.DUMMYFUNCTION("""COMPUTED_VALUE"""),"86278ec4bbdcadd945d79df6c695c2ec")</f>
        <v>86278ec4bbdcadd945d79df6c695c2ec</v>
      </c>
      <c r="B6" s="7">
        <f>IFERROR(__xludf.DUMMYFUNCTION("""COMPUTED_VALUE"""),45594.01041666667)</f>
        <v>45594.01042</v>
      </c>
      <c r="C6" s="2" t="b">
        <f>IFERROR(__xludf.DUMMYFUNCTION("""COMPUTED_VALUE"""),FALSE)</f>
        <v>0</v>
      </c>
      <c r="D6" s="2" t="str">
        <f>IFERROR(__xludf.DUMMYFUNCTION("""COMPUTED_VALUE"""),"FanDuel")</f>
        <v>FanDuel</v>
      </c>
      <c r="E6" s="7">
        <f>IFERROR(__xludf.DUMMYFUNCTION("""COMPUTED_VALUE"""),45593.91564814815)</f>
        <v>45593.91565</v>
      </c>
      <c r="F6" s="2" t="str">
        <f>IFERROR(__xludf.DUMMYFUNCTION("""COMPUTED_VALUE"""),"Pittsburgh Steelers")</f>
        <v>Pittsburgh Steelers</v>
      </c>
      <c r="G6" s="2" t="str">
        <f>IFERROR(__xludf.DUMMYFUNCTION("""COMPUTED_VALUE"""),"New York Giants")</f>
        <v>New York Giants</v>
      </c>
      <c r="H6" s="2" t="str">
        <f>IFERROR(__xludf.DUMMYFUNCTION("""COMPUTED_VALUE"""),"totals")</f>
        <v>totals</v>
      </c>
      <c r="I6" s="2" t="str">
        <f>IFERROR(__xludf.DUMMYFUNCTION("""COMPUTED_VALUE"""),"Over")</f>
        <v>Over</v>
      </c>
      <c r="J6" s="2"/>
      <c r="K6" s="2">
        <f>IFERROR(__xludf.DUMMYFUNCTION("""COMPUTED_VALUE"""),-112.0)</f>
        <v>-112</v>
      </c>
      <c r="L6" s="2">
        <f>IFERROR(__xludf.DUMMYFUNCTION("""COMPUTED_VALUE"""),36.5)</f>
        <v>36.5</v>
      </c>
    </row>
    <row r="7">
      <c r="A7" s="2" t="str">
        <f>IFERROR(__xludf.DUMMYFUNCTION("""COMPUTED_VALUE"""),"86278ec4bbdcadd945d79df6c695c2ec")</f>
        <v>86278ec4bbdcadd945d79df6c695c2ec</v>
      </c>
      <c r="B7" s="7">
        <f>IFERROR(__xludf.DUMMYFUNCTION("""COMPUTED_VALUE"""),45594.01041666667)</f>
        <v>45594.01042</v>
      </c>
      <c r="C7" s="2" t="b">
        <f>IFERROR(__xludf.DUMMYFUNCTION("""COMPUTED_VALUE"""),FALSE)</f>
        <v>0</v>
      </c>
      <c r="D7" s="2" t="str">
        <f>IFERROR(__xludf.DUMMYFUNCTION("""COMPUTED_VALUE"""),"FanDuel")</f>
        <v>FanDuel</v>
      </c>
      <c r="E7" s="7">
        <f>IFERROR(__xludf.DUMMYFUNCTION("""COMPUTED_VALUE"""),45593.91564814815)</f>
        <v>45593.91565</v>
      </c>
      <c r="F7" s="2" t="str">
        <f>IFERROR(__xludf.DUMMYFUNCTION("""COMPUTED_VALUE"""),"Pittsburgh Steelers")</f>
        <v>Pittsburgh Steelers</v>
      </c>
      <c r="G7" s="2" t="str">
        <f>IFERROR(__xludf.DUMMYFUNCTION("""COMPUTED_VALUE"""),"New York Giants")</f>
        <v>New York Giants</v>
      </c>
      <c r="H7" s="2" t="str">
        <f>IFERROR(__xludf.DUMMYFUNCTION("""COMPUTED_VALUE"""),"totals")</f>
        <v>totals</v>
      </c>
      <c r="I7" s="2" t="str">
        <f>IFERROR(__xludf.DUMMYFUNCTION("""COMPUTED_VALUE"""),"Under")</f>
        <v>Under</v>
      </c>
      <c r="J7" s="2"/>
      <c r="K7" s="2">
        <f>IFERROR(__xludf.DUMMYFUNCTION("""COMPUTED_VALUE"""),-108.0)</f>
        <v>-108</v>
      </c>
      <c r="L7" s="2">
        <f>IFERROR(__xludf.DUMMYFUNCTION("""COMPUTED_VALUE"""),36.5)</f>
        <v>36.5</v>
      </c>
    </row>
    <row r="8">
      <c r="A8" s="2" t="str">
        <f>IFERROR(__xludf.DUMMYFUNCTION("""COMPUTED_VALUE"""),"86278ec4bbdcadd945d79df6c695c2ec")</f>
        <v>86278ec4bbdcadd945d79df6c695c2ec</v>
      </c>
      <c r="B8" s="7">
        <f>IFERROR(__xludf.DUMMYFUNCTION("""COMPUTED_VALUE"""),45594.01041666667)</f>
        <v>45594.01042</v>
      </c>
      <c r="C8" s="2" t="b">
        <f>IFERROR(__xludf.DUMMYFUNCTION("""COMPUTED_VALUE"""),FALSE)</f>
        <v>0</v>
      </c>
      <c r="D8" s="8" t="str">
        <f>IFERROR(__xludf.DUMMYFUNCTION("""COMPUTED_VALUE"""),"MyBookie.ag")</f>
        <v>MyBookie.ag</v>
      </c>
      <c r="E8" s="7">
        <f>IFERROR(__xludf.DUMMYFUNCTION("""COMPUTED_VALUE"""),45593.91346064815)</f>
        <v>45593.91346</v>
      </c>
      <c r="F8" s="2" t="str">
        <f>IFERROR(__xludf.DUMMYFUNCTION("""COMPUTED_VALUE"""),"Pittsburgh Steelers")</f>
        <v>Pittsburgh Steelers</v>
      </c>
      <c r="G8" s="2" t="str">
        <f>IFERROR(__xludf.DUMMYFUNCTION("""COMPUTED_VALUE"""),"New York Giants")</f>
        <v>New York Giants</v>
      </c>
      <c r="H8" s="2" t="str">
        <f>IFERROR(__xludf.DUMMYFUNCTION("""COMPUTED_VALUE"""),"totals")</f>
        <v>totals</v>
      </c>
      <c r="I8" s="2" t="str">
        <f>IFERROR(__xludf.DUMMYFUNCTION("""COMPUTED_VALUE"""),"Over")</f>
        <v>Over</v>
      </c>
      <c r="J8" s="2"/>
      <c r="K8" s="2">
        <f>IFERROR(__xludf.DUMMYFUNCTION("""COMPUTED_VALUE"""),-110.0)</f>
        <v>-110</v>
      </c>
      <c r="L8" s="2">
        <f>IFERROR(__xludf.DUMMYFUNCTION("""COMPUTED_VALUE"""),37.0)</f>
        <v>37</v>
      </c>
    </row>
    <row r="9">
      <c r="A9" s="2" t="str">
        <f>IFERROR(__xludf.DUMMYFUNCTION("""COMPUTED_VALUE"""),"86278ec4bbdcadd945d79df6c695c2ec")</f>
        <v>86278ec4bbdcadd945d79df6c695c2ec</v>
      </c>
      <c r="B9" s="7">
        <f>IFERROR(__xludf.DUMMYFUNCTION("""COMPUTED_VALUE"""),45594.01041666667)</f>
        <v>45594.01042</v>
      </c>
      <c r="C9" s="2" t="b">
        <f>IFERROR(__xludf.DUMMYFUNCTION("""COMPUTED_VALUE"""),FALSE)</f>
        <v>0</v>
      </c>
      <c r="D9" s="8" t="str">
        <f>IFERROR(__xludf.DUMMYFUNCTION("""COMPUTED_VALUE"""),"MyBookie.ag")</f>
        <v>MyBookie.ag</v>
      </c>
      <c r="E9" s="7">
        <f>IFERROR(__xludf.DUMMYFUNCTION("""COMPUTED_VALUE"""),45593.91346064815)</f>
        <v>45593.91346</v>
      </c>
      <c r="F9" s="2" t="str">
        <f>IFERROR(__xludf.DUMMYFUNCTION("""COMPUTED_VALUE"""),"Pittsburgh Steelers")</f>
        <v>Pittsburgh Steelers</v>
      </c>
      <c r="G9" s="2" t="str">
        <f>IFERROR(__xludf.DUMMYFUNCTION("""COMPUTED_VALUE"""),"New York Giants")</f>
        <v>New York Giants</v>
      </c>
      <c r="H9" s="2" t="str">
        <f>IFERROR(__xludf.DUMMYFUNCTION("""COMPUTED_VALUE"""),"totals")</f>
        <v>totals</v>
      </c>
      <c r="I9" s="2" t="str">
        <f>IFERROR(__xludf.DUMMYFUNCTION("""COMPUTED_VALUE"""),"Under")</f>
        <v>Under</v>
      </c>
      <c r="J9" s="2"/>
      <c r="K9" s="2">
        <f>IFERROR(__xludf.DUMMYFUNCTION("""COMPUTED_VALUE"""),-110.0)</f>
        <v>-110</v>
      </c>
      <c r="L9" s="2">
        <f>IFERROR(__xludf.DUMMYFUNCTION("""COMPUTED_VALUE"""),37.0)</f>
        <v>37</v>
      </c>
    </row>
    <row r="10">
      <c r="A10" s="2" t="str">
        <f>IFERROR(__xludf.DUMMYFUNCTION("""COMPUTED_VALUE"""),"86278ec4bbdcadd945d79df6c695c2ec")</f>
        <v>86278ec4bbdcadd945d79df6c695c2ec</v>
      </c>
      <c r="B10" s="7">
        <f>IFERROR(__xludf.DUMMYFUNCTION("""COMPUTED_VALUE"""),45594.01041666667)</f>
        <v>45594.01042</v>
      </c>
      <c r="C10" s="2" t="b">
        <f>IFERROR(__xludf.DUMMYFUNCTION("""COMPUTED_VALUE"""),FALSE)</f>
        <v>0</v>
      </c>
      <c r="D10" s="8" t="str">
        <f>IFERROR(__xludf.DUMMYFUNCTION("""COMPUTED_VALUE"""),"BetOnline.ag")</f>
        <v>BetOnline.ag</v>
      </c>
      <c r="E10" s="7">
        <f>IFERROR(__xludf.DUMMYFUNCTION("""COMPUTED_VALUE"""),45593.91604166667)</f>
        <v>45593.91604</v>
      </c>
      <c r="F10" s="2" t="str">
        <f>IFERROR(__xludf.DUMMYFUNCTION("""COMPUTED_VALUE"""),"Pittsburgh Steelers")</f>
        <v>Pittsburgh Steelers</v>
      </c>
      <c r="G10" s="2" t="str">
        <f>IFERROR(__xludf.DUMMYFUNCTION("""COMPUTED_VALUE"""),"New York Giants")</f>
        <v>New York Giants</v>
      </c>
      <c r="H10" s="2" t="str">
        <f>IFERROR(__xludf.DUMMYFUNCTION("""COMPUTED_VALUE"""),"totals")</f>
        <v>totals</v>
      </c>
      <c r="I10" s="2" t="str">
        <f>IFERROR(__xludf.DUMMYFUNCTION("""COMPUTED_VALUE"""),"Over")</f>
        <v>Over</v>
      </c>
      <c r="J10" s="2"/>
      <c r="K10" s="2">
        <f>IFERROR(__xludf.DUMMYFUNCTION("""COMPUTED_VALUE"""),-110.0)</f>
        <v>-110</v>
      </c>
      <c r="L10" s="2">
        <f>IFERROR(__xludf.DUMMYFUNCTION("""COMPUTED_VALUE"""),37.0)</f>
        <v>37</v>
      </c>
    </row>
    <row r="11">
      <c r="A11" s="2" t="str">
        <f>IFERROR(__xludf.DUMMYFUNCTION("""COMPUTED_VALUE"""),"86278ec4bbdcadd945d79df6c695c2ec")</f>
        <v>86278ec4bbdcadd945d79df6c695c2ec</v>
      </c>
      <c r="B11" s="7">
        <f>IFERROR(__xludf.DUMMYFUNCTION("""COMPUTED_VALUE"""),45594.01041666667)</f>
        <v>45594.01042</v>
      </c>
      <c r="C11" s="2" t="b">
        <f>IFERROR(__xludf.DUMMYFUNCTION("""COMPUTED_VALUE"""),FALSE)</f>
        <v>0</v>
      </c>
      <c r="D11" s="8" t="str">
        <f>IFERROR(__xludf.DUMMYFUNCTION("""COMPUTED_VALUE"""),"BetOnline.ag")</f>
        <v>BetOnline.ag</v>
      </c>
      <c r="E11" s="7">
        <f>IFERROR(__xludf.DUMMYFUNCTION("""COMPUTED_VALUE"""),45593.91604166667)</f>
        <v>45593.91604</v>
      </c>
      <c r="F11" s="2" t="str">
        <f>IFERROR(__xludf.DUMMYFUNCTION("""COMPUTED_VALUE"""),"Pittsburgh Steelers")</f>
        <v>Pittsburgh Steelers</v>
      </c>
      <c r="G11" s="2" t="str">
        <f>IFERROR(__xludf.DUMMYFUNCTION("""COMPUTED_VALUE"""),"New York Giants")</f>
        <v>New York Giants</v>
      </c>
      <c r="H11" s="2" t="str">
        <f>IFERROR(__xludf.DUMMYFUNCTION("""COMPUTED_VALUE"""),"totals")</f>
        <v>totals</v>
      </c>
      <c r="I11" s="2" t="str">
        <f>IFERROR(__xludf.DUMMYFUNCTION("""COMPUTED_VALUE"""),"Under")</f>
        <v>Under</v>
      </c>
      <c r="J11" s="2"/>
      <c r="K11" s="2">
        <f>IFERROR(__xludf.DUMMYFUNCTION("""COMPUTED_VALUE"""),-110.0)</f>
        <v>-110</v>
      </c>
      <c r="L11" s="2">
        <f>IFERROR(__xludf.DUMMYFUNCTION("""COMPUTED_VALUE"""),37.0)</f>
        <v>37</v>
      </c>
    </row>
    <row r="12">
      <c r="A12" s="2" t="str">
        <f>IFERROR(__xludf.DUMMYFUNCTION("""COMPUTED_VALUE"""),"86278ec4bbdcadd945d79df6c695c2ec")</f>
        <v>86278ec4bbdcadd945d79df6c695c2ec</v>
      </c>
      <c r="B12" s="7">
        <f>IFERROR(__xludf.DUMMYFUNCTION("""COMPUTED_VALUE"""),45594.01041666667)</f>
        <v>45594.01042</v>
      </c>
      <c r="C12" s="2" t="b">
        <f>IFERROR(__xludf.DUMMYFUNCTION("""COMPUTED_VALUE"""),FALSE)</f>
        <v>0</v>
      </c>
      <c r="D12" s="8" t="str">
        <f>IFERROR(__xludf.DUMMYFUNCTION("""COMPUTED_VALUE"""),"LowVig.ag")</f>
        <v>LowVig.ag</v>
      </c>
      <c r="E12" s="7">
        <f>IFERROR(__xludf.DUMMYFUNCTION("""COMPUTED_VALUE"""),45593.91604166667)</f>
        <v>45593.91604</v>
      </c>
      <c r="F12" s="2" t="str">
        <f>IFERROR(__xludf.DUMMYFUNCTION("""COMPUTED_VALUE"""),"Pittsburgh Steelers")</f>
        <v>Pittsburgh Steelers</v>
      </c>
      <c r="G12" s="2" t="str">
        <f>IFERROR(__xludf.DUMMYFUNCTION("""COMPUTED_VALUE"""),"New York Giants")</f>
        <v>New York Giants</v>
      </c>
      <c r="H12" s="2" t="str">
        <f>IFERROR(__xludf.DUMMYFUNCTION("""COMPUTED_VALUE"""),"totals")</f>
        <v>totals</v>
      </c>
      <c r="I12" s="2" t="str">
        <f>IFERROR(__xludf.DUMMYFUNCTION("""COMPUTED_VALUE"""),"Over")</f>
        <v>Over</v>
      </c>
      <c r="J12" s="2"/>
      <c r="K12" s="2">
        <f>IFERROR(__xludf.DUMMYFUNCTION("""COMPUTED_VALUE"""),-110.0)</f>
        <v>-110</v>
      </c>
      <c r="L12" s="2">
        <f>IFERROR(__xludf.DUMMYFUNCTION("""COMPUTED_VALUE"""),37.0)</f>
        <v>37</v>
      </c>
    </row>
    <row r="13">
      <c r="A13" s="2" t="str">
        <f>IFERROR(__xludf.DUMMYFUNCTION("""COMPUTED_VALUE"""),"86278ec4bbdcadd945d79df6c695c2ec")</f>
        <v>86278ec4bbdcadd945d79df6c695c2ec</v>
      </c>
      <c r="B13" s="7">
        <f>IFERROR(__xludf.DUMMYFUNCTION("""COMPUTED_VALUE"""),45594.01041666667)</f>
        <v>45594.01042</v>
      </c>
      <c r="C13" s="2" t="b">
        <f>IFERROR(__xludf.DUMMYFUNCTION("""COMPUTED_VALUE"""),FALSE)</f>
        <v>0</v>
      </c>
      <c r="D13" s="8" t="str">
        <f>IFERROR(__xludf.DUMMYFUNCTION("""COMPUTED_VALUE"""),"LowVig.ag")</f>
        <v>LowVig.ag</v>
      </c>
      <c r="E13" s="7">
        <f>IFERROR(__xludf.DUMMYFUNCTION("""COMPUTED_VALUE"""),45593.91604166667)</f>
        <v>45593.91604</v>
      </c>
      <c r="F13" s="2" t="str">
        <f>IFERROR(__xludf.DUMMYFUNCTION("""COMPUTED_VALUE"""),"Pittsburgh Steelers")</f>
        <v>Pittsburgh Steelers</v>
      </c>
      <c r="G13" s="2" t="str">
        <f>IFERROR(__xludf.DUMMYFUNCTION("""COMPUTED_VALUE"""),"New York Giants")</f>
        <v>New York Giants</v>
      </c>
      <c r="H13" s="2" t="str">
        <f>IFERROR(__xludf.DUMMYFUNCTION("""COMPUTED_VALUE"""),"totals")</f>
        <v>totals</v>
      </c>
      <c r="I13" s="2" t="str">
        <f>IFERROR(__xludf.DUMMYFUNCTION("""COMPUTED_VALUE"""),"Under")</f>
        <v>Under</v>
      </c>
      <c r="J13" s="2"/>
      <c r="K13" s="2">
        <f>IFERROR(__xludf.DUMMYFUNCTION("""COMPUTED_VALUE"""),-104.0)</f>
        <v>-104</v>
      </c>
      <c r="L13" s="2">
        <f>IFERROR(__xludf.DUMMYFUNCTION("""COMPUTED_VALUE"""),37.0)</f>
        <v>37</v>
      </c>
    </row>
    <row r="14">
      <c r="A14" s="2" t="str">
        <f>IFERROR(__xludf.DUMMYFUNCTION("""COMPUTED_VALUE"""),"86278ec4bbdcadd945d79df6c695c2ec")</f>
        <v>86278ec4bbdcadd945d79df6c695c2ec</v>
      </c>
      <c r="B14" s="7">
        <f>IFERROR(__xludf.DUMMYFUNCTION("""COMPUTED_VALUE"""),45594.01041666667)</f>
        <v>45594.01042</v>
      </c>
      <c r="C14" s="2" t="b">
        <f>IFERROR(__xludf.DUMMYFUNCTION("""COMPUTED_VALUE"""),FALSE)</f>
        <v>0</v>
      </c>
      <c r="D14" s="2" t="str">
        <f>IFERROR(__xludf.DUMMYFUNCTION("""COMPUTED_VALUE"""),"BetRivers")</f>
        <v>BetRivers</v>
      </c>
      <c r="E14" s="7">
        <f>IFERROR(__xludf.DUMMYFUNCTION("""COMPUTED_VALUE"""),45593.91564814815)</f>
        <v>45593.91565</v>
      </c>
      <c r="F14" s="2" t="str">
        <f>IFERROR(__xludf.DUMMYFUNCTION("""COMPUTED_VALUE"""),"Pittsburgh Steelers")</f>
        <v>Pittsburgh Steelers</v>
      </c>
      <c r="G14" s="2" t="str">
        <f>IFERROR(__xludf.DUMMYFUNCTION("""COMPUTED_VALUE"""),"New York Giants")</f>
        <v>New York Giants</v>
      </c>
      <c r="H14" s="2" t="str">
        <f>IFERROR(__xludf.DUMMYFUNCTION("""COMPUTED_VALUE"""),"totals")</f>
        <v>totals</v>
      </c>
      <c r="I14" s="2" t="str">
        <f>IFERROR(__xludf.DUMMYFUNCTION("""COMPUTED_VALUE"""),"Over")</f>
        <v>Over</v>
      </c>
      <c r="J14" s="2"/>
      <c r="K14" s="2">
        <f>IFERROR(__xludf.DUMMYFUNCTION("""COMPUTED_VALUE"""),-108.0)</f>
        <v>-108</v>
      </c>
      <c r="L14" s="2">
        <f>IFERROR(__xludf.DUMMYFUNCTION("""COMPUTED_VALUE"""),37.0)</f>
        <v>37</v>
      </c>
    </row>
    <row r="15">
      <c r="A15" s="2" t="str">
        <f>IFERROR(__xludf.DUMMYFUNCTION("""COMPUTED_VALUE"""),"86278ec4bbdcadd945d79df6c695c2ec")</f>
        <v>86278ec4bbdcadd945d79df6c695c2ec</v>
      </c>
      <c r="B15" s="7">
        <f>IFERROR(__xludf.DUMMYFUNCTION("""COMPUTED_VALUE"""),45594.01041666667)</f>
        <v>45594.01042</v>
      </c>
      <c r="C15" s="2" t="b">
        <f>IFERROR(__xludf.DUMMYFUNCTION("""COMPUTED_VALUE"""),FALSE)</f>
        <v>0</v>
      </c>
      <c r="D15" s="2" t="str">
        <f>IFERROR(__xludf.DUMMYFUNCTION("""COMPUTED_VALUE"""),"BetRivers")</f>
        <v>BetRivers</v>
      </c>
      <c r="E15" s="7">
        <f>IFERROR(__xludf.DUMMYFUNCTION("""COMPUTED_VALUE"""),45593.91564814815)</f>
        <v>45593.91565</v>
      </c>
      <c r="F15" s="2" t="str">
        <f>IFERROR(__xludf.DUMMYFUNCTION("""COMPUTED_VALUE"""),"Pittsburgh Steelers")</f>
        <v>Pittsburgh Steelers</v>
      </c>
      <c r="G15" s="2" t="str">
        <f>IFERROR(__xludf.DUMMYFUNCTION("""COMPUTED_VALUE"""),"New York Giants")</f>
        <v>New York Giants</v>
      </c>
      <c r="H15" s="2" t="str">
        <f>IFERROR(__xludf.DUMMYFUNCTION("""COMPUTED_VALUE"""),"totals")</f>
        <v>totals</v>
      </c>
      <c r="I15" s="2" t="str">
        <f>IFERROR(__xludf.DUMMYFUNCTION("""COMPUTED_VALUE"""),"Under")</f>
        <v>Under</v>
      </c>
      <c r="J15" s="2"/>
      <c r="K15" s="2">
        <f>IFERROR(__xludf.DUMMYFUNCTION("""COMPUTED_VALUE"""),-113.0)</f>
        <v>-113</v>
      </c>
      <c r="L15" s="2">
        <f>IFERROR(__xludf.DUMMYFUNCTION("""COMPUTED_VALUE"""),37.0)</f>
        <v>37</v>
      </c>
    </row>
    <row r="16">
      <c r="A16" s="2" t="str">
        <f>IFERROR(__xludf.DUMMYFUNCTION("""COMPUTED_VALUE"""),"86278ec4bbdcadd945d79df6c695c2ec")</f>
        <v>86278ec4bbdcadd945d79df6c695c2ec</v>
      </c>
      <c r="B16" s="7">
        <f>IFERROR(__xludf.DUMMYFUNCTION("""COMPUTED_VALUE"""),45594.01041666667)</f>
        <v>45594.01042</v>
      </c>
      <c r="C16" s="2" t="b">
        <f>IFERROR(__xludf.DUMMYFUNCTION("""COMPUTED_VALUE"""),FALSE)</f>
        <v>0</v>
      </c>
      <c r="D16" s="2" t="str">
        <f>IFERROR(__xludf.DUMMYFUNCTION("""COMPUTED_VALUE"""),"BetMGM")</f>
        <v>BetMGM</v>
      </c>
      <c r="E16" s="7">
        <f>IFERROR(__xludf.DUMMYFUNCTION("""COMPUTED_VALUE"""),45593.91604166667)</f>
        <v>45593.91604</v>
      </c>
      <c r="F16" s="2" t="str">
        <f>IFERROR(__xludf.DUMMYFUNCTION("""COMPUTED_VALUE"""),"Pittsburgh Steelers")</f>
        <v>Pittsburgh Steelers</v>
      </c>
      <c r="G16" s="2" t="str">
        <f>IFERROR(__xludf.DUMMYFUNCTION("""COMPUTED_VALUE"""),"New York Giants")</f>
        <v>New York Giants</v>
      </c>
      <c r="H16" s="2" t="str">
        <f>IFERROR(__xludf.DUMMYFUNCTION("""COMPUTED_VALUE"""),"totals")</f>
        <v>totals</v>
      </c>
      <c r="I16" s="2" t="str">
        <f>IFERROR(__xludf.DUMMYFUNCTION("""COMPUTED_VALUE"""),"Over")</f>
        <v>Over</v>
      </c>
      <c r="J16" s="2"/>
      <c r="K16" s="2">
        <f>IFERROR(__xludf.DUMMYFUNCTION("""COMPUTED_VALUE"""),-115.0)</f>
        <v>-115</v>
      </c>
      <c r="L16" s="2">
        <f>IFERROR(__xludf.DUMMYFUNCTION("""COMPUTED_VALUE"""),36.5)</f>
        <v>36.5</v>
      </c>
    </row>
    <row r="17">
      <c r="A17" s="2" t="str">
        <f>IFERROR(__xludf.DUMMYFUNCTION("""COMPUTED_VALUE"""),"86278ec4bbdcadd945d79df6c695c2ec")</f>
        <v>86278ec4bbdcadd945d79df6c695c2ec</v>
      </c>
      <c r="B17" s="7">
        <f>IFERROR(__xludf.DUMMYFUNCTION("""COMPUTED_VALUE"""),45594.01041666667)</f>
        <v>45594.01042</v>
      </c>
      <c r="C17" s="2" t="b">
        <f>IFERROR(__xludf.DUMMYFUNCTION("""COMPUTED_VALUE"""),FALSE)</f>
        <v>0</v>
      </c>
      <c r="D17" s="2" t="str">
        <f>IFERROR(__xludf.DUMMYFUNCTION("""COMPUTED_VALUE"""),"BetMGM")</f>
        <v>BetMGM</v>
      </c>
      <c r="E17" s="7">
        <f>IFERROR(__xludf.DUMMYFUNCTION("""COMPUTED_VALUE"""),45593.91604166667)</f>
        <v>45593.91604</v>
      </c>
      <c r="F17" s="2" t="str">
        <f>IFERROR(__xludf.DUMMYFUNCTION("""COMPUTED_VALUE"""),"Pittsburgh Steelers")</f>
        <v>Pittsburgh Steelers</v>
      </c>
      <c r="G17" s="2" t="str">
        <f>IFERROR(__xludf.DUMMYFUNCTION("""COMPUTED_VALUE"""),"New York Giants")</f>
        <v>New York Giants</v>
      </c>
      <c r="H17" s="2" t="str">
        <f>IFERROR(__xludf.DUMMYFUNCTION("""COMPUTED_VALUE"""),"totals")</f>
        <v>totals</v>
      </c>
      <c r="I17" s="2" t="str">
        <f>IFERROR(__xludf.DUMMYFUNCTION("""COMPUTED_VALUE"""),"Under")</f>
        <v>Under</v>
      </c>
      <c r="J17" s="2"/>
      <c r="K17" s="2">
        <f>IFERROR(__xludf.DUMMYFUNCTION("""COMPUTED_VALUE"""),-105.0)</f>
        <v>-105</v>
      </c>
      <c r="L17" s="2">
        <f>IFERROR(__xludf.DUMMYFUNCTION("""COMPUTED_VALUE"""),36.5)</f>
        <v>36.5</v>
      </c>
    </row>
    <row r="18">
      <c r="A18" s="2" t="str">
        <f>IFERROR(__xludf.DUMMYFUNCTION("""COMPUTED_VALUE"""),"86278ec4bbdcadd945d79df6c695c2ec")</f>
        <v>86278ec4bbdcadd945d79df6c695c2ec</v>
      </c>
      <c r="B18" s="7">
        <f>IFERROR(__xludf.DUMMYFUNCTION("""COMPUTED_VALUE"""),45594.01041666667)</f>
        <v>45594.01042</v>
      </c>
      <c r="C18" s="2" t="b">
        <f>IFERROR(__xludf.DUMMYFUNCTION("""COMPUTED_VALUE"""),FALSE)</f>
        <v>0</v>
      </c>
      <c r="D18" s="2" t="str">
        <f>IFERROR(__xludf.DUMMYFUNCTION("""COMPUTED_VALUE"""),"Bovada")</f>
        <v>Bovada</v>
      </c>
      <c r="E18" s="7">
        <f>IFERROR(__xludf.DUMMYFUNCTION("""COMPUTED_VALUE"""),45593.91564814815)</f>
        <v>45593.91565</v>
      </c>
      <c r="F18" s="2" t="str">
        <f>IFERROR(__xludf.DUMMYFUNCTION("""COMPUTED_VALUE"""),"Pittsburgh Steelers")</f>
        <v>Pittsburgh Steelers</v>
      </c>
      <c r="G18" s="2" t="str">
        <f>IFERROR(__xludf.DUMMYFUNCTION("""COMPUTED_VALUE"""),"New York Giants")</f>
        <v>New York Giants</v>
      </c>
      <c r="H18" s="2" t="str">
        <f>IFERROR(__xludf.DUMMYFUNCTION("""COMPUTED_VALUE"""),"totals")</f>
        <v>totals</v>
      </c>
      <c r="I18" s="2" t="str">
        <f>IFERROR(__xludf.DUMMYFUNCTION("""COMPUTED_VALUE"""),"Over")</f>
        <v>Over</v>
      </c>
      <c r="J18" s="2"/>
      <c r="K18" s="2">
        <f>IFERROR(__xludf.DUMMYFUNCTION("""COMPUTED_VALUE"""),-110.0)</f>
        <v>-110</v>
      </c>
      <c r="L18" s="2">
        <f>IFERROR(__xludf.DUMMYFUNCTION("""COMPUTED_VALUE"""),37.5)</f>
        <v>37.5</v>
      </c>
    </row>
    <row r="19">
      <c r="A19" s="2" t="str">
        <f>IFERROR(__xludf.DUMMYFUNCTION("""COMPUTED_VALUE"""),"86278ec4bbdcadd945d79df6c695c2ec")</f>
        <v>86278ec4bbdcadd945d79df6c695c2ec</v>
      </c>
      <c r="B19" s="7">
        <f>IFERROR(__xludf.DUMMYFUNCTION("""COMPUTED_VALUE"""),45594.01041666667)</f>
        <v>45594.01042</v>
      </c>
      <c r="C19" s="2" t="b">
        <f>IFERROR(__xludf.DUMMYFUNCTION("""COMPUTED_VALUE"""),FALSE)</f>
        <v>0</v>
      </c>
      <c r="D19" s="2" t="str">
        <f>IFERROR(__xludf.DUMMYFUNCTION("""COMPUTED_VALUE"""),"Bovada")</f>
        <v>Bovada</v>
      </c>
      <c r="E19" s="7">
        <f>IFERROR(__xludf.DUMMYFUNCTION("""COMPUTED_VALUE"""),45593.91564814815)</f>
        <v>45593.91565</v>
      </c>
      <c r="F19" s="2" t="str">
        <f>IFERROR(__xludf.DUMMYFUNCTION("""COMPUTED_VALUE"""),"Pittsburgh Steelers")</f>
        <v>Pittsburgh Steelers</v>
      </c>
      <c r="G19" s="2" t="str">
        <f>IFERROR(__xludf.DUMMYFUNCTION("""COMPUTED_VALUE"""),"New York Giants")</f>
        <v>New York Giants</v>
      </c>
      <c r="H19" s="2" t="str">
        <f>IFERROR(__xludf.DUMMYFUNCTION("""COMPUTED_VALUE"""),"totals")</f>
        <v>totals</v>
      </c>
      <c r="I19" s="2" t="str">
        <f>IFERROR(__xludf.DUMMYFUNCTION("""COMPUTED_VALUE"""),"Under")</f>
        <v>Under</v>
      </c>
      <c r="J19" s="2"/>
      <c r="K19" s="2">
        <f>IFERROR(__xludf.DUMMYFUNCTION("""COMPUTED_VALUE"""),-110.0)</f>
        <v>-110</v>
      </c>
      <c r="L19" s="2">
        <f>IFERROR(__xludf.DUMMYFUNCTION("""COMPUTED_VALUE"""),37.5)</f>
        <v>37.5</v>
      </c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hyperlinks>
    <hyperlink r:id="rId1" ref="D8"/>
    <hyperlink r:id="rId2" ref="D9"/>
    <hyperlink r:id="rId3" ref="D10"/>
    <hyperlink r:id="rId4" ref="D11"/>
    <hyperlink r:id="rId5" ref="D12"/>
    <hyperlink r:id="rId6" ref="D13"/>
  </hyperlinks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2.57"/>
    <col customWidth="1" min="3" max="3" width="19.14"/>
    <col customWidth="1" min="4" max="4" width="33.14"/>
    <col customWidth="1" min="5" max="5" width="14.57"/>
    <col customWidth="1" min="6" max="6" width="19.29"/>
    <col customWidth="1" min="7" max="7" width="15.29"/>
    <col customWidth="1" min="8" max="8" width="19.14"/>
    <col customWidth="1" min="9" max="9" width="14.29"/>
    <col customWidth="1" min="10" max="10" width="18.14"/>
    <col customWidth="1" min="11" max="11" width="9.43"/>
    <col customWidth="1" min="12" max="12" width="13.14"/>
    <col customWidth="1" min="13" max="15" width="16.43"/>
    <col customWidth="1" min="16" max="16" width="20.29"/>
    <col customWidth="1" min="17" max="17" width="12.29"/>
    <col customWidth="1" min="18" max="18" width="13.86"/>
    <col customWidth="1" min="19" max="19" width="9.14"/>
    <col customWidth="1" min="20" max="20" width="11.29"/>
    <col customWidth="1" min="21" max="21" width="14.57"/>
    <col customWidth="1" min="22" max="22" width="33.86"/>
    <col customWidth="1" min="23" max="41" width="8.86"/>
  </cols>
  <sheetData>
    <row r="1">
      <c r="A1" s="10"/>
      <c r="B1" s="11" t="s">
        <v>88</v>
      </c>
      <c r="C1" s="11" t="s">
        <v>89</v>
      </c>
      <c r="D1" s="11" t="s">
        <v>90</v>
      </c>
      <c r="E1" s="12" t="s">
        <v>91</v>
      </c>
      <c r="F1" s="12" t="s">
        <v>92</v>
      </c>
      <c r="G1" s="12" t="s">
        <v>93</v>
      </c>
      <c r="H1" s="12" t="s">
        <v>94</v>
      </c>
      <c r="I1" s="12" t="s">
        <v>95</v>
      </c>
      <c r="J1" s="12" t="s">
        <v>96</v>
      </c>
      <c r="K1" s="12" t="s">
        <v>97</v>
      </c>
      <c r="L1" s="12" t="s">
        <v>98</v>
      </c>
      <c r="M1" s="12" t="s">
        <v>99</v>
      </c>
      <c r="N1" s="12" t="s">
        <v>100</v>
      </c>
      <c r="O1" s="12" t="s">
        <v>101</v>
      </c>
      <c r="P1" s="12" t="s">
        <v>102</v>
      </c>
      <c r="Q1" s="12" t="s">
        <v>103</v>
      </c>
      <c r="R1" s="12" t="s">
        <v>104</v>
      </c>
      <c r="S1" s="11" t="s">
        <v>105</v>
      </c>
      <c r="T1" s="11" t="s">
        <v>106</v>
      </c>
      <c r="U1" s="11" t="s">
        <v>107</v>
      </c>
      <c r="V1" s="11" t="s">
        <v>108</v>
      </c>
    </row>
    <row r="2">
      <c r="A2" s="2">
        <f>VLOOKUP(B2,map!B:C,2,false)</f>
        <v>11</v>
      </c>
      <c r="B2" s="8" t="str">
        <f>IFERROR(__xludf.DUMMYFUNCTION("UNIQUE(ppp!B2:B1000)"),"Buffalo")</f>
        <v>Buffalo</v>
      </c>
      <c r="C2" s="2">
        <f>VLOOKUP(B2,ppp!B:D,2,false)</f>
        <v>0.506</v>
      </c>
      <c r="D2" s="2">
        <f>VLOOKUP(B2,oppp!B:D,3,false)</f>
        <v>0.275</v>
      </c>
      <c r="E2" s="2">
        <f>VLOOKUP(B2,ppg!B:D,3,false)</f>
        <v>57.7</v>
      </c>
      <c r="F2" s="2">
        <f>VLOOKUP(B2,oppg!B:D,3,false)</f>
        <v>64.3</v>
      </c>
      <c r="G2" s="2">
        <f t="shared" ref="G2:H2" si="1">C2*E2</f>
        <v>29.1962</v>
      </c>
      <c r="H2" s="2">
        <f t="shared" si="1"/>
        <v>17.6825</v>
      </c>
      <c r="I2" s="2">
        <f>VLOOKUP(B2,ypp!B:D,3,false)</f>
        <v>13.3</v>
      </c>
      <c r="J2" s="2">
        <f>VLOOKUP(B2,oypp!B:D,3,false)</f>
        <v>20.9</v>
      </c>
      <c r="K2" s="2">
        <f>VLOOKUP(B2,ypg!B:D,3,false)</f>
        <v>341.3</v>
      </c>
      <c r="L2" s="2">
        <f>VLOOKUP(B2,oypg!B:D,3,false)</f>
        <v>369</v>
      </c>
      <c r="M2" s="2">
        <f>VLOOKUP(B2,pts!B:D,3,false)</f>
        <v>25.7</v>
      </c>
      <c r="N2" s="2">
        <f>VLOOKUP(B2,pts_allowed!B:D,3,false)</f>
        <v>17.7</v>
      </c>
      <c r="O2" s="2">
        <f t="shared" ref="O2:P2" si="2">K2/I2</f>
        <v>25.66165414</v>
      </c>
      <c r="P2" s="2">
        <f t="shared" si="2"/>
        <v>17.65550239</v>
      </c>
      <c r="Q2" s="2">
        <f t="shared" ref="Q2:R2" si="3">AVERAGE(G2,O2)</f>
        <v>27.42892707</v>
      </c>
      <c r="R2" s="2">
        <f t="shared" si="3"/>
        <v>17.6690012</v>
      </c>
      <c r="S2" s="2">
        <f t="shared" ref="S2:T2" si="4">C2^2</f>
        <v>0.256036</v>
      </c>
      <c r="T2" s="2">
        <f t="shared" si="4"/>
        <v>0.075625</v>
      </c>
      <c r="U2" s="2">
        <f t="shared" ref="U2:U33" si="9">C2*D2</f>
        <v>0.13915</v>
      </c>
      <c r="V2" s="2">
        <f t="shared" ref="V2:V33" si="10">(539.74018020587 + -1500.26539744571*C2 + -1186.37123455081*D2 + 1153.48772164877*S2 + 1860.9264617142*T2 + 403.356462157829*U2)</f>
        <v>-53.45220273</v>
      </c>
    </row>
    <row r="3">
      <c r="A3" s="2">
        <f>VLOOKUP(B3,map!B:C,2,false)</f>
        <v>8</v>
      </c>
      <c r="B3" s="8" t="str">
        <f>IFERROR(__xludf.DUMMYFUNCTION("""COMPUTED_VALUE"""),"Washington")</f>
        <v>Washington</v>
      </c>
      <c r="C3" s="2">
        <f>VLOOKUP(B3,ppp!B:D,2,false)</f>
        <v>0.503</v>
      </c>
      <c r="D3" s="2">
        <f>VLOOKUP(B3,oppp!B:D,3,false)</f>
        <v>0.299</v>
      </c>
      <c r="E3" s="2">
        <f>VLOOKUP(B3,ppg!B:D,3,false)</f>
        <v>61.3</v>
      </c>
      <c r="F3" s="2">
        <f>VLOOKUP(B3,oppg!B:D,3,false)</f>
        <v>55.7</v>
      </c>
      <c r="G3" s="2">
        <f t="shared" ref="G3:H3" si="5">C3*E3</f>
        <v>30.8339</v>
      </c>
      <c r="H3" s="2">
        <f t="shared" si="5"/>
        <v>16.6543</v>
      </c>
      <c r="I3" s="2">
        <f>VLOOKUP(B3,ypp!B:D,3,false)</f>
        <v>12</v>
      </c>
      <c r="J3" s="2">
        <f>VLOOKUP(B3,oypp!B:D,3,false)</f>
        <v>17.5</v>
      </c>
      <c r="K3" s="2">
        <f>VLOOKUP(B3,ypg!B:D,3,false)</f>
        <v>386.7</v>
      </c>
      <c r="L3" s="2">
        <f>VLOOKUP(B3,oypg!B:D,3,false)</f>
        <v>292</v>
      </c>
      <c r="M3" s="2">
        <f>VLOOKUP(B3,pts!B:D,3,false)</f>
        <v>32.3</v>
      </c>
      <c r="N3" s="2">
        <f>VLOOKUP(B3,pts_allowed!B:D,3,false)</f>
        <v>16.7</v>
      </c>
      <c r="O3" s="2">
        <f t="shared" ref="O3:P3" si="6">K3/I3</f>
        <v>32.225</v>
      </c>
      <c r="P3" s="2">
        <f t="shared" si="6"/>
        <v>16.68571429</v>
      </c>
      <c r="Q3" s="2">
        <f t="shared" ref="Q3:R3" si="7">AVERAGE(G3,O3)</f>
        <v>31.52945</v>
      </c>
      <c r="R3" s="2">
        <f t="shared" si="7"/>
        <v>16.67000714</v>
      </c>
      <c r="S3" s="2">
        <f t="shared" ref="S3:T3" si="8">C3^2</f>
        <v>0.253009</v>
      </c>
      <c r="T3" s="2">
        <f t="shared" si="8"/>
        <v>0.089401</v>
      </c>
      <c r="U3" s="2">
        <f t="shared" si="9"/>
        <v>0.150397</v>
      </c>
      <c r="V3" s="2">
        <f t="shared" si="10"/>
        <v>-50.74325043</v>
      </c>
    </row>
    <row r="4">
      <c r="A4" s="2">
        <f>VLOOKUP(B4,map!B:C,2,false)</f>
        <v>30</v>
      </c>
      <c r="B4" s="8" t="str">
        <f>IFERROR(__xludf.DUMMYFUNCTION("""COMPUTED_VALUE"""),"Baltimore")</f>
        <v>Baltimore</v>
      </c>
      <c r="C4" s="2">
        <f>VLOOKUP(B4,ppp!B:D,2,false)</f>
        <v>0.488</v>
      </c>
      <c r="D4" s="2">
        <f>VLOOKUP(B4,oppp!B:D,3,false)</f>
        <v>0.462</v>
      </c>
      <c r="E4" s="2">
        <f>VLOOKUP(B4,ppg!B:D,3,false)</f>
        <v>65.3</v>
      </c>
      <c r="F4" s="2">
        <f>VLOOKUP(B4,oppg!B:D,3,false)</f>
        <v>66.3</v>
      </c>
      <c r="G4" s="2">
        <f t="shared" ref="G4:H4" si="11">C4*E4</f>
        <v>31.8664</v>
      </c>
      <c r="H4" s="2">
        <f t="shared" si="11"/>
        <v>30.6306</v>
      </c>
      <c r="I4" s="2">
        <f>VLOOKUP(B4,ypp!B:D,3,false)</f>
        <v>13.5</v>
      </c>
      <c r="J4" s="2">
        <f>VLOOKUP(B4,oypp!B:D,3,false)</f>
        <v>13.3</v>
      </c>
      <c r="K4" s="2">
        <f>VLOOKUP(B4,ypg!B:D,3,false)</f>
        <v>504</v>
      </c>
      <c r="L4" s="2">
        <f>VLOOKUP(B4,oypg!B:D,3,false)</f>
        <v>409.3</v>
      </c>
      <c r="M4" s="2">
        <f>VLOOKUP(B4,pts!B:D,3,false)</f>
        <v>37.3</v>
      </c>
      <c r="N4" s="2">
        <f>VLOOKUP(B4,pts_allowed!B:D,3,false)</f>
        <v>30.7</v>
      </c>
      <c r="O4" s="2">
        <f t="shared" ref="O4:P4" si="12">K4/I4</f>
        <v>37.33333333</v>
      </c>
      <c r="P4" s="2">
        <f t="shared" si="12"/>
        <v>30.77443609</v>
      </c>
      <c r="Q4" s="2">
        <f t="shared" ref="Q4:R4" si="13">AVERAGE(G4,O4)</f>
        <v>34.59986667</v>
      </c>
      <c r="R4" s="2">
        <f t="shared" si="13"/>
        <v>30.70251805</v>
      </c>
      <c r="S4" s="2">
        <f t="shared" ref="S4:T4" si="14">C4^2</f>
        <v>0.238144</v>
      </c>
      <c r="T4" s="2">
        <f t="shared" si="14"/>
        <v>0.213444</v>
      </c>
      <c r="U4" s="2">
        <f t="shared" si="9"/>
        <v>0.225456</v>
      </c>
      <c r="V4" s="2">
        <f t="shared" si="10"/>
        <v>22.3460581</v>
      </c>
    </row>
    <row r="5">
      <c r="A5" s="2">
        <f>VLOOKUP(B5,map!B:C,2,false)</f>
        <v>14</v>
      </c>
      <c r="B5" s="8" t="str">
        <f>IFERROR(__xludf.DUMMYFUNCTION("""COMPUTED_VALUE"""),"Tampa Bay")</f>
        <v>Tampa Bay</v>
      </c>
      <c r="C5" s="2">
        <f>VLOOKUP(B5,ppp!B:D,2,false)</f>
        <v>0.476</v>
      </c>
      <c r="D5" s="2">
        <f>VLOOKUP(B5,oppp!B:D,3,false)</f>
        <v>0.517</v>
      </c>
      <c r="E5" s="2">
        <f>VLOOKUP(B5,ppg!B:D,3,false)</f>
        <v>67</v>
      </c>
      <c r="F5" s="2">
        <f>VLOOKUP(B5,oppg!B:D,3,false)</f>
        <v>67</v>
      </c>
      <c r="G5" s="2">
        <f t="shared" ref="G5:H5" si="15">C5*E5</f>
        <v>31.892</v>
      </c>
      <c r="H5" s="2">
        <f t="shared" si="15"/>
        <v>34.639</v>
      </c>
      <c r="I5" s="2">
        <f>VLOOKUP(B5,ypp!B:D,3,false)</f>
        <v>12.6</v>
      </c>
      <c r="J5" s="2">
        <f>VLOOKUP(B5,oypp!B:D,3,false)</f>
        <v>13.1</v>
      </c>
      <c r="K5" s="2">
        <f>VLOOKUP(B5,ypg!B:D,3,false)</f>
        <v>469.3</v>
      </c>
      <c r="L5" s="2">
        <f>VLOOKUP(B5,oypg!B:D,3,false)</f>
        <v>453.7</v>
      </c>
      <c r="M5" s="2">
        <f>VLOOKUP(B5,pts!B:D,3,false)</f>
        <v>37.3</v>
      </c>
      <c r="N5" s="2">
        <f>VLOOKUP(B5,pts_allowed!B:D,3,false)</f>
        <v>34.7</v>
      </c>
      <c r="O5" s="2">
        <f t="shared" ref="O5:P5" si="16">K5/I5</f>
        <v>37.24603175</v>
      </c>
      <c r="P5" s="2">
        <f t="shared" si="16"/>
        <v>34.63358779</v>
      </c>
      <c r="Q5" s="2">
        <f t="shared" ref="Q5:R5" si="17">AVERAGE(G5,O5)</f>
        <v>34.56901587</v>
      </c>
      <c r="R5" s="2">
        <f t="shared" si="17"/>
        <v>34.63629389</v>
      </c>
      <c r="S5" s="2">
        <f t="shared" ref="S5:T5" si="18">C5^2</f>
        <v>0.226576</v>
      </c>
      <c r="T5" s="2">
        <f t="shared" si="18"/>
        <v>0.267289</v>
      </c>
      <c r="U5" s="2">
        <f t="shared" si="9"/>
        <v>0.246092</v>
      </c>
      <c r="V5" s="2">
        <f t="shared" si="10"/>
        <v>70.28052829</v>
      </c>
    </row>
    <row r="6">
      <c r="A6" s="2">
        <f>VLOOKUP(B6,map!B:C,2,false)</f>
        <v>5</v>
      </c>
      <c r="B6" s="8" t="str">
        <f>IFERROR(__xludf.DUMMYFUNCTION("""COMPUTED_VALUE"""),"Detroit")</f>
        <v>Detroit</v>
      </c>
      <c r="C6" s="2">
        <f>VLOOKUP(B6,ppp!B:D,2,false)</f>
        <v>0.474</v>
      </c>
      <c r="D6" s="2">
        <f>VLOOKUP(B6,oppp!B:D,3,false)</f>
        <v>0.344</v>
      </c>
      <c r="E6" s="2">
        <f>VLOOKUP(B6,ppg!B:D,3,false)</f>
        <v>57.3</v>
      </c>
      <c r="F6" s="2">
        <f>VLOOKUP(B6,oppg!B:D,3,false)</f>
        <v>65</v>
      </c>
      <c r="G6" s="2">
        <f t="shared" ref="G6:H6" si="19">C6*E6</f>
        <v>27.1602</v>
      </c>
      <c r="H6" s="2">
        <f t="shared" si="19"/>
        <v>22.36</v>
      </c>
      <c r="I6" s="2">
        <f>VLOOKUP(B6,ypp!B:D,3,false)</f>
        <v>10.6</v>
      </c>
      <c r="J6" s="2">
        <f>VLOOKUP(B6,oypp!B:D,3,false)</f>
        <v>17.2</v>
      </c>
      <c r="K6" s="2">
        <f>VLOOKUP(B6,ypg!B:D,3,false)</f>
        <v>424</v>
      </c>
      <c r="L6" s="2">
        <f>VLOOKUP(B6,oypg!B:D,3,false)</f>
        <v>383.3</v>
      </c>
      <c r="M6" s="2">
        <f>VLOOKUP(B6,pts!B:D,3,false)</f>
        <v>40</v>
      </c>
      <c r="N6" s="2">
        <f>VLOOKUP(B6,pts_allowed!B:D,3,false)</f>
        <v>22.3</v>
      </c>
      <c r="O6" s="2">
        <f t="shared" ref="O6:P6" si="20">K6/I6</f>
        <v>40</v>
      </c>
      <c r="P6" s="2">
        <f t="shared" si="20"/>
        <v>22.28488372</v>
      </c>
      <c r="Q6" s="2">
        <f t="shared" ref="Q6:R6" si="21">AVERAGE(G6,O6)</f>
        <v>33.5801</v>
      </c>
      <c r="R6" s="2">
        <f t="shared" si="21"/>
        <v>22.32244186</v>
      </c>
      <c r="S6" s="2">
        <f t="shared" ref="S6:T6" si="22">C6^2</f>
        <v>0.224676</v>
      </c>
      <c r="T6" s="2">
        <f t="shared" si="22"/>
        <v>0.118336</v>
      </c>
      <c r="U6" s="2">
        <f t="shared" si="9"/>
        <v>0.163056</v>
      </c>
      <c r="V6" s="2">
        <f t="shared" si="10"/>
        <v>-34.35203045</v>
      </c>
    </row>
    <row r="7">
      <c r="A7" s="2">
        <f>VLOOKUP(B7,map!B:C,2,false)</f>
        <v>3</v>
      </c>
      <c r="B7" s="8" t="str">
        <f>IFERROR(__xludf.DUMMYFUNCTION("""COMPUTED_VALUE"""),"Minnesota")</f>
        <v>Minnesota</v>
      </c>
      <c r="C7" s="2">
        <f>VLOOKUP(B7,ppp!B:D,2,false)</f>
        <v>0.474</v>
      </c>
      <c r="D7" s="2">
        <f>VLOOKUP(B7,oppp!B:D,3,false)</f>
        <v>0.404</v>
      </c>
      <c r="E7" s="2">
        <f>VLOOKUP(B7,ppg!B:D,3,false)</f>
        <v>56</v>
      </c>
      <c r="F7" s="2">
        <f>VLOOKUP(B7,oppg!B:D,3,false)</f>
        <v>64.3</v>
      </c>
      <c r="G7" s="2">
        <f t="shared" ref="G7:H7" si="23">C7*E7</f>
        <v>26.544</v>
      </c>
      <c r="H7" s="2">
        <f t="shared" si="23"/>
        <v>25.9772</v>
      </c>
      <c r="I7" s="2">
        <f>VLOOKUP(B7,ypp!B:D,3,false)</f>
        <v>12.7</v>
      </c>
      <c r="J7" s="2">
        <f>VLOOKUP(B7,oypp!B:D,3,false)</f>
        <v>13.2</v>
      </c>
      <c r="K7" s="2">
        <f>VLOOKUP(B7,ypg!B:D,3,false)</f>
        <v>304</v>
      </c>
      <c r="L7" s="2">
        <f>VLOOKUP(B7,oypg!B:D,3,false)</f>
        <v>343.7</v>
      </c>
      <c r="M7" s="2">
        <f>VLOOKUP(B7,pts!B:D,3,false)</f>
        <v>24</v>
      </c>
      <c r="N7" s="2">
        <f>VLOOKUP(B7,pts_allowed!B:D,3,false)</f>
        <v>26</v>
      </c>
      <c r="O7" s="2">
        <f t="shared" ref="O7:P7" si="24">K7/I7</f>
        <v>23.93700787</v>
      </c>
      <c r="P7" s="2">
        <f t="shared" si="24"/>
        <v>26.03787879</v>
      </c>
      <c r="Q7" s="2">
        <f t="shared" ref="Q7:R7" si="25">AVERAGE(G7,O7)</f>
        <v>25.24050394</v>
      </c>
      <c r="R7" s="2">
        <f t="shared" si="25"/>
        <v>26.00753939</v>
      </c>
      <c r="S7" s="2">
        <f t="shared" ref="S7:T7" si="26">C7^2</f>
        <v>0.224676</v>
      </c>
      <c r="T7" s="2">
        <f t="shared" si="26"/>
        <v>0.163216</v>
      </c>
      <c r="U7" s="2">
        <f t="shared" si="9"/>
        <v>0.191496</v>
      </c>
      <c r="V7" s="2">
        <f t="shared" si="10"/>
        <v>-10.54446714</v>
      </c>
    </row>
    <row r="8">
      <c r="A8" s="2">
        <f>VLOOKUP(B8,map!B:C,2,false)</f>
        <v>4</v>
      </c>
      <c r="B8" s="8" t="str">
        <f>IFERROR(__xludf.DUMMYFUNCTION("""COMPUTED_VALUE"""),"Cincinnati")</f>
        <v>Cincinnati</v>
      </c>
      <c r="C8" s="2">
        <f>VLOOKUP(B8,ppp!B:D,2,false)</f>
        <v>0.444</v>
      </c>
      <c r="D8" s="2">
        <f>VLOOKUP(B8,oppp!B:D,3,false)</f>
        <v>0.272</v>
      </c>
      <c r="E8" s="2">
        <f>VLOOKUP(B8,ppg!B:D,3,false)</f>
        <v>56.7</v>
      </c>
      <c r="F8" s="2">
        <f>VLOOKUP(B8,oppg!B:D,3,false)</f>
        <v>76</v>
      </c>
      <c r="G8" s="2">
        <f t="shared" ref="G8:H8" si="27">C8*E8</f>
        <v>25.1748</v>
      </c>
      <c r="H8" s="2">
        <f t="shared" si="27"/>
        <v>20.672</v>
      </c>
      <c r="I8" s="2">
        <f>VLOOKUP(B8,ypp!B:D,3,false)</f>
        <v>12.8</v>
      </c>
      <c r="J8" s="2">
        <f>VLOOKUP(B8,oypp!B:D,3,false)</f>
        <v>18.8</v>
      </c>
      <c r="K8" s="2">
        <f>VLOOKUP(B8,ypg!B:D,3,false)</f>
        <v>323</v>
      </c>
      <c r="L8" s="2">
        <f>VLOOKUP(B8,oypg!B:D,3,false)</f>
        <v>388.3</v>
      </c>
      <c r="M8" s="2">
        <f>VLOOKUP(B8,pts!B:D,3,false)</f>
        <v>25.3</v>
      </c>
      <c r="N8" s="2">
        <f>VLOOKUP(B8,pts_allowed!B:D,3,false)</f>
        <v>20.7</v>
      </c>
      <c r="O8" s="2">
        <f t="shared" ref="O8:P8" si="28">K8/I8</f>
        <v>25.234375</v>
      </c>
      <c r="P8" s="2">
        <f t="shared" si="28"/>
        <v>20.65425532</v>
      </c>
      <c r="Q8" s="2">
        <f t="shared" ref="Q8:R8" si="29">AVERAGE(G8,O8)</f>
        <v>25.2045875</v>
      </c>
      <c r="R8" s="2">
        <f t="shared" si="29"/>
        <v>20.66312766</v>
      </c>
      <c r="S8" s="2">
        <f t="shared" ref="S8:T8" si="30">C8^2</f>
        <v>0.197136</v>
      </c>
      <c r="T8" s="2">
        <f t="shared" si="30"/>
        <v>0.073984</v>
      </c>
      <c r="U8" s="2">
        <f t="shared" si="9"/>
        <v>0.120768</v>
      </c>
      <c r="V8" s="2">
        <f t="shared" si="10"/>
        <v>-35.28534</v>
      </c>
    </row>
    <row r="9">
      <c r="A9" s="2">
        <f>VLOOKUP(B9,map!B:C,2,false)</f>
        <v>15</v>
      </c>
      <c r="B9" s="8" t="str">
        <f>IFERROR(__xludf.DUMMYFUNCTION("""COMPUTED_VALUE"""),"Green Bay")</f>
        <v>Green Bay</v>
      </c>
      <c r="C9" s="2">
        <f>VLOOKUP(B9,ppp!B:D,2,false)</f>
        <v>0.421</v>
      </c>
      <c r="D9" s="2">
        <f>VLOOKUP(B9,oppp!B:D,3,false)</f>
        <v>0.286</v>
      </c>
      <c r="E9" s="2">
        <f>VLOOKUP(B9,ppg!B:D,3,false)</f>
        <v>61.3</v>
      </c>
      <c r="F9" s="2">
        <f>VLOOKUP(B9,oppg!B:D,3,false)</f>
        <v>63</v>
      </c>
      <c r="G9" s="2">
        <f t="shared" ref="G9:H9" si="31">C9*E9</f>
        <v>25.8073</v>
      </c>
      <c r="H9" s="2">
        <f t="shared" si="31"/>
        <v>18.018</v>
      </c>
      <c r="I9" s="2">
        <f>VLOOKUP(B9,ypp!B:D,3,false)</f>
        <v>12.6</v>
      </c>
      <c r="J9" s="2">
        <f>VLOOKUP(B9,oypp!B:D,3,false)</f>
        <v>16.1</v>
      </c>
      <c r="K9" s="2">
        <f>VLOOKUP(B9,ypg!B:D,3,false)</f>
        <v>345.7</v>
      </c>
      <c r="L9" s="2">
        <f>VLOOKUP(B9,oypg!B:D,3,false)</f>
        <v>290</v>
      </c>
      <c r="M9" s="2">
        <f>VLOOKUP(B9,pts!B:D,3,false)</f>
        <v>27.3</v>
      </c>
      <c r="N9" s="2">
        <f>VLOOKUP(B9,pts_allowed!B:D,3,false)</f>
        <v>18</v>
      </c>
      <c r="O9" s="2">
        <f t="shared" ref="O9:P9" si="32">K9/I9</f>
        <v>27.43650794</v>
      </c>
      <c r="P9" s="2">
        <f t="shared" si="32"/>
        <v>18.01242236</v>
      </c>
      <c r="Q9" s="2">
        <f t="shared" ref="Q9:R9" si="33">AVERAGE(G9,O9)</f>
        <v>26.62190397</v>
      </c>
      <c r="R9" s="2">
        <f t="shared" si="33"/>
        <v>18.01521118</v>
      </c>
      <c r="S9" s="2">
        <f t="shared" ref="S9:T9" si="34">C9^2</f>
        <v>0.177241</v>
      </c>
      <c r="T9" s="2">
        <f t="shared" si="34"/>
        <v>0.081796</v>
      </c>
      <c r="U9" s="2">
        <f t="shared" si="9"/>
        <v>0.120406</v>
      </c>
      <c r="V9" s="2">
        <f t="shared" si="10"/>
        <v>-25.94552888</v>
      </c>
    </row>
    <row r="10">
      <c r="A10" s="2">
        <f>VLOOKUP(B10,map!B:C,2,false)</f>
        <v>9</v>
      </c>
      <c r="B10" s="8" t="str">
        <f>IFERROR(__xludf.DUMMYFUNCTION("""COMPUTED_VALUE"""),"New Orleans")</f>
        <v>New Orleans</v>
      </c>
      <c r="C10" s="2">
        <f>VLOOKUP(B10,ppp!B:D,2,false)</f>
        <v>0.415</v>
      </c>
      <c r="D10" s="2">
        <f>VLOOKUP(B10,oppp!B:D,3,false)</f>
        <v>0.516</v>
      </c>
      <c r="E10" s="2">
        <f>VLOOKUP(B10,ppg!B:D,3,false)</f>
        <v>61</v>
      </c>
      <c r="F10" s="2">
        <f>VLOOKUP(B10,oppg!B:D,3,false)</f>
        <v>71</v>
      </c>
      <c r="G10" s="2">
        <f t="shared" ref="G10:H10" si="35">C10*E10</f>
        <v>25.315</v>
      </c>
      <c r="H10" s="2">
        <f t="shared" si="35"/>
        <v>36.636</v>
      </c>
      <c r="I10" s="2">
        <f>VLOOKUP(B10,ypp!B:D,3,false)</f>
        <v>15.9</v>
      </c>
      <c r="J10" s="2">
        <f>VLOOKUP(B10,oypp!B:D,3,false)</f>
        <v>13.1</v>
      </c>
      <c r="K10" s="2">
        <f>VLOOKUP(B10,ypg!B:D,3,false)</f>
        <v>264.7</v>
      </c>
      <c r="L10" s="2">
        <f>VLOOKUP(B10,oypg!B:D,3,false)</f>
        <v>481</v>
      </c>
      <c r="M10" s="2">
        <f>VLOOKUP(B10,pts!B:D,3,false)</f>
        <v>16.7</v>
      </c>
      <c r="N10" s="2">
        <f>VLOOKUP(B10,pts_allowed!B:D,3,false)</f>
        <v>36.7</v>
      </c>
      <c r="O10" s="2">
        <f t="shared" ref="O10:P10" si="36">K10/I10</f>
        <v>16.64779874</v>
      </c>
      <c r="P10" s="2">
        <f t="shared" si="36"/>
        <v>36.71755725</v>
      </c>
      <c r="Q10" s="2">
        <f t="shared" ref="Q10:R10" si="37">AVERAGE(G10,O10)</f>
        <v>20.98139937</v>
      </c>
      <c r="R10" s="2">
        <f t="shared" si="37"/>
        <v>36.67677863</v>
      </c>
      <c r="S10" s="2">
        <f t="shared" ref="S10:T10" si="38">C10^2</f>
        <v>0.172225</v>
      </c>
      <c r="T10" s="2">
        <f t="shared" si="38"/>
        <v>0.266256</v>
      </c>
      <c r="U10" s="2">
        <f t="shared" si="9"/>
        <v>0.21414</v>
      </c>
      <c r="V10" s="2">
        <f t="shared" si="10"/>
        <v>85.4794949</v>
      </c>
    </row>
    <row r="11">
      <c r="A11" s="2">
        <f>VLOOKUP(B11,map!B:C,2,false)</f>
        <v>25</v>
      </c>
      <c r="B11" s="8" t="str">
        <f>IFERROR(__xludf.DUMMYFUNCTION("""COMPUTED_VALUE"""),"San Francisco")</f>
        <v>San Francisco</v>
      </c>
      <c r="C11" s="2">
        <f>VLOOKUP(B11,ppp!B:D,2,false)</f>
        <v>0.407</v>
      </c>
      <c r="D11" s="2">
        <f>VLOOKUP(B11,oppp!B:D,3,false)</f>
        <v>0.384</v>
      </c>
      <c r="E11" s="2">
        <f>VLOOKUP(B11,ppg!B:D,3,false)</f>
        <v>60</v>
      </c>
      <c r="F11" s="2">
        <f>VLOOKUP(B11,oppg!B:D,3,false)</f>
        <v>66</v>
      </c>
      <c r="G11" s="2">
        <f t="shared" ref="G11:H11" si="39">C11*E11</f>
        <v>24.42</v>
      </c>
      <c r="H11" s="2">
        <f t="shared" si="39"/>
        <v>25.344</v>
      </c>
      <c r="I11" s="2">
        <f>VLOOKUP(B11,ypp!B:D,3,false)</f>
        <v>15.3</v>
      </c>
      <c r="J11" s="2">
        <f>VLOOKUP(B11,oypp!B:D,3,false)</f>
        <v>13.8</v>
      </c>
      <c r="K11" s="2">
        <f>VLOOKUP(B11,ypg!B:D,3,false)</f>
        <v>392.3</v>
      </c>
      <c r="L11" s="2">
        <f>VLOOKUP(B11,oypg!B:D,3,false)</f>
        <v>348.3</v>
      </c>
      <c r="M11" s="2">
        <f>VLOOKUP(B11,pts!B:D,3,false)</f>
        <v>25.7</v>
      </c>
      <c r="N11" s="2">
        <f>VLOOKUP(B11,pts_allowed!B:D,3,false)</f>
        <v>25.3</v>
      </c>
      <c r="O11" s="2">
        <f t="shared" ref="O11:P11" si="40">K11/I11</f>
        <v>25.64052288</v>
      </c>
      <c r="P11" s="2">
        <f t="shared" si="40"/>
        <v>25.23913043</v>
      </c>
      <c r="Q11" s="2">
        <f t="shared" ref="Q11:R11" si="41">AVERAGE(G11,O11)</f>
        <v>25.03026144</v>
      </c>
      <c r="R11" s="2">
        <f t="shared" si="41"/>
        <v>25.29156522</v>
      </c>
      <c r="S11" s="2">
        <f t="shared" ref="S11:T11" si="42">C11^2</f>
        <v>0.165649</v>
      </c>
      <c r="T11" s="2">
        <f t="shared" si="42"/>
        <v>0.147456</v>
      </c>
      <c r="U11" s="2">
        <f t="shared" si="9"/>
        <v>0.156288</v>
      </c>
      <c r="V11" s="2">
        <f t="shared" si="10"/>
        <v>2.084244078</v>
      </c>
    </row>
    <row r="12">
      <c r="A12" s="2">
        <f>VLOOKUP(B12,map!B:C,2,false)</f>
        <v>13</v>
      </c>
      <c r="B12" s="8" t="str">
        <f>IFERROR(__xludf.DUMMYFUNCTION("""COMPUTED_VALUE"""),"Seattle")</f>
        <v>Seattle</v>
      </c>
      <c r="C12" s="2">
        <f>VLOOKUP(B12,ppp!B:D,2,false)</f>
        <v>0.399</v>
      </c>
      <c r="D12" s="2">
        <f>VLOOKUP(B12,oppp!B:D,3,false)</f>
        <v>0.389</v>
      </c>
      <c r="E12" s="2">
        <f>VLOOKUP(B12,ppg!B:D,3,false)</f>
        <v>62.3</v>
      </c>
      <c r="F12" s="2">
        <f>VLOOKUP(B12,oppg!B:D,3,false)</f>
        <v>67.7</v>
      </c>
      <c r="G12" s="2">
        <f t="shared" ref="G12:H12" si="43">C12*E12</f>
        <v>24.8577</v>
      </c>
      <c r="H12" s="2">
        <f t="shared" si="43"/>
        <v>26.3353</v>
      </c>
      <c r="I12" s="2">
        <f>VLOOKUP(B12,ypp!B:D,3,false)</f>
        <v>13.2</v>
      </c>
      <c r="J12" s="2">
        <f>VLOOKUP(B12,oypp!B:D,3,false)</f>
        <v>16.1</v>
      </c>
      <c r="K12" s="2">
        <f>VLOOKUP(B12,ypg!B:D,3,false)</f>
        <v>343.3</v>
      </c>
      <c r="L12" s="2">
        <f>VLOOKUP(B12,oypg!B:D,3,false)</f>
        <v>424</v>
      </c>
      <c r="M12" s="2">
        <f>VLOOKUP(B12,pts!B:D,3,false)</f>
        <v>26</v>
      </c>
      <c r="N12" s="2">
        <f>VLOOKUP(B12,pts_allowed!B:D,3,false)</f>
        <v>26.3</v>
      </c>
      <c r="O12" s="2">
        <f t="shared" ref="O12:P12" si="44">K12/I12</f>
        <v>26.00757576</v>
      </c>
      <c r="P12" s="2">
        <f t="shared" si="44"/>
        <v>26.33540373</v>
      </c>
      <c r="Q12" s="2">
        <f t="shared" ref="Q12:R12" si="45">AVERAGE(G12,O12)</f>
        <v>25.43263788</v>
      </c>
      <c r="R12" s="2">
        <f t="shared" si="45"/>
        <v>26.33535186</v>
      </c>
      <c r="S12" s="2">
        <f t="shared" ref="S12:T12" si="46">C12^2</f>
        <v>0.159201</v>
      </c>
      <c r="T12" s="2">
        <f t="shared" si="46"/>
        <v>0.151321</v>
      </c>
      <c r="U12" s="2">
        <f t="shared" si="9"/>
        <v>0.155211</v>
      </c>
      <c r="V12" s="2">
        <f t="shared" si="10"/>
        <v>7.47488812</v>
      </c>
    </row>
    <row r="13">
      <c r="A13" s="2">
        <f>VLOOKUP(B13,map!B:C,2,false)</f>
        <v>31</v>
      </c>
      <c r="B13" s="8" t="str">
        <f>IFERROR(__xludf.DUMMYFUNCTION("""COMPUTED_VALUE"""),"Chicago")</f>
        <v>Chicago</v>
      </c>
      <c r="C13" s="2">
        <f>VLOOKUP(B13,ppp!B:D,2,false)</f>
        <v>0.382</v>
      </c>
      <c r="D13" s="2">
        <f>VLOOKUP(B13,oppp!B:D,3,false)</f>
        <v>0.25</v>
      </c>
      <c r="E13" s="2">
        <f>VLOOKUP(B13,ppg!B:D,3,false)</f>
        <v>61.3</v>
      </c>
      <c r="F13" s="2">
        <f>VLOOKUP(B13,oppg!B:D,3,false)</f>
        <v>58.7</v>
      </c>
      <c r="G13" s="2">
        <f t="shared" ref="G13:H13" si="47">C13*E13</f>
        <v>23.4166</v>
      </c>
      <c r="H13" s="2">
        <f t="shared" si="47"/>
        <v>14.675</v>
      </c>
      <c r="I13" s="2">
        <f>VLOOKUP(B13,ypp!B:D,3,false)</f>
        <v>11.2</v>
      </c>
      <c r="J13" s="2">
        <f>VLOOKUP(B13,oypp!B:D,3,false)</f>
        <v>20.3</v>
      </c>
      <c r="K13" s="2">
        <f>VLOOKUP(B13,ypg!B:D,3,false)</f>
        <v>353.7</v>
      </c>
      <c r="L13" s="2">
        <f>VLOOKUP(B13,oypg!B:D,3,false)</f>
        <v>297.3</v>
      </c>
      <c r="M13" s="2">
        <f>VLOOKUP(B13,pts!B:D,3,false)</f>
        <v>31.7</v>
      </c>
      <c r="N13" s="2">
        <f>VLOOKUP(B13,pts_allowed!B:D,3,false)</f>
        <v>14.7</v>
      </c>
      <c r="O13" s="2">
        <f t="shared" ref="O13:P13" si="48">K13/I13</f>
        <v>31.58035714</v>
      </c>
      <c r="P13" s="2">
        <f t="shared" si="48"/>
        <v>14.6453202</v>
      </c>
      <c r="Q13" s="2">
        <f t="shared" ref="Q13:R13" si="49">AVERAGE(G13,O13)</f>
        <v>27.49847857</v>
      </c>
      <c r="R13" s="2">
        <f t="shared" si="49"/>
        <v>14.6601601</v>
      </c>
      <c r="S13" s="2">
        <f t="shared" ref="S13:T13" si="50">C13^2</f>
        <v>0.145924</v>
      </c>
      <c r="T13" s="2">
        <f t="shared" si="50"/>
        <v>0.0625</v>
      </c>
      <c r="U13" s="2">
        <f t="shared" si="9"/>
        <v>0.0955</v>
      </c>
      <c r="V13" s="2">
        <f t="shared" si="10"/>
        <v>-6.804021969</v>
      </c>
    </row>
    <row r="14">
      <c r="A14" s="2">
        <f>VLOOKUP(B14,map!B:C,2,false)</f>
        <v>20</v>
      </c>
      <c r="B14" s="8" t="str">
        <f>IFERROR(__xludf.DUMMYFUNCTION("""COMPUTED_VALUE"""),"Indianapolis")</f>
        <v>Indianapolis</v>
      </c>
      <c r="C14" s="2">
        <f>VLOOKUP(B14,ppp!B:D,2,false)</f>
        <v>0.378</v>
      </c>
      <c r="D14" s="2">
        <f>VLOOKUP(B14,oppp!B:D,3,false)</f>
        <v>0.356</v>
      </c>
      <c r="E14" s="2">
        <f>VLOOKUP(B14,ppg!B:D,3,false)</f>
        <v>65.3</v>
      </c>
      <c r="F14" s="2">
        <f>VLOOKUP(B14,oppg!B:D,3,false)</f>
        <v>60</v>
      </c>
      <c r="G14" s="2">
        <f t="shared" ref="G14:H14" si="51">C14*E14</f>
        <v>24.6834</v>
      </c>
      <c r="H14" s="2">
        <f t="shared" si="51"/>
        <v>21.36</v>
      </c>
      <c r="I14" s="2">
        <f>VLOOKUP(B14,ypp!B:D,3,false)</f>
        <v>14.3</v>
      </c>
      <c r="J14" s="2">
        <f>VLOOKUP(B14,oypp!B:D,3,false)</f>
        <v>16.8</v>
      </c>
      <c r="K14" s="2">
        <f>VLOOKUP(B14,ypg!B:D,3,false)</f>
        <v>333.3</v>
      </c>
      <c r="L14" s="2">
        <f>VLOOKUP(B14,oypg!B:D,3,false)</f>
        <v>358.3</v>
      </c>
      <c r="M14" s="2">
        <f>VLOOKUP(B14,pts!B:D,3,false)</f>
        <v>23.3</v>
      </c>
      <c r="N14" s="2">
        <f>VLOOKUP(B14,pts_allowed!B:D,3,false)</f>
        <v>21.3</v>
      </c>
      <c r="O14" s="2">
        <f t="shared" ref="O14:P14" si="52">K14/I14</f>
        <v>23.30769231</v>
      </c>
      <c r="P14" s="2">
        <f t="shared" si="52"/>
        <v>21.32738095</v>
      </c>
      <c r="Q14" s="2">
        <f t="shared" ref="Q14:R14" si="53">AVERAGE(G14,O14)</f>
        <v>23.99554615</v>
      </c>
      <c r="R14" s="2">
        <f t="shared" si="53"/>
        <v>21.34369048</v>
      </c>
      <c r="S14" s="2">
        <f t="shared" ref="S14:T14" si="54">C14^2</f>
        <v>0.142884</v>
      </c>
      <c r="T14" s="2">
        <f t="shared" si="54"/>
        <v>0.126736</v>
      </c>
      <c r="U14" s="2">
        <f t="shared" si="9"/>
        <v>0.134568</v>
      </c>
      <c r="V14" s="2">
        <f t="shared" si="10"/>
        <v>5.231888543</v>
      </c>
    </row>
    <row r="15">
      <c r="A15" s="2">
        <f>VLOOKUP(B15,map!B:C,2,false)</f>
        <v>2</v>
      </c>
      <c r="B15" s="8" t="str">
        <f>IFERROR(__xludf.DUMMYFUNCTION("""COMPUTED_VALUE"""),"Kansas City")</f>
        <v>Kansas City</v>
      </c>
      <c r="C15" s="2">
        <f>VLOOKUP(B15,ppp!B:D,2,false)</f>
        <v>0.377</v>
      </c>
      <c r="D15" s="2">
        <f>VLOOKUP(B15,oppp!B:D,3,false)</f>
        <v>0.256</v>
      </c>
      <c r="E15" s="2">
        <f>VLOOKUP(B15,ppg!B:D,3,false)</f>
        <v>68.7</v>
      </c>
      <c r="F15" s="2">
        <f>VLOOKUP(B15,oppg!B:D,3,false)</f>
        <v>53.3</v>
      </c>
      <c r="G15" s="2">
        <f t="shared" ref="G15:H15" si="55">C15*E15</f>
        <v>25.8999</v>
      </c>
      <c r="H15" s="2">
        <f t="shared" si="55"/>
        <v>13.6448</v>
      </c>
      <c r="I15" s="2">
        <f>VLOOKUP(B15,ypp!B:D,3,false)</f>
        <v>15.7</v>
      </c>
      <c r="J15" s="2">
        <f>VLOOKUP(B15,oypp!B:D,3,false)</f>
        <v>18.4</v>
      </c>
      <c r="K15" s="2">
        <f>VLOOKUP(B15,ypg!B:D,3,false)</f>
        <v>372.7</v>
      </c>
      <c r="L15" s="2">
        <f>VLOOKUP(B15,oypg!B:D,3,false)</f>
        <v>251.3</v>
      </c>
      <c r="M15" s="2">
        <f>VLOOKUP(B15,pts!B:D,3,false)</f>
        <v>23.7</v>
      </c>
      <c r="N15" s="2">
        <f>VLOOKUP(B15,pts_allowed!B:D,3,false)</f>
        <v>13.7</v>
      </c>
      <c r="O15" s="2">
        <f t="shared" ref="O15:P15" si="56">K15/I15</f>
        <v>23.7388535</v>
      </c>
      <c r="P15" s="2">
        <f t="shared" si="56"/>
        <v>13.6576087</v>
      </c>
      <c r="Q15" s="2">
        <f t="shared" ref="Q15:R15" si="57">AVERAGE(G15,O15)</f>
        <v>24.81937675</v>
      </c>
      <c r="R15" s="2">
        <f t="shared" si="57"/>
        <v>13.65120435</v>
      </c>
      <c r="S15" s="2">
        <f t="shared" ref="S15:T15" si="58">C15^2</f>
        <v>0.142129</v>
      </c>
      <c r="T15" s="2">
        <f t="shared" si="58"/>
        <v>0.065536</v>
      </c>
      <c r="U15" s="2">
        <f t="shared" si="9"/>
        <v>0.096512</v>
      </c>
      <c r="V15" s="2">
        <f t="shared" si="10"/>
        <v>-4.740438815</v>
      </c>
    </row>
    <row r="16">
      <c r="A16" s="2">
        <f>VLOOKUP(B16,map!B:C,2,false)</f>
        <v>21</v>
      </c>
      <c r="B16" s="8" t="str">
        <f>IFERROR(__xludf.DUMMYFUNCTION("""COMPUTED_VALUE"""),"Arizona")</f>
        <v>Arizona</v>
      </c>
      <c r="C16" s="2">
        <f>VLOOKUP(B16,ppp!B:D,2,false)</f>
        <v>0.375</v>
      </c>
      <c r="D16" s="2">
        <f>VLOOKUP(B16,oppp!B:D,3,false)</f>
        <v>0.365</v>
      </c>
      <c r="E16" s="2">
        <f>VLOOKUP(B16,ppg!B:D,3,false)</f>
        <v>55.7</v>
      </c>
      <c r="F16" s="2">
        <f>VLOOKUP(B16,oppg!B:D,3,false)</f>
        <v>65.7</v>
      </c>
      <c r="G16" s="2">
        <f t="shared" ref="G16:H16" si="59">C16*E16</f>
        <v>20.8875</v>
      </c>
      <c r="H16" s="2">
        <f t="shared" si="59"/>
        <v>23.9805</v>
      </c>
      <c r="I16" s="2">
        <f>VLOOKUP(B16,ypp!B:D,3,false)</f>
        <v>18.3</v>
      </c>
      <c r="J16" s="2">
        <f>VLOOKUP(B16,oypp!B:D,3,false)</f>
        <v>16.9</v>
      </c>
      <c r="K16" s="2">
        <f>VLOOKUP(B16,ypg!B:D,3,false)</f>
        <v>329</v>
      </c>
      <c r="L16" s="2">
        <f>VLOOKUP(B16,oypg!B:D,3,false)</f>
        <v>405.3</v>
      </c>
      <c r="M16" s="2">
        <f>VLOOKUP(B16,pts!B:D,3,false)</f>
        <v>18</v>
      </c>
      <c r="N16" s="2">
        <f>VLOOKUP(B16,pts_allowed!B:D,3,false)</f>
        <v>24</v>
      </c>
      <c r="O16" s="2">
        <f t="shared" ref="O16:P16" si="60">K16/I16</f>
        <v>17.97814208</v>
      </c>
      <c r="P16" s="2">
        <f t="shared" si="60"/>
        <v>23.98224852</v>
      </c>
      <c r="Q16" s="2">
        <f t="shared" ref="Q16:R16" si="61">AVERAGE(G16,O16)</f>
        <v>19.43282104</v>
      </c>
      <c r="R16" s="2">
        <f t="shared" si="61"/>
        <v>23.98137426</v>
      </c>
      <c r="S16" s="2">
        <f t="shared" ref="S16:T16" si="62">C16^2</f>
        <v>0.140625</v>
      </c>
      <c r="T16" s="2">
        <f t="shared" si="62"/>
        <v>0.133225</v>
      </c>
      <c r="U16" s="2">
        <f t="shared" si="9"/>
        <v>0.136875</v>
      </c>
      <c r="V16" s="2">
        <f t="shared" si="10"/>
        <v>9.455710029</v>
      </c>
    </row>
    <row r="17">
      <c r="A17" s="2">
        <f>VLOOKUP(B17,map!B:C,2,false)</f>
        <v>28</v>
      </c>
      <c r="B17" s="8" t="str">
        <f>IFERROR(__xludf.DUMMYFUNCTION("""COMPUTED_VALUE"""),"Atlanta")</f>
        <v>Atlanta</v>
      </c>
      <c r="C17" s="2">
        <f>VLOOKUP(B17,ppp!B:D,2,false)</f>
        <v>0.375</v>
      </c>
      <c r="D17" s="2">
        <f>VLOOKUP(B17,oppp!B:D,3,false)</f>
        <v>0.497</v>
      </c>
      <c r="E17" s="2">
        <f>VLOOKUP(B17,ppg!B:D,3,false)</f>
        <v>73.3</v>
      </c>
      <c r="F17" s="2">
        <f>VLOOKUP(B17,oppg!B:D,3,false)</f>
        <v>56.3</v>
      </c>
      <c r="G17" s="2">
        <f t="shared" ref="G17:H17" si="63">C17*E17</f>
        <v>27.4875</v>
      </c>
      <c r="H17" s="2">
        <f t="shared" si="63"/>
        <v>27.9811</v>
      </c>
      <c r="I17" s="2">
        <f>VLOOKUP(B17,ypp!B:D,3,false)</f>
        <v>15.3</v>
      </c>
      <c r="J17" s="2">
        <f>VLOOKUP(B17,oypp!B:D,3,false)</f>
        <v>12</v>
      </c>
      <c r="K17" s="2">
        <f>VLOOKUP(B17,ypg!B:D,3,false)</f>
        <v>447.3</v>
      </c>
      <c r="L17" s="2">
        <f>VLOOKUP(B17,oypg!B:D,3,false)</f>
        <v>335.7</v>
      </c>
      <c r="M17" s="2">
        <f>VLOOKUP(B17,pts!B:D,3,false)</f>
        <v>29.3</v>
      </c>
      <c r="N17" s="2">
        <f>VLOOKUP(B17,pts_allowed!B:D,3,false)</f>
        <v>28</v>
      </c>
      <c r="O17" s="2">
        <f t="shared" ref="O17:P17" si="64">K17/I17</f>
        <v>29.23529412</v>
      </c>
      <c r="P17" s="2">
        <f t="shared" si="64"/>
        <v>27.975</v>
      </c>
      <c r="Q17" s="2">
        <f t="shared" ref="Q17:R17" si="65">AVERAGE(G17,O17)</f>
        <v>28.36139706</v>
      </c>
      <c r="R17" s="2">
        <f t="shared" si="65"/>
        <v>27.97805</v>
      </c>
      <c r="S17" s="2">
        <f t="shared" ref="S17:T17" si="66">C17^2</f>
        <v>0.140625</v>
      </c>
      <c r="T17" s="2">
        <f t="shared" si="66"/>
        <v>0.247009</v>
      </c>
      <c r="U17" s="2">
        <f t="shared" si="9"/>
        <v>0.186375</v>
      </c>
      <c r="V17" s="2">
        <f t="shared" si="10"/>
        <v>84.56450847</v>
      </c>
    </row>
    <row r="18">
      <c r="A18" s="2">
        <f>VLOOKUP(B18,map!B:C,2,false)</f>
        <v>29</v>
      </c>
      <c r="B18" s="8" t="str">
        <f>IFERROR(__xludf.DUMMYFUNCTION("""COMPUTED_VALUE"""),"Pittsburgh")</f>
        <v>Pittsburgh</v>
      </c>
      <c r="C18" s="2">
        <f>VLOOKUP(B18,ppp!B:D,2,false)</f>
        <v>0.364</v>
      </c>
      <c r="D18" s="2">
        <f>VLOOKUP(B18,oppp!B:D,3,false)</f>
        <v>0.253</v>
      </c>
      <c r="E18" s="2">
        <f>VLOOKUP(B18,ppg!B:D,3,false)</f>
        <v>61.7</v>
      </c>
      <c r="F18" s="2">
        <f>VLOOKUP(B18,oppg!B:D,3,false)</f>
        <v>63.3</v>
      </c>
      <c r="G18" s="2">
        <f t="shared" ref="G18:H18" si="67">C18*E18</f>
        <v>22.4588</v>
      </c>
      <c r="H18" s="2">
        <f t="shared" si="67"/>
        <v>16.0149</v>
      </c>
      <c r="I18" s="2">
        <f>VLOOKUP(B18,ypp!B:D,3,false)</f>
        <v>10.8</v>
      </c>
      <c r="J18" s="2">
        <f>VLOOKUP(B18,oypp!B:D,3,false)</f>
        <v>21.7</v>
      </c>
      <c r="K18" s="2">
        <f>VLOOKUP(B18,ypg!B:D,3,false)</f>
        <v>309.3</v>
      </c>
      <c r="L18" s="2">
        <f>VLOOKUP(B18,oypg!B:D,3,false)</f>
        <v>347.7</v>
      </c>
      <c r="M18" s="2">
        <f>VLOOKUP(B18,pts!B:D,3,false)</f>
        <v>28.7</v>
      </c>
      <c r="N18" s="2">
        <f>VLOOKUP(B18,pts_allowed!B:D,3,false)</f>
        <v>16</v>
      </c>
      <c r="O18" s="2">
        <f t="shared" ref="O18:P18" si="68">K18/I18</f>
        <v>28.63888889</v>
      </c>
      <c r="P18" s="2">
        <f t="shared" si="68"/>
        <v>16.02304147</v>
      </c>
      <c r="Q18" s="2">
        <f t="shared" ref="Q18:R18" si="69">AVERAGE(G18,O18)</f>
        <v>25.54884444</v>
      </c>
      <c r="R18" s="2">
        <f t="shared" si="69"/>
        <v>16.01897074</v>
      </c>
      <c r="S18" s="2">
        <f t="shared" ref="S18:T18" si="70">C18^2</f>
        <v>0.132496</v>
      </c>
      <c r="T18" s="2">
        <f t="shared" si="70"/>
        <v>0.064009</v>
      </c>
      <c r="U18" s="2">
        <f t="shared" si="9"/>
        <v>0.092092</v>
      </c>
      <c r="V18" s="2">
        <f t="shared" si="10"/>
        <v>2.586107563</v>
      </c>
    </row>
    <row r="19">
      <c r="A19" s="2">
        <f>VLOOKUP(B19,map!B:C,2,false)</f>
        <v>17</v>
      </c>
      <c r="B19" s="8" t="str">
        <f>IFERROR(__xludf.DUMMYFUNCTION("""COMPUTED_VALUE"""),"Houston")</f>
        <v>Houston</v>
      </c>
      <c r="C19" s="2">
        <f>VLOOKUP(B19,ppp!B:D,2,false)</f>
        <v>0.363</v>
      </c>
      <c r="D19" s="2">
        <f>VLOOKUP(B19,oppp!B:D,3,false)</f>
        <v>0.365</v>
      </c>
      <c r="E19" s="2">
        <f>VLOOKUP(B19,ppg!B:D,3,false)</f>
        <v>62.3</v>
      </c>
      <c r="F19" s="2">
        <f>VLOOKUP(B19,oppg!B:D,3,false)</f>
        <v>59.3</v>
      </c>
      <c r="G19" s="2">
        <f t="shared" ref="G19:H19" si="71">C19*E19</f>
        <v>22.6149</v>
      </c>
      <c r="H19" s="2">
        <f t="shared" si="71"/>
        <v>21.6445</v>
      </c>
      <c r="I19" s="2">
        <f>VLOOKUP(B19,ypp!B:D,3,false)</f>
        <v>11.5</v>
      </c>
      <c r="J19" s="2">
        <f>VLOOKUP(B19,oypp!B:D,3,false)</f>
        <v>13</v>
      </c>
      <c r="K19" s="2">
        <f>VLOOKUP(B19,ypg!B:D,3,false)</f>
        <v>330</v>
      </c>
      <c r="L19" s="2">
        <f>VLOOKUP(B19,oypg!B:D,3,false)</f>
        <v>281.3</v>
      </c>
      <c r="M19" s="2">
        <f>VLOOKUP(B19,pts!B:D,3,false)</f>
        <v>28.7</v>
      </c>
      <c r="N19" s="2">
        <f>VLOOKUP(B19,pts_allowed!B:D,3,false)</f>
        <v>21.7</v>
      </c>
      <c r="O19" s="2">
        <f t="shared" ref="O19:P19" si="72">K19/I19</f>
        <v>28.69565217</v>
      </c>
      <c r="P19" s="2">
        <f t="shared" si="72"/>
        <v>21.63846154</v>
      </c>
      <c r="Q19" s="2">
        <f t="shared" ref="Q19:R19" si="73">AVERAGE(G19,O19)</f>
        <v>25.65527609</v>
      </c>
      <c r="R19" s="2">
        <f t="shared" si="73"/>
        <v>21.64148077</v>
      </c>
      <c r="S19" s="2">
        <f t="shared" ref="S19:T19" si="74">C19^2</f>
        <v>0.131769</v>
      </c>
      <c r="T19" s="2">
        <f t="shared" si="74"/>
        <v>0.133225</v>
      </c>
      <c r="U19" s="2">
        <f t="shared" si="9"/>
        <v>0.132495</v>
      </c>
      <c r="V19" s="2">
        <f t="shared" si="10"/>
        <v>15.47690623</v>
      </c>
    </row>
    <row r="20">
      <c r="A20" s="2">
        <f>VLOOKUP(B20,map!B:C,2,false)</f>
        <v>6</v>
      </c>
      <c r="B20" s="8" t="str">
        <f>IFERROR(__xludf.DUMMYFUNCTION("""COMPUTED_VALUE"""),"Jacksonville")</f>
        <v>Jacksonville</v>
      </c>
      <c r="C20" s="2">
        <f>VLOOKUP(B20,ppp!B:D,2,false)</f>
        <v>0.356</v>
      </c>
      <c r="D20" s="2">
        <f>VLOOKUP(B20,oppp!B:D,3,false)</f>
        <v>0.462</v>
      </c>
      <c r="E20" s="2">
        <f>VLOOKUP(B20,ppg!B:D,3,false)</f>
        <v>58.7</v>
      </c>
      <c r="F20" s="2">
        <f>VLOOKUP(B20,oppg!B:D,3,false)</f>
        <v>61.3</v>
      </c>
      <c r="G20" s="2">
        <f t="shared" ref="G20:H20" si="75">C20*E20</f>
        <v>20.8972</v>
      </c>
      <c r="H20" s="2">
        <f t="shared" si="75"/>
        <v>28.3206</v>
      </c>
      <c r="I20" s="2">
        <f>VLOOKUP(B20,ypp!B:D,3,false)</f>
        <v>13.4</v>
      </c>
      <c r="J20" s="2">
        <f>VLOOKUP(B20,oypp!B:D,3,false)</f>
        <v>13.1</v>
      </c>
      <c r="K20" s="2">
        <f>VLOOKUP(B20,ypg!B:D,3,false)</f>
        <v>379.7</v>
      </c>
      <c r="L20" s="2">
        <f>VLOOKUP(B20,oypg!B:D,3,false)</f>
        <v>371.7</v>
      </c>
      <c r="M20" s="2">
        <f>VLOOKUP(B20,pts!B:D,3,false)</f>
        <v>28.3</v>
      </c>
      <c r="N20" s="2">
        <f>VLOOKUP(B20,pts_allowed!B:D,3,false)</f>
        <v>28.3</v>
      </c>
      <c r="O20" s="2">
        <f t="shared" ref="O20:P20" si="76">K20/I20</f>
        <v>28.3358209</v>
      </c>
      <c r="P20" s="2">
        <f t="shared" si="76"/>
        <v>28.3740458</v>
      </c>
      <c r="Q20" s="2">
        <f t="shared" ref="Q20:R20" si="77">AVERAGE(G20,O20)</f>
        <v>24.61651045</v>
      </c>
      <c r="R20" s="2">
        <f t="shared" si="77"/>
        <v>28.3473229</v>
      </c>
      <c r="S20" s="2">
        <f t="shared" ref="S20:T20" si="78">C20^2</f>
        <v>0.126736</v>
      </c>
      <c r="T20" s="2">
        <f t="shared" si="78"/>
        <v>0.213444</v>
      </c>
      <c r="U20" s="2">
        <f t="shared" si="9"/>
        <v>0.164472</v>
      </c>
      <c r="V20" s="2">
        <f t="shared" si="10"/>
        <v>67.27503998</v>
      </c>
    </row>
    <row r="21" ht="15.75" customHeight="1">
      <c r="A21" s="2">
        <f>VLOOKUP(B21,map!B:C,2,false)</f>
        <v>27</v>
      </c>
      <c r="B21" s="8" t="str">
        <f>IFERROR(__xludf.DUMMYFUNCTION("""COMPUTED_VALUE"""),"Denver")</f>
        <v>Denver</v>
      </c>
      <c r="C21" s="2">
        <f>VLOOKUP(B21,ppp!B:D,2,false)</f>
        <v>0.348</v>
      </c>
      <c r="D21" s="2">
        <f>VLOOKUP(B21,oppp!B:D,3,false)</f>
        <v>0.248</v>
      </c>
      <c r="E21" s="2">
        <f>VLOOKUP(B21,ppg!B:D,3,false)</f>
        <v>57.3</v>
      </c>
      <c r="F21" s="2">
        <f>VLOOKUP(B21,oppg!B:D,3,false)</f>
        <v>68.7</v>
      </c>
      <c r="G21" s="2">
        <f t="shared" ref="G21:H21" si="79">C21*E21</f>
        <v>19.9404</v>
      </c>
      <c r="H21" s="2">
        <f t="shared" si="79"/>
        <v>17.0376</v>
      </c>
      <c r="I21" s="2">
        <f>VLOOKUP(B21,ypp!B:D,3,false)</f>
        <v>12</v>
      </c>
      <c r="J21" s="2">
        <f>VLOOKUP(B21,oypp!B:D,3,false)</f>
        <v>18.6</v>
      </c>
      <c r="K21" s="2">
        <f>VLOOKUP(B21,ypg!B:D,3,false)</f>
        <v>331.3</v>
      </c>
      <c r="L21" s="2">
        <f>VLOOKUP(B21,oypg!B:D,3,false)</f>
        <v>317</v>
      </c>
      <c r="M21" s="2">
        <f>VLOOKUP(B21,pts!B:D,3,false)</f>
        <v>27.7</v>
      </c>
      <c r="N21" s="2">
        <f>VLOOKUP(B21,pts_allowed!B:D,3,false)</f>
        <v>17</v>
      </c>
      <c r="O21" s="2">
        <f t="shared" ref="O21:P21" si="80">K21/I21</f>
        <v>27.60833333</v>
      </c>
      <c r="P21" s="2">
        <f t="shared" si="80"/>
        <v>17.04301075</v>
      </c>
      <c r="Q21" s="2">
        <f t="shared" ref="Q21:R21" si="81">AVERAGE(G21,O21)</f>
        <v>23.77436667</v>
      </c>
      <c r="R21" s="2">
        <f t="shared" si="81"/>
        <v>17.04030538</v>
      </c>
      <c r="S21" s="2">
        <f t="shared" ref="S21:T21" si="82">C21^2</f>
        <v>0.121104</v>
      </c>
      <c r="T21" s="2">
        <f t="shared" si="82"/>
        <v>0.061504</v>
      </c>
      <c r="U21" s="2">
        <f t="shared" si="9"/>
        <v>0.086304</v>
      </c>
      <c r="V21" s="2">
        <f t="shared" si="10"/>
        <v>12.38542998</v>
      </c>
    </row>
    <row r="22" ht="15.75" customHeight="1">
      <c r="A22" s="2">
        <f>VLOOKUP(B22,map!B:C,2,false)</f>
        <v>12</v>
      </c>
      <c r="B22" s="8" t="str">
        <f>IFERROR(__xludf.DUMMYFUNCTION("""COMPUTED_VALUE"""),"Philadelphia")</f>
        <v>Philadelphia</v>
      </c>
      <c r="C22" s="2">
        <f>VLOOKUP(B22,ppp!B:D,2,false)</f>
        <v>0.342</v>
      </c>
      <c r="D22" s="2">
        <f>VLOOKUP(B22,oppp!B:D,3,false)</f>
        <v>0.286</v>
      </c>
      <c r="E22" s="2">
        <f>VLOOKUP(B22,ppg!B:D,3,false)</f>
        <v>61</v>
      </c>
      <c r="F22" s="2">
        <f>VLOOKUP(B22,oppg!B:D,3,false)</f>
        <v>60.7</v>
      </c>
      <c r="G22" s="2">
        <f t="shared" ref="G22:H22" si="83">C22*E22</f>
        <v>20.862</v>
      </c>
      <c r="H22" s="2">
        <f t="shared" si="83"/>
        <v>17.3602</v>
      </c>
      <c r="I22" s="2">
        <f>VLOOKUP(B22,ypp!B:D,3,false)</f>
        <v>14.7</v>
      </c>
      <c r="J22" s="2">
        <f>VLOOKUP(B22,oypp!B:D,3,false)</f>
        <v>15.5</v>
      </c>
      <c r="K22" s="2">
        <f>VLOOKUP(B22,ypg!B:D,3,false)</f>
        <v>312.7</v>
      </c>
      <c r="L22" s="2">
        <f>VLOOKUP(B22,oypg!B:D,3,false)</f>
        <v>269.3</v>
      </c>
      <c r="M22" s="2">
        <f>VLOOKUP(B22,pts!B:D,3,false)</f>
        <v>21.3</v>
      </c>
      <c r="N22" s="2">
        <f>VLOOKUP(B22,pts_allowed!B:D,3,false)</f>
        <v>17.3</v>
      </c>
      <c r="O22" s="2">
        <f t="shared" ref="O22:P22" si="84">K22/I22</f>
        <v>21.27210884</v>
      </c>
      <c r="P22" s="2">
        <f t="shared" si="84"/>
        <v>17.37419355</v>
      </c>
      <c r="Q22" s="2">
        <f t="shared" ref="Q22:R22" si="85">AVERAGE(G22,O22)</f>
        <v>21.06705442</v>
      </c>
      <c r="R22" s="2">
        <f t="shared" si="85"/>
        <v>17.36719677</v>
      </c>
      <c r="S22" s="2">
        <f t="shared" ref="S22:T22" si="86">C22^2</f>
        <v>0.116964</v>
      </c>
      <c r="T22" s="2">
        <f t="shared" si="86"/>
        <v>0.081796</v>
      </c>
      <c r="U22" s="2">
        <f t="shared" si="9"/>
        <v>0.097812</v>
      </c>
      <c r="V22" s="2">
        <f t="shared" si="10"/>
        <v>13.93322221</v>
      </c>
    </row>
    <row r="23" ht="15.75" customHeight="1">
      <c r="A23" s="2">
        <f>VLOOKUP(B23,map!B:C,2,false)</f>
        <v>18</v>
      </c>
      <c r="B23" s="8" t="str">
        <f>IFERROR(__xludf.DUMMYFUNCTION("""COMPUTED_VALUE"""),"LA Rams")</f>
        <v>LA Rams</v>
      </c>
      <c r="C23" s="2">
        <f>VLOOKUP(B23,ppp!B:D,2,false)</f>
        <v>0.333</v>
      </c>
      <c r="D23" s="2">
        <f>VLOOKUP(B23,oppp!B:D,3,false)</f>
        <v>0.322</v>
      </c>
      <c r="E23" s="2">
        <f>VLOOKUP(B23,ppg!B:D,3,false)</f>
        <v>64.7</v>
      </c>
      <c r="F23" s="2">
        <f>VLOOKUP(B23,oppg!B:D,3,false)</f>
        <v>61</v>
      </c>
      <c r="G23" s="2">
        <f t="shared" ref="G23:H23" si="87">C23*E23</f>
        <v>21.5451</v>
      </c>
      <c r="H23" s="2">
        <f t="shared" si="87"/>
        <v>19.642</v>
      </c>
      <c r="I23" s="2">
        <f>VLOOKUP(B23,ypp!B:D,3,false)</f>
        <v>14.7</v>
      </c>
      <c r="J23" s="2">
        <f>VLOOKUP(B23,oypp!B:D,3,false)</f>
        <v>15.5</v>
      </c>
      <c r="K23" s="2">
        <f>VLOOKUP(B23,ypg!B:D,3,false)</f>
        <v>338.3</v>
      </c>
      <c r="L23" s="2">
        <f>VLOOKUP(B23,oypg!B:D,3,false)</f>
        <v>305.3</v>
      </c>
      <c r="M23" s="2">
        <f>VLOOKUP(B23,pts!B:D,3,false)</f>
        <v>23</v>
      </c>
      <c r="N23" s="2">
        <f>VLOOKUP(B23,pts_allowed!B:D,3,false)</f>
        <v>19.7</v>
      </c>
      <c r="O23" s="2">
        <f t="shared" ref="O23:P23" si="88">K23/I23</f>
        <v>23.01360544</v>
      </c>
      <c r="P23" s="2">
        <f t="shared" si="88"/>
        <v>19.69677419</v>
      </c>
      <c r="Q23" s="2">
        <f t="shared" ref="Q23:R23" si="89">AVERAGE(G23,O23)</f>
        <v>22.27935272</v>
      </c>
      <c r="R23" s="2">
        <f t="shared" si="89"/>
        <v>19.6693871</v>
      </c>
      <c r="S23" s="2">
        <f t="shared" ref="S23:T23" si="90">C23^2</f>
        <v>0.110889</v>
      </c>
      <c r="T23" s="2">
        <f t="shared" si="90"/>
        <v>0.103684</v>
      </c>
      <c r="U23" s="2">
        <f t="shared" si="9"/>
        <v>0.107226</v>
      </c>
      <c r="V23" s="2">
        <f t="shared" si="10"/>
        <v>22.24796456</v>
      </c>
    </row>
    <row r="24" ht="15.75" customHeight="1">
      <c r="A24" s="2">
        <f>VLOOKUP(B24,map!B:C,2,false)</f>
        <v>1</v>
      </c>
      <c r="B24" s="8" t="str">
        <f>IFERROR(__xludf.DUMMYFUNCTION("""COMPUTED_VALUE"""),"Dallas")</f>
        <v>Dallas</v>
      </c>
      <c r="C24" s="2">
        <f>VLOOKUP(B24,ppp!B:D,2,false)</f>
        <v>0.326</v>
      </c>
      <c r="D24" s="2">
        <f>VLOOKUP(B24,oppp!B:D,3,false)</f>
        <v>0.42</v>
      </c>
      <c r="E24" s="2">
        <f>VLOOKUP(B24,ppg!B:D,3,false)</f>
        <v>63.7</v>
      </c>
      <c r="F24" s="2">
        <f>VLOOKUP(B24,oppg!B:D,3,false)</f>
        <v>62.7</v>
      </c>
      <c r="G24" s="2">
        <f t="shared" ref="G24:H24" si="91">C24*E24</f>
        <v>20.7662</v>
      </c>
      <c r="H24" s="2">
        <f t="shared" si="91"/>
        <v>26.334</v>
      </c>
      <c r="I24" s="2">
        <f>VLOOKUP(B24,ypp!B:D,3,false)</f>
        <v>20.2</v>
      </c>
      <c r="J24" s="2">
        <f>VLOOKUP(B24,oypp!B:D,3,false)</f>
        <v>12.9</v>
      </c>
      <c r="K24" s="2">
        <f>VLOOKUP(B24,ypg!B:D,3,false)</f>
        <v>329.7</v>
      </c>
      <c r="L24" s="2">
        <f>VLOOKUP(B24,oypg!B:D,3,false)</f>
        <v>340.3</v>
      </c>
      <c r="M24" s="2">
        <f>VLOOKUP(B24,pts!B:D,3,false)</f>
        <v>16.3</v>
      </c>
      <c r="N24" s="2">
        <f>VLOOKUP(B24,pts_allowed!B:D,3,false)</f>
        <v>26.3</v>
      </c>
      <c r="O24" s="2">
        <f t="shared" ref="O24:P24" si="92">K24/I24</f>
        <v>16.32178218</v>
      </c>
      <c r="P24" s="2">
        <f t="shared" si="92"/>
        <v>26.37984496</v>
      </c>
      <c r="Q24" s="2">
        <f t="shared" ref="Q24:R24" si="93">AVERAGE(G24,O24)</f>
        <v>18.54399109</v>
      </c>
      <c r="R24" s="2">
        <f t="shared" si="93"/>
        <v>26.35692248</v>
      </c>
      <c r="S24" s="2">
        <f t="shared" ref="S24:T24" si="94">C24^2</f>
        <v>0.106276</v>
      </c>
      <c r="T24" s="2">
        <f t="shared" si="94"/>
        <v>0.1764</v>
      </c>
      <c r="U24" s="2">
        <f t="shared" si="9"/>
        <v>0.13692</v>
      </c>
      <c r="V24" s="2">
        <f t="shared" si="10"/>
        <v>58.46079788</v>
      </c>
    </row>
    <row r="25" ht="15.75" customHeight="1">
      <c r="A25" s="2">
        <f>VLOOKUP(B25,map!B:C,2,false)</f>
        <v>7</v>
      </c>
      <c r="B25" s="8" t="str">
        <f>IFERROR(__xludf.DUMMYFUNCTION("""COMPUTED_VALUE"""),"LA Chargers")</f>
        <v>LA Chargers</v>
      </c>
      <c r="C25" s="2">
        <f>VLOOKUP(B25,ppp!B:D,2,false)</f>
        <v>0.298</v>
      </c>
      <c r="D25" s="2">
        <f>VLOOKUP(B25,oppp!B:D,3,false)</f>
        <v>0.301</v>
      </c>
      <c r="E25" s="2">
        <f>VLOOKUP(B25,ppg!B:D,3,false)</f>
        <v>64</v>
      </c>
      <c r="F25" s="2">
        <f>VLOOKUP(B25,oppg!B:D,3,false)</f>
        <v>55.3</v>
      </c>
      <c r="G25" s="2">
        <f t="shared" ref="G25:H25" si="95">C25*E25</f>
        <v>19.072</v>
      </c>
      <c r="H25" s="2">
        <f t="shared" si="95"/>
        <v>16.6453</v>
      </c>
      <c r="I25" s="2">
        <f>VLOOKUP(B25,ypp!B:D,3,false)</f>
        <v>20.2</v>
      </c>
      <c r="J25" s="2">
        <f>VLOOKUP(B25,oypp!B:D,3,false)</f>
        <v>19.4</v>
      </c>
      <c r="K25" s="2">
        <f>VLOOKUP(B25,ypg!B:D,3,false)</f>
        <v>323</v>
      </c>
      <c r="L25" s="2">
        <f>VLOOKUP(B25,oypg!B:D,3,false)</f>
        <v>323.7</v>
      </c>
      <c r="M25" s="2">
        <f>VLOOKUP(B25,pts!B:D,3,false)</f>
        <v>16</v>
      </c>
      <c r="N25" s="2">
        <f>VLOOKUP(B25,pts_allowed!B:D,3,false)</f>
        <v>16.7</v>
      </c>
      <c r="O25" s="2">
        <f t="shared" ref="O25:P25" si="96">K25/I25</f>
        <v>15.99009901</v>
      </c>
      <c r="P25" s="2">
        <f t="shared" si="96"/>
        <v>16.68556701</v>
      </c>
      <c r="Q25" s="2">
        <f t="shared" ref="Q25:R25" si="97">AVERAGE(G25,O25)</f>
        <v>17.5310495</v>
      </c>
      <c r="R25" s="2">
        <f t="shared" si="97"/>
        <v>16.66543351</v>
      </c>
      <c r="S25" s="2">
        <f t="shared" ref="S25:T25" si="98">C25^2</f>
        <v>0.088804</v>
      </c>
      <c r="T25" s="2">
        <f t="shared" si="98"/>
        <v>0.090601</v>
      </c>
      <c r="U25" s="2">
        <f t="shared" si="9"/>
        <v>0.089698</v>
      </c>
      <c r="V25" s="2">
        <f t="shared" si="10"/>
        <v>42.7797401</v>
      </c>
    </row>
    <row r="26" ht="15.75" customHeight="1">
      <c r="A26" s="2">
        <f>VLOOKUP(B26,map!B:C,2,false)</f>
        <v>19</v>
      </c>
      <c r="B26" s="8" t="str">
        <f>IFERROR(__xludf.DUMMYFUNCTION("""COMPUTED_VALUE"""),"NY Jets")</f>
        <v>NY Jets</v>
      </c>
      <c r="C26" s="2">
        <f>VLOOKUP(B26,ppp!B:D,2,false)</f>
        <v>0.298</v>
      </c>
      <c r="D26" s="2">
        <f>VLOOKUP(B26,oppp!B:D,3,false)</f>
        <v>0.432</v>
      </c>
      <c r="E26" s="2">
        <f>VLOOKUP(B26,ppg!B:D,3,false)</f>
        <v>61.7</v>
      </c>
      <c r="F26" s="2">
        <f>VLOOKUP(B26,oppg!B:D,3,false)</f>
        <v>64</v>
      </c>
      <c r="G26" s="2">
        <f t="shared" ref="G26:H26" si="99">C26*E26</f>
        <v>18.3866</v>
      </c>
      <c r="H26" s="2">
        <f t="shared" si="99"/>
        <v>27.648</v>
      </c>
      <c r="I26" s="2">
        <f>VLOOKUP(B26,ypp!B:D,3,false)</f>
        <v>18.7</v>
      </c>
      <c r="J26" s="2">
        <f>VLOOKUP(B26,oypp!B:D,3,false)</f>
        <v>12.3</v>
      </c>
      <c r="K26" s="2">
        <f>VLOOKUP(B26,ypg!B:D,3,false)</f>
        <v>323.3</v>
      </c>
      <c r="L26" s="2">
        <f>VLOOKUP(B26,oypg!B:D,3,false)</f>
        <v>340.3</v>
      </c>
      <c r="M26" s="2">
        <f>VLOOKUP(B26,pts!B:D,3,false)</f>
        <v>17.3</v>
      </c>
      <c r="N26" s="2">
        <f>VLOOKUP(B26,pts_allowed!B:D,3,false)</f>
        <v>27.7</v>
      </c>
      <c r="O26" s="2">
        <f t="shared" ref="O26:P26" si="100">K26/I26</f>
        <v>17.28877005</v>
      </c>
      <c r="P26" s="2">
        <f t="shared" si="100"/>
        <v>27.66666667</v>
      </c>
      <c r="Q26" s="2">
        <f t="shared" ref="Q26:R26" si="101">AVERAGE(G26,O26)</f>
        <v>17.83768503</v>
      </c>
      <c r="R26" s="2">
        <f t="shared" si="101"/>
        <v>27.65733333</v>
      </c>
      <c r="S26" s="2">
        <f t="shared" ref="S26:T26" si="102">C26^2</f>
        <v>0.088804</v>
      </c>
      <c r="T26" s="2">
        <f t="shared" si="102"/>
        <v>0.186624</v>
      </c>
      <c r="U26" s="2">
        <f t="shared" si="9"/>
        <v>0.128736</v>
      </c>
      <c r="V26" s="2">
        <f t="shared" si="10"/>
        <v>81.80307958</v>
      </c>
    </row>
    <row r="27" ht="15.75" customHeight="1">
      <c r="A27" s="2">
        <f>VLOOKUP(B27,map!B:C,2,false)</f>
        <v>32</v>
      </c>
      <c r="B27" s="8" t="str">
        <f>IFERROR(__xludf.DUMMYFUNCTION("""COMPUTED_VALUE"""),"Tennessee")</f>
        <v>Tennessee</v>
      </c>
      <c r="C27" s="2">
        <f>VLOOKUP(B27,ppp!B:D,2,false)</f>
        <v>0.296</v>
      </c>
      <c r="D27" s="2">
        <f>VLOOKUP(B27,oppp!B:D,3,false)</f>
        <v>0.379</v>
      </c>
      <c r="E27" s="2">
        <f>VLOOKUP(B27,ppg!B:D,3,false)</f>
        <v>61.3</v>
      </c>
      <c r="F27" s="2">
        <f>VLOOKUP(B27,oppg!B:D,3,false)</f>
        <v>58</v>
      </c>
      <c r="G27" s="2">
        <f t="shared" ref="G27:H27" si="103">C27*E27</f>
        <v>18.1448</v>
      </c>
      <c r="H27" s="2">
        <f t="shared" si="103"/>
        <v>21.982</v>
      </c>
      <c r="I27" s="2">
        <f>VLOOKUP(B27,ypp!B:D,3,false)</f>
        <v>13.3</v>
      </c>
      <c r="J27" s="2">
        <f>VLOOKUP(B27,oypp!B:D,3,false)</f>
        <v>12.8</v>
      </c>
      <c r="K27" s="2">
        <f>VLOOKUP(B27,ypg!B:D,3,false)</f>
        <v>258</v>
      </c>
      <c r="L27" s="2">
        <f>VLOOKUP(B27,oypg!B:D,3,false)</f>
        <v>280.7</v>
      </c>
      <c r="M27" s="2">
        <f>VLOOKUP(B27,pts!B:D,3,false)</f>
        <v>19.3</v>
      </c>
      <c r="N27" s="2">
        <f>VLOOKUP(B27,pts_allowed!B:D,3,false)</f>
        <v>22</v>
      </c>
      <c r="O27" s="2">
        <f t="shared" ref="O27:P27" si="104">K27/I27</f>
        <v>19.39849624</v>
      </c>
      <c r="P27" s="2">
        <f t="shared" si="104"/>
        <v>21.9296875</v>
      </c>
      <c r="Q27" s="2">
        <f t="shared" ref="Q27:R27" si="105">AVERAGE(G27,O27)</f>
        <v>18.77164812</v>
      </c>
      <c r="R27" s="2">
        <f t="shared" si="105"/>
        <v>21.95584375</v>
      </c>
      <c r="S27" s="2">
        <f t="shared" ref="S27:T27" si="106">C27^2</f>
        <v>0.087616</v>
      </c>
      <c r="T27" s="2">
        <f t="shared" si="106"/>
        <v>0.143641</v>
      </c>
      <c r="U27" s="2">
        <f t="shared" si="9"/>
        <v>0.112184</v>
      </c>
      <c r="V27" s="2">
        <f t="shared" si="10"/>
        <v>59.64638412</v>
      </c>
    </row>
    <row r="28" ht="15.75" customHeight="1">
      <c r="A28" s="2">
        <f>VLOOKUP(B28,map!B:C,2,false)</f>
        <v>24</v>
      </c>
      <c r="B28" s="8" t="str">
        <f>IFERROR(__xludf.DUMMYFUNCTION("""COMPUTED_VALUE"""),"Las Vegas")</f>
        <v>Las Vegas</v>
      </c>
      <c r="C28" s="2">
        <f>VLOOKUP(B28,ppp!B:D,2,false)</f>
        <v>0.286</v>
      </c>
      <c r="D28" s="2">
        <f>VLOOKUP(B28,oppp!B:D,3,false)</f>
        <v>0.5</v>
      </c>
      <c r="E28" s="2">
        <f>VLOOKUP(B28,ppg!B:D,3,false)</f>
        <v>66.7</v>
      </c>
      <c r="F28" s="2">
        <f>VLOOKUP(B28,oppg!B:D,3,false)</f>
        <v>57.3</v>
      </c>
      <c r="G28" s="2">
        <f t="shared" ref="G28:H28" si="107">C28*E28</f>
        <v>19.0762</v>
      </c>
      <c r="H28" s="2">
        <f t="shared" si="107"/>
        <v>28.65</v>
      </c>
      <c r="I28" s="2">
        <f>VLOOKUP(B28,ypp!B:D,3,false)</f>
        <v>20</v>
      </c>
      <c r="J28" s="2">
        <f>VLOOKUP(B28,oypp!B:D,3,false)</f>
        <v>9.8</v>
      </c>
      <c r="K28" s="2">
        <f>VLOOKUP(B28,ypg!B:D,3,false)</f>
        <v>307.3</v>
      </c>
      <c r="L28" s="2">
        <f>VLOOKUP(B28,oypg!B:D,3,false)</f>
        <v>280.3</v>
      </c>
      <c r="M28" s="2">
        <f>VLOOKUP(B28,pts!B:D,3,false)</f>
        <v>15.3</v>
      </c>
      <c r="N28" s="2">
        <f>VLOOKUP(B28,pts_allowed!B:D,3,false)</f>
        <v>28.7</v>
      </c>
      <c r="O28" s="2">
        <f t="shared" ref="O28:P28" si="108">K28/I28</f>
        <v>15.365</v>
      </c>
      <c r="P28" s="2">
        <f t="shared" si="108"/>
        <v>28.60204082</v>
      </c>
      <c r="Q28" s="2">
        <f t="shared" ref="Q28:R28" si="109">AVERAGE(G28,O28)</f>
        <v>17.2206</v>
      </c>
      <c r="R28" s="2">
        <f t="shared" si="109"/>
        <v>28.62602041</v>
      </c>
      <c r="S28" s="2">
        <f t="shared" ref="S28:T28" si="110">C28^2</f>
        <v>0.081796</v>
      </c>
      <c r="T28" s="2">
        <f t="shared" si="110"/>
        <v>0.25</v>
      </c>
      <c r="U28" s="2">
        <f t="shared" si="9"/>
        <v>0.143</v>
      </c>
      <c r="V28" s="2">
        <f t="shared" si="10"/>
        <v>134.7409305</v>
      </c>
    </row>
    <row r="29" ht="15.75" customHeight="1">
      <c r="A29" s="2">
        <f>VLOOKUP(B29,map!B:C,2,false)</f>
        <v>23</v>
      </c>
      <c r="B29" s="8" t="str">
        <f>IFERROR(__xludf.DUMMYFUNCTION("""COMPUTED_VALUE"""),"Carolina")</f>
        <v>Carolina</v>
      </c>
      <c r="C29" s="2">
        <f>VLOOKUP(B29,ppp!B:D,2,false)</f>
        <v>0.272</v>
      </c>
      <c r="D29" s="2">
        <f>VLOOKUP(B29,oppp!B:D,3,false)</f>
        <v>0.57</v>
      </c>
      <c r="E29" s="2">
        <f>VLOOKUP(B29,ppg!B:D,3,false)</f>
        <v>54.3</v>
      </c>
      <c r="F29" s="2">
        <f>VLOOKUP(B29,oppg!B:D,3,false)</f>
        <v>66.7</v>
      </c>
      <c r="G29" s="2">
        <f t="shared" ref="G29:H29" si="111">C29*E29</f>
        <v>14.7696</v>
      </c>
      <c r="H29" s="2">
        <f t="shared" si="111"/>
        <v>38.019</v>
      </c>
      <c r="I29" s="2">
        <f>VLOOKUP(B29,ypp!B:D,3,false)</f>
        <v>21.8</v>
      </c>
      <c r="J29" s="2">
        <f>VLOOKUP(B29,oypp!B:D,3,false)</f>
        <v>11.1</v>
      </c>
      <c r="K29" s="2">
        <f>VLOOKUP(B29,ypg!B:D,3,false)</f>
        <v>269</v>
      </c>
      <c r="L29" s="2">
        <f>VLOOKUP(B29,oypg!B:D,3,false)</f>
        <v>422.7</v>
      </c>
      <c r="M29" s="2">
        <f>VLOOKUP(B29,pts!B:D,3,false)</f>
        <v>12.3</v>
      </c>
      <c r="N29" s="2">
        <f>VLOOKUP(B29,pts_allowed!B:D,3,false)</f>
        <v>38</v>
      </c>
      <c r="O29" s="2">
        <f t="shared" ref="O29:P29" si="112">K29/I29</f>
        <v>12.33944954</v>
      </c>
      <c r="P29" s="2">
        <f t="shared" si="112"/>
        <v>38.08108108</v>
      </c>
      <c r="Q29" s="2">
        <f t="shared" ref="Q29:R29" si="113">AVERAGE(G29,O29)</f>
        <v>13.55452477</v>
      </c>
      <c r="R29" s="2">
        <f t="shared" si="113"/>
        <v>38.05004054</v>
      </c>
      <c r="S29" s="2">
        <f t="shared" ref="S29:T29" si="114">C29^2</f>
        <v>0.073984</v>
      </c>
      <c r="T29" s="2">
        <f t="shared" si="114"/>
        <v>0.3249</v>
      </c>
      <c r="U29" s="2">
        <f t="shared" si="9"/>
        <v>0.15504</v>
      </c>
      <c r="V29" s="2">
        <f t="shared" si="10"/>
        <v>207.9274173</v>
      </c>
    </row>
    <row r="30" ht="15.75" customHeight="1">
      <c r="A30" s="2">
        <f>VLOOKUP(B30,map!B:C,2,false)</f>
        <v>16</v>
      </c>
      <c r="B30" s="8" t="str">
        <f>IFERROR(__xludf.DUMMYFUNCTION("""COMPUTED_VALUE"""),"Cleveland")</f>
        <v>Cleveland</v>
      </c>
      <c r="C30" s="2">
        <f>VLOOKUP(B30,ppp!B:D,2,false)</f>
        <v>0.245</v>
      </c>
      <c r="D30" s="2">
        <f>VLOOKUP(B30,oppp!B:D,3,false)</f>
        <v>0.417</v>
      </c>
      <c r="E30" s="2">
        <f>VLOOKUP(B30,ppg!B:D,3,false)</f>
        <v>63</v>
      </c>
      <c r="F30" s="2">
        <f>VLOOKUP(B30,oppg!B:D,3,false)</f>
        <v>60</v>
      </c>
      <c r="G30" s="2">
        <f t="shared" ref="G30:H30" si="115">C30*E30</f>
        <v>15.435</v>
      </c>
      <c r="H30" s="2">
        <f t="shared" si="115"/>
        <v>25.02</v>
      </c>
      <c r="I30" s="2">
        <f>VLOOKUP(B30,ypp!B:D,3,false)</f>
        <v>18.4</v>
      </c>
      <c r="J30" s="2">
        <f>VLOOKUP(B30,oypp!B:D,3,false)</f>
        <v>13.7</v>
      </c>
      <c r="K30" s="2">
        <f>VLOOKUP(B30,ypg!B:D,3,false)</f>
        <v>264</v>
      </c>
      <c r="L30" s="2">
        <f>VLOOKUP(B30,oypg!B:D,3,false)</f>
        <v>343</v>
      </c>
      <c r="M30" s="2">
        <f>VLOOKUP(B30,pts!B:D,3,false)</f>
        <v>14.3</v>
      </c>
      <c r="N30" s="2">
        <f>VLOOKUP(B30,pts_allowed!B:D,3,false)</f>
        <v>25</v>
      </c>
      <c r="O30" s="2">
        <f t="shared" ref="O30:P30" si="116">K30/I30</f>
        <v>14.34782609</v>
      </c>
      <c r="P30" s="2">
        <f t="shared" si="116"/>
        <v>25.03649635</v>
      </c>
      <c r="Q30" s="2">
        <f t="shared" ref="Q30:R30" si="117">AVERAGE(G30,O30)</f>
        <v>14.89141304</v>
      </c>
      <c r="R30" s="2">
        <f t="shared" si="117"/>
        <v>25.02824818</v>
      </c>
      <c r="S30" s="2">
        <f t="shared" ref="S30:T30" si="118">C30^2</f>
        <v>0.060025</v>
      </c>
      <c r="T30" s="2">
        <f t="shared" si="118"/>
        <v>0.173889</v>
      </c>
      <c r="U30" s="2">
        <f t="shared" si="9"/>
        <v>0.102165</v>
      </c>
      <c r="V30" s="2">
        <f t="shared" si="10"/>
        <v>111.500008</v>
      </c>
    </row>
    <row r="31" ht="15.75" customHeight="1">
      <c r="A31" s="2">
        <f>VLOOKUP(B31,map!B:C,2,false)</f>
        <v>22</v>
      </c>
      <c r="B31" s="8" t="str">
        <f>IFERROR(__xludf.DUMMYFUNCTION("""COMPUTED_VALUE"""),"New England")</f>
        <v>New England</v>
      </c>
      <c r="C31" s="2">
        <f>VLOOKUP(B31,ppp!B:D,2,false)</f>
        <v>0.24</v>
      </c>
      <c r="D31" s="2">
        <f>VLOOKUP(B31,oppp!B:D,3,false)</f>
        <v>0.449</v>
      </c>
      <c r="E31" s="2">
        <f>VLOOKUP(B31,ppg!B:D,3,false)</f>
        <v>57.3</v>
      </c>
      <c r="F31" s="2">
        <f>VLOOKUP(B31,oppg!B:D,3,false)</f>
        <v>65.3</v>
      </c>
      <c r="G31" s="2">
        <f t="shared" ref="G31:H31" si="119">C31*E31</f>
        <v>13.752</v>
      </c>
      <c r="H31" s="2">
        <f t="shared" si="119"/>
        <v>29.3197</v>
      </c>
      <c r="I31" s="2">
        <f>VLOOKUP(B31,ypp!B:D,3,false)</f>
        <v>18.8</v>
      </c>
      <c r="J31" s="2">
        <f>VLOOKUP(B31,oypp!B:D,3,false)</f>
        <v>12.5</v>
      </c>
      <c r="K31" s="2">
        <f>VLOOKUP(B31,ypg!B:D,3,false)</f>
        <v>295</v>
      </c>
      <c r="L31" s="2">
        <f>VLOOKUP(B31,oypg!B:D,3,false)</f>
        <v>368</v>
      </c>
      <c r="M31" s="2">
        <f>VLOOKUP(B31,pts!B:D,3,false)</f>
        <v>15.7</v>
      </c>
      <c r="N31" s="2">
        <f>VLOOKUP(B31,pts_allowed!B:D,3,false)</f>
        <v>29.3</v>
      </c>
      <c r="O31" s="2">
        <f t="shared" ref="O31:P31" si="120">K31/I31</f>
        <v>15.69148936</v>
      </c>
      <c r="P31" s="2">
        <f t="shared" si="120"/>
        <v>29.44</v>
      </c>
      <c r="Q31" s="2">
        <f t="shared" ref="Q31:R31" si="121">AVERAGE(G31,O31)</f>
        <v>14.72174468</v>
      </c>
      <c r="R31" s="2">
        <f t="shared" si="121"/>
        <v>29.37985</v>
      </c>
      <c r="S31" s="2">
        <f t="shared" ref="S31:T31" si="122">C31^2</f>
        <v>0.0576</v>
      </c>
      <c r="T31" s="2">
        <f t="shared" si="122"/>
        <v>0.201601</v>
      </c>
      <c r="U31" s="2">
        <f t="shared" si="9"/>
        <v>0.10776</v>
      </c>
      <c r="V31" s="2">
        <f t="shared" si="10"/>
        <v>132.0670212</v>
      </c>
    </row>
    <row r="32" ht="15.75" customHeight="1">
      <c r="A32" s="2">
        <f>VLOOKUP(B32,map!B:C,2,false)</f>
        <v>26</v>
      </c>
      <c r="B32" s="8" t="str">
        <f>IFERROR(__xludf.DUMMYFUNCTION("""COMPUTED_VALUE"""),"NY Giants")</f>
        <v>NY Giants</v>
      </c>
      <c r="C32" s="2">
        <f>VLOOKUP(B32,ppp!B:D,2,false)</f>
        <v>0.219</v>
      </c>
      <c r="D32" s="2">
        <f>VLOOKUP(B32,oppp!B:D,3,false)</f>
        <v>0.371</v>
      </c>
      <c r="E32" s="2">
        <f>VLOOKUP(B32,ppg!B:D,3,false)</f>
        <v>66.7</v>
      </c>
      <c r="F32" s="2">
        <f>VLOOKUP(B32,oppg!B:D,3,false)</f>
        <v>58.3</v>
      </c>
      <c r="G32" s="2">
        <f t="shared" ref="G32:H32" si="123">C32*E32</f>
        <v>14.6073</v>
      </c>
      <c r="H32" s="2">
        <f t="shared" si="123"/>
        <v>21.6293</v>
      </c>
      <c r="I32" s="2">
        <f>VLOOKUP(B32,ypp!B:D,3,false)</f>
        <v>21.7</v>
      </c>
      <c r="J32" s="2">
        <f>VLOOKUP(B32,oypp!B:D,3,false)</f>
        <v>15</v>
      </c>
      <c r="K32" s="2">
        <f>VLOOKUP(B32,ypg!B:D,3,false)</f>
        <v>282.7</v>
      </c>
      <c r="L32" s="2">
        <f>VLOOKUP(B32,oypg!B:D,3,false)</f>
        <v>325.3</v>
      </c>
      <c r="M32" s="2">
        <f>VLOOKUP(B32,pts!B:D,3,false)</f>
        <v>13</v>
      </c>
      <c r="N32" s="2">
        <f>VLOOKUP(B32,pts_allowed!B:D,3,false)</f>
        <v>21.7</v>
      </c>
      <c r="O32" s="2">
        <f t="shared" ref="O32:P32" si="124">K32/I32</f>
        <v>13.02764977</v>
      </c>
      <c r="P32" s="2">
        <f t="shared" si="124"/>
        <v>21.68666667</v>
      </c>
      <c r="Q32" s="2">
        <f t="shared" ref="Q32:R32" si="125">AVERAGE(G32,O32)</f>
        <v>13.81747488</v>
      </c>
      <c r="R32" s="2">
        <f t="shared" si="125"/>
        <v>21.65798333</v>
      </c>
      <c r="S32" s="2">
        <f t="shared" ref="S32:T32" si="126">C32^2</f>
        <v>0.047961</v>
      </c>
      <c r="T32" s="2">
        <f t="shared" si="126"/>
        <v>0.137641</v>
      </c>
      <c r="U32" s="2">
        <f t="shared" si="9"/>
        <v>0.081249</v>
      </c>
      <c r="V32" s="2">
        <f t="shared" si="10"/>
        <v>115.2728431</v>
      </c>
    </row>
    <row r="33" ht="15.75" customHeight="1">
      <c r="A33" s="2">
        <f>VLOOKUP(B33,map!B:C,2,false)</f>
        <v>10</v>
      </c>
      <c r="B33" s="8" t="str">
        <f>IFERROR(__xludf.DUMMYFUNCTION("""COMPUTED_VALUE"""),"Miami")</f>
        <v>Miami</v>
      </c>
      <c r="C33" s="2">
        <f>VLOOKUP(B33,ppp!B:D,2,false)</f>
        <v>0.178</v>
      </c>
      <c r="D33" s="2">
        <f>VLOOKUP(B33,oppp!B:D,3,false)</f>
        <v>0.32</v>
      </c>
      <c r="E33" s="2">
        <f>VLOOKUP(B33,ppg!B:D,3,false)</f>
        <v>65.7</v>
      </c>
      <c r="F33" s="2">
        <f>VLOOKUP(B33,oppg!B:D,3,false)</f>
        <v>59.3</v>
      </c>
      <c r="G33" s="2">
        <f t="shared" ref="G33:H33" si="127">C33*E33</f>
        <v>11.6946</v>
      </c>
      <c r="H33" s="2">
        <f t="shared" si="127"/>
        <v>18.976</v>
      </c>
      <c r="I33" s="2">
        <f>VLOOKUP(B33,ypp!B:D,3,false)</f>
        <v>24.1</v>
      </c>
      <c r="J33" s="2">
        <f>VLOOKUP(B33,oypp!B:D,3,false)</f>
        <v>14.5</v>
      </c>
      <c r="K33" s="2">
        <f>VLOOKUP(B33,ypg!B:D,3,false)</f>
        <v>297.7</v>
      </c>
      <c r="L33" s="2">
        <f>VLOOKUP(B33,oypg!B:D,3,false)</f>
        <v>275.7</v>
      </c>
      <c r="M33" s="2">
        <f>VLOOKUP(B33,pts!B:D,3,false)</f>
        <v>12.3</v>
      </c>
      <c r="N33" s="2">
        <f>VLOOKUP(B33,pts_allowed!B:D,3,false)</f>
        <v>19</v>
      </c>
      <c r="O33" s="2">
        <f t="shared" ref="O33:P33" si="128">K33/I33</f>
        <v>12.3526971</v>
      </c>
      <c r="P33" s="2">
        <f t="shared" si="128"/>
        <v>19.0137931</v>
      </c>
      <c r="Q33" s="2">
        <f t="shared" ref="Q33:R33" si="129">AVERAGE(G33,O33)</f>
        <v>12.02364855</v>
      </c>
      <c r="R33" s="2">
        <f t="shared" si="129"/>
        <v>18.99489655</v>
      </c>
      <c r="S33" s="2">
        <f t="shared" ref="S33:T33" si="130">C33^2</f>
        <v>0.031684</v>
      </c>
      <c r="T33" s="2">
        <f t="shared" si="130"/>
        <v>0.1024</v>
      </c>
      <c r="U33" s="2">
        <f t="shared" si="9"/>
        <v>0.05696</v>
      </c>
      <c r="V33" s="2">
        <f t="shared" si="10"/>
        <v>143.1353031</v>
      </c>
    </row>
    <row r="34" ht="15.75" customHeight="1">
      <c r="B34" s="2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  <hyperlink r:id="rId31" ref="B33"/>
  </hyperlinks>
  <printOptions/>
  <pageMargins bottom="0.75" footer="0.0" header="0.0" left="0.7" right="0.7" top="0.75"/>
  <pageSetup orientation="landscape"/>
  <drawing r:id="rId3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">
        <v>109</v>
      </c>
      <c r="B1" s="14" t="s">
        <v>88</v>
      </c>
      <c r="C1" s="15">
        <v>2024.0</v>
      </c>
      <c r="D1" s="16" t="s">
        <v>110</v>
      </c>
      <c r="E1" s="16" t="s">
        <v>111</v>
      </c>
      <c r="F1" s="15" t="s">
        <v>112</v>
      </c>
      <c r="G1" s="15" t="s">
        <v>113</v>
      </c>
      <c r="H1" s="15">
        <v>2023.0</v>
      </c>
    </row>
    <row r="2">
      <c r="A2" s="17">
        <v>1.0</v>
      </c>
      <c r="B2" s="18" t="s">
        <v>114</v>
      </c>
      <c r="C2" s="19">
        <v>0.506</v>
      </c>
      <c r="D2" s="19">
        <v>0.445</v>
      </c>
      <c r="E2" s="19">
        <v>0.63</v>
      </c>
      <c r="F2" s="19">
        <v>0.669</v>
      </c>
      <c r="G2" s="19">
        <v>0.38</v>
      </c>
      <c r="H2" s="19">
        <v>0.402</v>
      </c>
    </row>
    <row r="3">
      <c r="A3" s="17">
        <v>2.0</v>
      </c>
      <c r="B3" s="18" t="s">
        <v>115</v>
      </c>
      <c r="C3" s="19">
        <v>0.503</v>
      </c>
      <c r="D3" s="19">
        <v>0.527</v>
      </c>
      <c r="E3" s="19">
        <v>0.635</v>
      </c>
      <c r="F3" s="19">
        <v>0.482</v>
      </c>
      <c r="G3" s="19">
        <v>0.521</v>
      </c>
      <c r="H3" s="19">
        <v>0.31</v>
      </c>
    </row>
    <row r="4">
      <c r="A4" s="17">
        <v>3.0</v>
      </c>
      <c r="B4" s="18" t="s">
        <v>116</v>
      </c>
      <c r="C4" s="19">
        <v>0.488</v>
      </c>
      <c r="D4" s="19">
        <v>0.571</v>
      </c>
      <c r="E4" s="19">
        <v>0.759</v>
      </c>
      <c r="F4" s="19">
        <v>0.484</v>
      </c>
      <c r="G4" s="19">
        <v>0.491</v>
      </c>
      <c r="H4" s="19">
        <v>0.439</v>
      </c>
    </row>
    <row r="5">
      <c r="A5" s="17">
        <v>4.0</v>
      </c>
      <c r="B5" s="18" t="s">
        <v>117</v>
      </c>
      <c r="C5" s="19">
        <v>0.476</v>
      </c>
      <c r="D5" s="19">
        <v>0.557</v>
      </c>
      <c r="E5" s="19">
        <v>0.397</v>
      </c>
      <c r="F5" s="19">
        <v>0.401</v>
      </c>
      <c r="G5" s="19">
        <v>0.594</v>
      </c>
      <c r="H5" s="19">
        <v>0.343</v>
      </c>
    </row>
    <row r="6">
      <c r="A6" s="17">
        <v>5.0</v>
      </c>
      <c r="B6" s="18" t="s">
        <v>118</v>
      </c>
      <c r="C6" s="19">
        <v>0.474</v>
      </c>
      <c r="D6" s="19">
        <v>0.698</v>
      </c>
      <c r="E6" s="19">
        <v>0.554</v>
      </c>
      <c r="F6" s="19">
        <v>0.433</v>
      </c>
      <c r="G6" s="19">
        <v>0.516</v>
      </c>
      <c r="H6" s="19">
        <v>0.41</v>
      </c>
    </row>
    <row r="7">
      <c r="A7" s="17">
        <v>6.0</v>
      </c>
      <c r="B7" s="18" t="s">
        <v>119</v>
      </c>
      <c r="C7" s="19">
        <v>0.474</v>
      </c>
      <c r="D7" s="19">
        <v>0.429</v>
      </c>
      <c r="E7" s="19">
        <v>0.4</v>
      </c>
      <c r="F7" s="19">
        <v>0.518</v>
      </c>
      <c r="G7" s="19">
        <v>0.442</v>
      </c>
      <c r="H7" s="19">
        <v>0.321</v>
      </c>
    </row>
    <row r="8">
      <c r="A8" s="17">
        <v>7.0</v>
      </c>
      <c r="B8" s="18" t="s">
        <v>120</v>
      </c>
      <c r="C8" s="19">
        <v>0.444</v>
      </c>
      <c r="D8" s="19">
        <v>0.447</v>
      </c>
      <c r="E8" s="19">
        <v>0.396</v>
      </c>
      <c r="F8" s="19">
        <v>0.468</v>
      </c>
      <c r="G8" s="19">
        <v>0.425</v>
      </c>
      <c r="H8" s="19">
        <v>0.349</v>
      </c>
    </row>
    <row r="9">
      <c r="A9" s="17">
        <v>8.0</v>
      </c>
      <c r="B9" s="18" t="s">
        <v>121</v>
      </c>
      <c r="C9" s="19">
        <v>0.421</v>
      </c>
      <c r="D9" s="19">
        <v>0.446</v>
      </c>
      <c r="E9" s="19">
        <v>0.429</v>
      </c>
      <c r="F9" s="19">
        <v>0.386</v>
      </c>
      <c r="G9" s="19">
        <v>0.474</v>
      </c>
      <c r="H9" s="19">
        <v>0.387</v>
      </c>
    </row>
    <row r="10">
      <c r="A10" s="17">
        <v>9.0</v>
      </c>
      <c r="B10" s="18" t="s">
        <v>122</v>
      </c>
      <c r="C10" s="19">
        <v>0.415</v>
      </c>
      <c r="D10" s="19">
        <v>0.273</v>
      </c>
      <c r="E10" s="19">
        <v>0.152</v>
      </c>
      <c r="F10" s="19">
        <v>0.386</v>
      </c>
      <c r="G10" s="19">
        <v>0.458</v>
      </c>
      <c r="H10" s="19">
        <v>0.359</v>
      </c>
    </row>
    <row r="11">
      <c r="A11" s="17">
        <v>10.0</v>
      </c>
      <c r="B11" s="18" t="s">
        <v>123</v>
      </c>
      <c r="C11" s="19">
        <v>0.407</v>
      </c>
      <c r="D11" s="19">
        <v>0.428</v>
      </c>
      <c r="E11" s="19">
        <v>0.321</v>
      </c>
      <c r="F11" s="19">
        <v>0.414</v>
      </c>
      <c r="G11" s="19">
        <v>0.399</v>
      </c>
      <c r="H11" s="19">
        <v>0.466</v>
      </c>
    </row>
    <row r="12">
      <c r="A12" s="17">
        <v>11.0</v>
      </c>
      <c r="B12" s="18" t="s">
        <v>124</v>
      </c>
      <c r="C12" s="19">
        <v>0.399</v>
      </c>
      <c r="D12" s="19">
        <v>0.417</v>
      </c>
      <c r="E12" s="19">
        <v>0.607</v>
      </c>
      <c r="F12" s="19">
        <v>0.375</v>
      </c>
      <c r="G12" s="19">
        <v>0.43</v>
      </c>
      <c r="H12" s="19">
        <v>0.366</v>
      </c>
    </row>
    <row r="13">
      <c r="A13" s="17">
        <v>12.0</v>
      </c>
      <c r="B13" s="18" t="s">
        <v>125</v>
      </c>
      <c r="C13" s="19">
        <v>0.382</v>
      </c>
      <c r="D13" s="19">
        <v>0.516</v>
      </c>
      <c r="E13" s="19">
        <v>0.574</v>
      </c>
      <c r="F13" s="19">
        <v>0.477</v>
      </c>
      <c r="G13" s="19">
        <v>0.303</v>
      </c>
      <c r="H13" s="19">
        <v>0.328</v>
      </c>
    </row>
    <row r="14">
      <c r="A14" s="17">
        <v>13.0</v>
      </c>
      <c r="B14" s="18" t="s">
        <v>126</v>
      </c>
      <c r="C14" s="19">
        <v>0.378</v>
      </c>
      <c r="D14" s="19">
        <v>0.357</v>
      </c>
      <c r="E14" s="19">
        <v>0.262</v>
      </c>
      <c r="F14" s="19">
        <v>0.41</v>
      </c>
      <c r="G14" s="19">
        <v>0.34</v>
      </c>
      <c r="H14" s="19">
        <v>0.362</v>
      </c>
    </row>
    <row r="15">
      <c r="A15" s="17">
        <v>14.0</v>
      </c>
      <c r="B15" s="18" t="s">
        <v>127</v>
      </c>
      <c r="C15" s="19">
        <v>0.377</v>
      </c>
      <c r="D15" s="19">
        <v>0.345</v>
      </c>
      <c r="E15" s="19">
        <v>0.412</v>
      </c>
      <c r="F15" s="19">
        <v>0.418</v>
      </c>
      <c r="G15" s="19">
        <v>0.338</v>
      </c>
      <c r="H15" s="19">
        <v>0.344</v>
      </c>
    </row>
    <row r="16">
      <c r="A16" s="17">
        <v>15.0</v>
      </c>
      <c r="B16" s="18" t="s">
        <v>128</v>
      </c>
      <c r="C16" s="19">
        <v>0.375</v>
      </c>
      <c r="D16" s="19">
        <v>0.323</v>
      </c>
      <c r="E16" s="19">
        <v>0.309</v>
      </c>
      <c r="F16" s="19">
        <v>0.373</v>
      </c>
      <c r="G16" s="19">
        <v>0.378</v>
      </c>
      <c r="H16" s="19">
        <v>0.309</v>
      </c>
    </row>
    <row r="17">
      <c r="A17" s="17">
        <v>16.0</v>
      </c>
      <c r="B17" s="18" t="s">
        <v>129</v>
      </c>
      <c r="C17" s="19">
        <v>0.375</v>
      </c>
      <c r="D17" s="19">
        <v>0.4</v>
      </c>
      <c r="E17" s="19">
        <v>0.197</v>
      </c>
      <c r="F17" s="19">
        <v>0.333</v>
      </c>
      <c r="G17" s="19">
        <v>0.476</v>
      </c>
      <c r="H17" s="19">
        <v>0.294</v>
      </c>
    </row>
    <row r="18">
      <c r="A18" s="17">
        <v>17.0</v>
      </c>
      <c r="B18" s="18" t="s">
        <v>130</v>
      </c>
      <c r="C18" s="19">
        <v>0.364</v>
      </c>
      <c r="D18" s="19">
        <v>0.465</v>
      </c>
      <c r="E18" s="19">
        <v>0.561</v>
      </c>
      <c r="F18" s="19">
        <v>0.394</v>
      </c>
      <c r="G18" s="19">
        <v>0.343</v>
      </c>
      <c r="H18" s="19">
        <v>0.294</v>
      </c>
    </row>
    <row r="19">
      <c r="A19" s="17">
        <v>18.0</v>
      </c>
      <c r="B19" s="18" t="s">
        <v>131</v>
      </c>
      <c r="C19" s="19">
        <v>0.363</v>
      </c>
      <c r="D19" s="19">
        <v>0.46</v>
      </c>
      <c r="E19" s="19">
        <v>0.379</v>
      </c>
      <c r="F19" s="19">
        <v>0.337</v>
      </c>
      <c r="G19" s="19">
        <v>0.382</v>
      </c>
      <c r="H19" s="19">
        <v>0.368</v>
      </c>
    </row>
    <row r="20">
      <c r="A20" s="17">
        <v>19.0</v>
      </c>
      <c r="B20" s="18" t="s">
        <v>132</v>
      </c>
      <c r="C20" s="19">
        <v>0.356</v>
      </c>
      <c r="D20" s="19">
        <v>0.483</v>
      </c>
      <c r="E20" s="19">
        <v>0.542</v>
      </c>
      <c r="F20" s="19">
        <v>0.446</v>
      </c>
      <c r="G20" s="19">
        <v>0.322</v>
      </c>
      <c r="H20" s="19">
        <v>0.338</v>
      </c>
    </row>
    <row r="21">
      <c r="A21" s="17">
        <v>20.0</v>
      </c>
      <c r="B21" s="18" t="s">
        <v>133</v>
      </c>
      <c r="C21" s="19">
        <v>0.348</v>
      </c>
      <c r="D21" s="19">
        <v>0.483</v>
      </c>
      <c r="E21" s="19">
        <v>0.541</v>
      </c>
      <c r="F21" s="19">
        <v>0.335</v>
      </c>
      <c r="G21" s="19">
        <v>0.356</v>
      </c>
      <c r="H21" s="19">
        <v>0.351</v>
      </c>
    </row>
    <row r="22">
      <c r="A22" s="17">
        <v>21.0</v>
      </c>
      <c r="B22" s="18" t="s">
        <v>134</v>
      </c>
      <c r="C22" s="19">
        <v>0.342</v>
      </c>
      <c r="D22" s="19">
        <v>0.35</v>
      </c>
      <c r="E22" s="19">
        <v>0.431</v>
      </c>
      <c r="F22" s="19">
        <v>0.315</v>
      </c>
      <c r="G22" s="19">
        <v>0.355</v>
      </c>
      <c r="H22" s="19">
        <v>0.379</v>
      </c>
    </row>
    <row r="23">
      <c r="A23" s="17">
        <v>22.0</v>
      </c>
      <c r="B23" s="18" t="s">
        <v>135</v>
      </c>
      <c r="C23" s="19">
        <v>0.333</v>
      </c>
      <c r="D23" s="19">
        <v>0.356</v>
      </c>
      <c r="E23" s="19">
        <v>0.455</v>
      </c>
      <c r="F23" s="19">
        <v>0.386</v>
      </c>
      <c r="G23" s="19">
        <v>0.261</v>
      </c>
      <c r="H23" s="19">
        <v>0.372</v>
      </c>
    </row>
    <row r="24">
      <c r="A24" s="17">
        <v>23.0</v>
      </c>
      <c r="B24" s="18" t="s">
        <v>136</v>
      </c>
      <c r="C24" s="19">
        <v>0.326</v>
      </c>
      <c r="D24" s="19">
        <v>0.257</v>
      </c>
      <c r="E24" s="19">
        <v>0.138</v>
      </c>
      <c r="F24" s="19">
        <v>0.264</v>
      </c>
      <c r="G24" s="19">
        <v>0.392</v>
      </c>
      <c r="H24" s="19">
        <v>0.447</v>
      </c>
    </row>
    <row r="25">
      <c r="A25" s="17">
        <v>24.0</v>
      </c>
      <c r="B25" s="18" t="s">
        <v>137</v>
      </c>
      <c r="C25" s="19">
        <v>0.298</v>
      </c>
      <c r="D25" s="19">
        <v>0.25</v>
      </c>
      <c r="E25" s="19">
        <v>0.234</v>
      </c>
      <c r="F25" s="19">
        <v>0.299</v>
      </c>
      <c r="G25" s="19">
        <v>0.297</v>
      </c>
      <c r="H25" s="19">
        <v>0.313</v>
      </c>
    </row>
    <row r="26">
      <c r="A26" s="17">
        <v>25.0</v>
      </c>
      <c r="B26" s="18" t="s">
        <v>138</v>
      </c>
      <c r="C26" s="19">
        <v>0.298</v>
      </c>
      <c r="D26" s="19">
        <v>0.281</v>
      </c>
      <c r="E26" s="19">
        <v>0.273</v>
      </c>
      <c r="F26" s="19">
        <v>0.266</v>
      </c>
      <c r="G26" s="19">
        <v>0.325</v>
      </c>
      <c r="H26" s="19">
        <v>0.255</v>
      </c>
    </row>
    <row r="27">
      <c r="A27" s="17">
        <v>26.0</v>
      </c>
      <c r="B27" s="18" t="s">
        <v>139</v>
      </c>
      <c r="C27" s="19">
        <v>0.296</v>
      </c>
      <c r="D27" s="19">
        <v>0.315</v>
      </c>
      <c r="E27" s="19">
        <v>0.149</v>
      </c>
      <c r="F27" s="19">
        <v>0.286</v>
      </c>
      <c r="G27" s="19">
        <v>0.305</v>
      </c>
      <c r="H27" s="19">
        <v>0.304</v>
      </c>
    </row>
    <row r="28">
      <c r="A28" s="17">
        <v>27.0</v>
      </c>
      <c r="B28" s="18" t="s">
        <v>140</v>
      </c>
      <c r="C28" s="19">
        <v>0.286</v>
      </c>
      <c r="D28" s="19">
        <v>0.23</v>
      </c>
      <c r="E28" s="19">
        <v>0.2</v>
      </c>
      <c r="F28" s="19">
        <v>0.316</v>
      </c>
      <c r="G28" s="19">
        <v>0.266</v>
      </c>
      <c r="H28" s="19">
        <v>0.329</v>
      </c>
    </row>
    <row r="29">
      <c r="A29" s="17">
        <v>28.0</v>
      </c>
      <c r="B29" s="18" t="s">
        <v>141</v>
      </c>
      <c r="C29" s="19">
        <v>0.272</v>
      </c>
      <c r="D29" s="19">
        <v>0.227</v>
      </c>
      <c r="E29" s="19">
        <v>0.163</v>
      </c>
      <c r="F29" s="19">
        <v>0.264</v>
      </c>
      <c r="G29" s="19">
        <v>0.279</v>
      </c>
      <c r="H29" s="19">
        <v>0.215</v>
      </c>
    </row>
    <row r="30">
      <c r="A30" s="17">
        <v>29.0</v>
      </c>
      <c r="B30" s="18" t="s">
        <v>142</v>
      </c>
      <c r="C30" s="19">
        <v>0.245</v>
      </c>
      <c r="D30" s="19">
        <v>0.228</v>
      </c>
      <c r="E30" s="19">
        <v>0.182</v>
      </c>
      <c r="F30" s="19">
        <v>0.219</v>
      </c>
      <c r="G30" s="19">
        <v>0.269</v>
      </c>
      <c r="H30" s="19">
        <v>0.326</v>
      </c>
    </row>
    <row r="31">
      <c r="A31" s="17">
        <v>30.0</v>
      </c>
      <c r="B31" s="18" t="s">
        <v>143</v>
      </c>
      <c r="C31" s="19">
        <v>0.24</v>
      </c>
      <c r="D31" s="19">
        <v>0.273</v>
      </c>
      <c r="E31" s="19">
        <v>0.296</v>
      </c>
      <c r="F31" s="19">
        <v>0.277</v>
      </c>
      <c r="G31" s="19">
        <v>0.211</v>
      </c>
      <c r="H31" s="19">
        <v>0.231</v>
      </c>
    </row>
    <row r="32">
      <c r="A32" s="17">
        <v>31.0</v>
      </c>
      <c r="B32" s="18" t="s">
        <v>144</v>
      </c>
      <c r="C32" s="19">
        <v>0.219</v>
      </c>
      <c r="D32" s="19">
        <v>0.195</v>
      </c>
      <c r="E32" s="19">
        <v>0.055</v>
      </c>
      <c r="F32" s="19">
        <v>0.118</v>
      </c>
      <c r="G32" s="19">
        <v>0.356</v>
      </c>
      <c r="H32" s="19">
        <v>0.252</v>
      </c>
    </row>
    <row r="33">
      <c r="A33" s="17">
        <v>32.0</v>
      </c>
      <c r="B33" s="18" t="s">
        <v>145</v>
      </c>
      <c r="C33" s="19">
        <v>0.178</v>
      </c>
      <c r="D33" s="19">
        <v>0.188</v>
      </c>
      <c r="E33" s="19">
        <v>0.147</v>
      </c>
      <c r="F33" s="19">
        <v>0.216</v>
      </c>
      <c r="G33" s="19">
        <v>0.141</v>
      </c>
      <c r="H33" s="19">
        <v>0.452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</hyperlinks>
  <drawing r:id="rId3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">
        <v>109</v>
      </c>
      <c r="B1" s="14" t="s">
        <v>88</v>
      </c>
      <c r="C1" s="15">
        <v>2024.0</v>
      </c>
      <c r="D1" s="16" t="s">
        <v>110</v>
      </c>
      <c r="E1" s="16" t="s">
        <v>111</v>
      </c>
      <c r="F1" s="15" t="s">
        <v>112</v>
      </c>
      <c r="G1" s="15" t="s">
        <v>113</v>
      </c>
      <c r="H1" s="15">
        <v>2023.0</v>
      </c>
    </row>
    <row r="2">
      <c r="A2" s="17">
        <v>1.0</v>
      </c>
      <c r="B2" s="18" t="s">
        <v>146</v>
      </c>
      <c r="C2" s="19">
        <v>0.236</v>
      </c>
      <c r="D2" s="19">
        <v>0.248</v>
      </c>
      <c r="E2" s="19">
        <v>0.152</v>
      </c>
      <c r="F2" s="19">
        <v>0.273</v>
      </c>
      <c r="G2" s="19">
        <v>0.206</v>
      </c>
      <c r="H2" s="19">
        <v>0.381</v>
      </c>
    </row>
    <row r="3">
      <c r="A3" s="17">
        <v>2.0</v>
      </c>
      <c r="B3" s="18" t="s">
        <v>147</v>
      </c>
      <c r="C3" s="19">
        <v>0.247</v>
      </c>
      <c r="D3" s="19">
        <v>0.301</v>
      </c>
      <c r="E3" s="19">
        <v>0.309</v>
      </c>
      <c r="F3" s="19">
        <v>0.231</v>
      </c>
      <c r="G3" s="19">
        <v>0.256</v>
      </c>
      <c r="H3" s="19">
        <v>0.358</v>
      </c>
    </row>
    <row r="4">
      <c r="A4" s="17">
        <v>3.0</v>
      </c>
      <c r="B4" s="18" t="s">
        <v>148</v>
      </c>
      <c r="C4" s="19">
        <v>0.249</v>
      </c>
      <c r="D4" s="19">
        <v>0.253</v>
      </c>
      <c r="E4" s="19">
        <v>0.273</v>
      </c>
      <c r="F4" s="19">
        <v>0.257</v>
      </c>
      <c r="G4" s="19">
        <v>0.243</v>
      </c>
      <c r="H4" s="19">
        <v>0.311</v>
      </c>
    </row>
    <row r="5">
      <c r="A5" s="17">
        <v>4.0</v>
      </c>
      <c r="B5" s="18" t="s">
        <v>149</v>
      </c>
      <c r="C5" s="19">
        <v>0.287</v>
      </c>
      <c r="D5" s="19">
        <v>0.25</v>
      </c>
      <c r="E5" s="19">
        <v>0.267</v>
      </c>
      <c r="F5" s="19">
        <v>0.254</v>
      </c>
      <c r="G5" s="19">
        <v>0.32</v>
      </c>
      <c r="H5" s="19">
        <v>0.366</v>
      </c>
    </row>
    <row r="6">
      <c r="A6" s="17">
        <v>5.0</v>
      </c>
      <c r="B6" s="18" t="s">
        <v>150</v>
      </c>
      <c r="C6" s="19">
        <v>0.293</v>
      </c>
      <c r="D6" s="19">
        <v>0.256</v>
      </c>
      <c r="E6" s="19">
        <v>0.321</v>
      </c>
      <c r="F6" s="19">
        <v>0.312</v>
      </c>
      <c r="G6" s="19">
        <v>0.273</v>
      </c>
      <c r="H6" s="19">
        <v>0.273</v>
      </c>
    </row>
    <row r="7">
      <c r="A7" s="17">
        <v>6.0</v>
      </c>
      <c r="B7" s="18" t="s">
        <v>151</v>
      </c>
      <c r="C7" s="19">
        <v>0.295</v>
      </c>
      <c r="D7" s="19">
        <v>0.404</v>
      </c>
      <c r="E7" s="19">
        <v>0.455</v>
      </c>
      <c r="F7" s="19">
        <v>0.296</v>
      </c>
      <c r="G7" s="19">
        <v>0.294</v>
      </c>
      <c r="H7" s="19">
        <v>0.331</v>
      </c>
    </row>
    <row r="8">
      <c r="A8" s="17">
        <v>7.0</v>
      </c>
      <c r="B8" s="18" t="s">
        <v>152</v>
      </c>
      <c r="C8" s="19">
        <v>0.302</v>
      </c>
      <c r="D8" s="19">
        <v>0.275</v>
      </c>
      <c r="E8" s="19">
        <v>0.149</v>
      </c>
      <c r="F8" s="19">
        <v>0.246</v>
      </c>
      <c r="G8" s="19">
        <v>0.345</v>
      </c>
      <c r="H8" s="19">
        <v>0.316</v>
      </c>
    </row>
    <row r="9">
      <c r="A9" s="17">
        <v>8.0</v>
      </c>
      <c r="B9" s="18" t="s">
        <v>153</v>
      </c>
      <c r="C9" s="19">
        <v>0.314</v>
      </c>
      <c r="D9" s="19">
        <v>0.356</v>
      </c>
      <c r="E9" s="19">
        <v>0.147</v>
      </c>
      <c r="F9" s="19">
        <v>0.267</v>
      </c>
      <c r="G9" s="19">
        <v>0.391</v>
      </c>
      <c r="H9" s="19">
        <v>0.365</v>
      </c>
    </row>
    <row r="10">
      <c r="A10" s="17">
        <v>9.0</v>
      </c>
      <c r="B10" s="18" t="s">
        <v>154</v>
      </c>
      <c r="C10" s="19">
        <v>0.325</v>
      </c>
      <c r="D10" s="19">
        <v>0.344</v>
      </c>
      <c r="E10" s="19">
        <v>0.558</v>
      </c>
      <c r="F10" s="19">
        <v>0.347</v>
      </c>
      <c r="G10" s="19">
        <v>0.3</v>
      </c>
      <c r="H10" s="19">
        <v>0.39</v>
      </c>
    </row>
    <row r="11">
      <c r="A11" s="17">
        <v>10.0</v>
      </c>
      <c r="B11" s="18" t="s">
        <v>155</v>
      </c>
      <c r="C11" s="19">
        <v>0.326</v>
      </c>
      <c r="D11" s="19">
        <v>0.286</v>
      </c>
      <c r="E11" s="19">
        <v>0.055</v>
      </c>
      <c r="F11" s="19">
        <v>0.342</v>
      </c>
      <c r="G11" s="19">
        <v>0.318</v>
      </c>
      <c r="H11" s="19">
        <v>0.392</v>
      </c>
    </row>
    <row r="12">
      <c r="A12" s="17">
        <v>11.0</v>
      </c>
      <c r="B12" s="18" t="s">
        <v>156</v>
      </c>
      <c r="C12" s="19">
        <v>0.33</v>
      </c>
      <c r="D12" s="19">
        <v>0.286</v>
      </c>
      <c r="E12" s="19">
        <v>0.379</v>
      </c>
      <c r="F12" s="19">
        <v>0.33</v>
      </c>
      <c r="G12" s="19">
        <v>0.33</v>
      </c>
      <c r="H12" s="19">
        <v>0.334</v>
      </c>
    </row>
    <row r="13">
      <c r="A13" s="17">
        <v>12.0</v>
      </c>
      <c r="B13" s="18" t="s">
        <v>157</v>
      </c>
      <c r="C13" s="19">
        <v>0.34</v>
      </c>
      <c r="D13" s="19">
        <v>0.432</v>
      </c>
      <c r="E13" s="19">
        <v>0.561</v>
      </c>
      <c r="F13" s="19">
        <v>0.22</v>
      </c>
      <c r="G13" s="19">
        <v>0.416</v>
      </c>
      <c r="H13" s="19">
        <v>0.327</v>
      </c>
    </row>
    <row r="14">
      <c r="A14" s="17">
        <v>13.0</v>
      </c>
      <c r="B14" s="18" t="s">
        <v>158</v>
      </c>
      <c r="C14" s="19">
        <v>0.347</v>
      </c>
      <c r="D14" s="19">
        <v>0.272</v>
      </c>
      <c r="E14" s="19">
        <v>0.182</v>
      </c>
      <c r="F14" s="19">
        <v>0.48</v>
      </c>
      <c r="G14" s="19">
        <v>0.254</v>
      </c>
      <c r="H14" s="19">
        <v>0.364</v>
      </c>
    </row>
    <row r="15">
      <c r="A15" s="17">
        <v>14.0</v>
      </c>
      <c r="B15" s="18" t="s">
        <v>159</v>
      </c>
      <c r="C15" s="19">
        <v>0.364</v>
      </c>
      <c r="D15" s="19">
        <v>0.371</v>
      </c>
      <c r="E15" s="19">
        <v>0.431</v>
      </c>
      <c r="F15" s="19">
        <v>0.425</v>
      </c>
      <c r="G15" s="19">
        <v>0.295</v>
      </c>
      <c r="H15" s="19">
        <v>0.373</v>
      </c>
    </row>
    <row r="16">
      <c r="A16" s="17">
        <v>15.0</v>
      </c>
      <c r="B16" s="18" t="s">
        <v>160</v>
      </c>
      <c r="C16" s="19">
        <v>0.369</v>
      </c>
      <c r="D16" s="19">
        <v>0.389</v>
      </c>
      <c r="E16" s="19">
        <v>0.197</v>
      </c>
      <c r="F16" s="19">
        <v>0.342</v>
      </c>
      <c r="G16" s="19">
        <v>0.406</v>
      </c>
      <c r="H16" s="19">
        <v>0.35</v>
      </c>
    </row>
    <row r="17">
      <c r="A17" s="17">
        <v>16.0</v>
      </c>
      <c r="B17" s="18" t="s">
        <v>161</v>
      </c>
      <c r="C17" s="19">
        <v>0.378</v>
      </c>
      <c r="D17" s="19">
        <v>0.384</v>
      </c>
      <c r="E17" s="19">
        <v>0.412</v>
      </c>
      <c r="F17" s="19">
        <v>0.356</v>
      </c>
      <c r="G17" s="19">
        <v>0.407</v>
      </c>
      <c r="H17" s="19">
        <v>0.3</v>
      </c>
    </row>
    <row r="18">
      <c r="A18" s="17">
        <v>17.0</v>
      </c>
      <c r="B18" s="18" t="s">
        <v>162</v>
      </c>
      <c r="C18" s="19">
        <v>0.38</v>
      </c>
      <c r="D18" s="19">
        <v>0.497</v>
      </c>
      <c r="E18" s="19">
        <v>0.607</v>
      </c>
      <c r="F18" s="19">
        <v>0.406</v>
      </c>
      <c r="G18" s="19">
        <v>0.315</v>
      </c>
      <c r="H18" s="19">
        <v>0.342</v>
      </c>
    </row>
    <row r="19">
      <c r="A19" s="17">
        <v>18.0</v>
      </c>
      <c r="B19" s="18" t="s">
        <v>163</v>
      </c>
      <c r="C19" s="19">
        <v>0.383</v>
      </c>
      <c r="D19" s="19">
        <v>0.299</v>
      </c>
      <c r="E19" s="19">
        <v>0.163</v>
      </c>
      <c r="F19" s="19">
        <v>0.248</v>
      </c>
      <c r="G19" s="19">
        <v>0.467</v>
      </c>
      <c r="H19" s="19">
        <v>0.464</v>
      </c>
    </row>
    <row r="20">
      <c r="A20" s="17">
        <v>19.0</v>
      </c>
      <c r="B20" s="18" t="s">
        <v>164</v>
      </c>
      <c r="C20" s="19">
        <v>0.387</v>
      </c>
      <c r="D20" s="19">
        <v>0.417</v>
      </c>
      <c r="E20" s="19">
        <v>0.396</v>
      </c>
      <c r="F20" s="19">
        <v>0.412</v>
      </c>
      <c r="G20" s="19">
        <v>0.367</v>
      </c>
      <c r="H20" s="19">
        <v>0.388</v>
      </c>
    </row>
    <row r="21">
      <c r="A21" s="17">
        <v>20.0</v>
      </c>
      <c r="B21" s="18" t="s">
        <v>165</v>
      </c>
      <c r="C21" s="19">
        <v>0.387</v>
      </c>
      <c r="D21" s="19">
        <v>0.32</v>
      </c>
      <c r="E21" s="19">
        <v>0.262</v>
      </c>
      <c r="F21" s="19">
        <v>0.503</v>
      </c>
      <c r="G21" s="19">
        <v>0.284</v>
      </c>
      <c r="H21" s="19">
        <v>0.368</v>
      </c>
    </row>
    <row r="22">
      <c r="A22" s="17">
        <v>21.0</v>
      </c>
      <c r="B22" s="18" t="s">
        <v>166</v>
      </c>
      <c r="C22" s="19">
        <v>0.393</v>
      </c>
      <c r="D22" s="19">
        <v>0.365</v>
      </c>
      <c r="E22" s="19">
        <v>0.429</v>
      </c>
      <c r="F22" s="19">
        <v>0.29</v>
      </c>
      <c r="G22" s="19">
        <v>0.477</v>
      </c>
      <c r="H22" s="19">
        <v>0.33</v>
      </c>
    </row>
    <row r="23">
      <c r="A23" s="17">
        <v>22.0</v>
      </c>
      <c r="B23" s="18" t="s">
        <v>167</v>
      </c>
      <c r="C23" s="19">
        <v>0.396</v>
      </c>
      <c r="D23" s="19">
        <v>0.517</v>
      </c>
      <c r="E23" s="19">
        <v>0.759</v>
      </c>
      <c r="F23" s="19">
        <v>0.448</v>
      </c>
      <c r="G23" s="19">
        <v>0.343</v>
      </c>
      <c r="H23" s="19">
        <v>0.303</v>
      </c>
    </row>
    <row r="24">
      <c r="A24" s="17">
        <v>23.0</v>
      </c>
      <c r="B24" s="18" t="s">
        <v>168</v>
      </c>
      <c r="C24" s="19">
        <v>0.398</v>
      </c>
      <c r="D24" s="19">
        <v>0.449</v>
      </c>
      <c r="E24" s="19">
        <v>0.542</v>
      </c>
      <c r="F24" s="19">
        <v>0.389</v>
      </c>
      <c r="G24" s="19">
        <v>0.405</v>
      </c>
      <c r="H24" s="19">
        <v>0.335</v>
      </c>
    </row>
    <row r="25">
      <c r="A25" s="17">
        <v>24.0</v>
      </c>
      <c r="B25" s="18" t="s">
        <v>169</v>
      </c>
      <c r="C25" s="19">
        <v>0.398</v>
      </c>
      <c r="D25" s="19">
        <v>0.516</v>
      </c>
      <c r="E25" s="19">
        <v>0.541</v>
      </c>
      <c r="F25" s="19">
        <v>0.427</v>
      </c>
      <c r="G25" s="19">
        <v>0.36</v>
      </c>
      <c r="H25" s="19">
        <v>0.31</v>
      </c>
    </row>
    <row r="26">
      <c r="A26" s="17">
        <v>25.0</v>
      </c>
      <c r="B26" s="18" t="s">
        <v>170</v>
      </c>
      <c r="C26" s="19">
        <v>0.403</v>
      </c>
      <c r="D26" s="19">
        <v>0.365</v>
      </c>
      <c r="E26" s="19">
        <v>0.234</v>
      </c>
      <c r="F26" s="19">
        <v>0.347</v>
      </c>
      <c r="G26" s="19">
        <v>0.476</v>
      </c>
      <c r="H26" s="19">
        <v>0.429</v>
      </c>
    </row>
    <row r="27">
      <c r="A27" s="17">
        <v>26.0</v>
      </c>
      <c r="B27" s="18" t="s">
        <v>171</v>
      </c>
      <c r="C27" s="19">
        <v>0.409</v>
      </c>
      <c r="D27" s="19">
        <v>0.322</v>
      </c>
      <c r="E27" s="19">
        <v>0.4</v>
      </c>
      <c r="F27" s="19">
        <v>0.335</v>
      </c>
      <c r="G27" s="19">
        <v>0.514</v>
      </c>
      <c r="H27" s="19">
        <v>0.354</v>
      </c>
    </row>
    <row r="28">
      <c r="A28" s="17">
        <v>27.0</v>
      </c>
      <c r="B28" s="18" t="s">
        <v>172</v>
      </c>
      <c r="C28" s="19">
        <v>0.413</v>
      </c>
      <c r="D28" s="19">
        <v>0.462</v>
      </c>
      <c r="E28" s="19">
        <v>0.397</v>
      </c>
      <c r="F28" s="19">
        <v>0.341</v>
      </c>
      <c r="G28" s="19">
        <v>0.46</v>
      </c>
      <c r="H28" s="19">
        <v>0.25</v>
      </c>
    </row>
    <row r="29">
      <c r="A29" s="17">
        <v>28.0</v>
      </c>
      <c r="B29" s="18" t="s">
        <v>173</v>
      </c>
      <c r="C29" s="19">
        <v>0.421</v>
      </c>
      <c r="D29" s="19">
        <v>0.379</v>
      </c>
      <c r="E29" s="19">
        <v>0.63</v>
      </c>
      <c r="F29" s="19">
        <v>0.409</v>
      </c>
      <c r="G29" s="19">
        <v>0.435</v>
      </c>
      <c r="H29" s="19">
        <v>0.335</v>
      </c>
    </row>
    <row r="30">
      <c r="A30" s="17">
        <v>29.0</v>
      </c>
      <c r="B30" s="18" t="s">
        <v>174</v>
      </c>
      <c r="C30" s="19">
        <v>0.439</v>
      </c>
      <c r="D30" s="19">
        <v>0.462</v>
      </c>
      <c r="E30" s="19">
        <v>0.296</v>
      </c>
      <c r="F30" s="19">
        <v>0.388</v>
      </c>
      <c r="G30" s="19">
        <v>0.461</v>
      </c>
      <c r="H30" s="19">
        <v>0.344</v>
      </c>
    </row>
    <row r="31">
      <c r="A31" s="17">
        <v>30.0</v>
      </c>
      <c r="B31" s="18" t="s">
        <v>175</v>
      </c>
      <c r="C31" s="19">
        <v>0.44</v>
      </c>
      <c r="D31" s="19">
        <v>0.5</v>
      </c>
      <c r="E31" s="19">
        <v>0.385</v>
      </c>
      <c r="F31" s="19">
        <v>0.444</v>
      </c>
      <c r="G31" s="19">
        <v>0.436</v>
      </c>
      <c r="H31" s="19">
        <v>0.304</v>
      </c>
    </row>
    <row r="32">
      <c r="A32" s="17">
        <v>31.0</v>
      </c>
      <c r="B32" s="18" t="s">
        <v>176</v>
      </c>
      <c r="C32" s="19">
        <v>0.449</v>
      </c>
      <c r="D32" s="19">
        <v>0.42</v>
      </c>
      <c r="E32" s="19">
        <v>0.712</v>
      </c>
      <c r="F32" s="19">
        <v>0.654</v>
      </c>
      <c r="G32" s="19">
        <v>0.255</v>
      </c>
      <c r="H32" s="19">
        <v>0.34</v>
      </c>
    </row>
    <row r="33">
      <c r="A33" s="17">
        <v>32.0</v>
      </c>
      <c r="B33" s="18" t="s">
        <v>177</v>
      </c>
      <c r="C33" s="19">
        <v>0.542</v>
      </c>
      <c r="D33" s="19">
        <v>0.57</v>
      </c>
      <c r="E33" s="19">
        <v>0.635</v>
      </c>
      <c r="F33" s="19">
        <v>0.503</v>
      </c>
      <c r="G33" s="19">
        <v>0.573</v>
      </c>
      <c r="H33" s="19">
        <v>0.409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</hyperlinks>
  <drawing r:id="rId3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">
        <v>109</v>
      </c>
      <c r="B1" s="14" t="s">
        <v>88</v>
      </c>
      <c r="C1" s="15">
        <v>2024.0</v>
      </c>
      <c r="D1" s="16" t="s">
        <v>110</v>
      </c>
      <c r="E1" s="16" t="s">
        <v>111</v>
      </c>
      <c r="F1" s="15" t="s">
        <v>112</v>
      </c>
      <c r="G1" s="15" t="s">
        <v>113</v>
      </c>
      <c r="H1" s="15">
        <v>2023.0</v>
      </c>
    </row>
    <row r="2">
      <c r="A2" s="17">
        <v>1.0</v>
      </c>
      <c r="B2" s="18" t="s">
        <v>178</v>
      </c>
      <c r="C2" s="19">
        <v>65.5</v>
      </c>
      <c r="D2" s="19">
        <v>65.7</v>
      </c>
      <c r="E2" s="19">
        <v>68.0</v>
      </c>
      <c r="F2" s="19">
        <v>64.7</v>
      </c>
      <c r="G2" s="19">
        <v>66.3</v>
      </c>
      <c r="H2" s="19">
        <v>61.8</v>
      </c>
    </row>
    <row r="3">
      <c r="A3" s="17">
        <v>2.0</v>
      </c>
      <c r="B3" s="18" t="s">
        <v>179</v>
      </c>
      <c r="C3" s="19">
        <v>65.3</v>
      </c>
      <c r="D3" s="19">
        <v>61.0</v>
      </c>
      <c r="E3" s="19">
        <v>65.0</v>
      </c>
      <c r="F3" s="19">
        <v>65.0</v>
      </c>
      <c r="G3" s="19">
        <v>65.5</v>
      </c>
      <c r="H3" s="19">
        <v>64.7</v>
      </c>
    </row>
    <row r="4">
      <c r="A4" s="17">
        <v>3.0</v>
      </c>
      <c r="B4" s="18" t="s">
        <v>180</v>
      </c>
      <c r="C4" s="19">
        <v>65.0</v>
      </c>
      <c r="D4" s="19">
        <v>62.3</v>
      </c>
      <c r="E4" s="19">
        <v>58.0</v>
      </c>
      <c r="F4" s="19">
        <v>65.3</v>
      </c>
      <c r="G4" s="19">
        <v>64.8</v>
      </c>
      <c r="H4" s="19">
        <v>61.8</v>
      </c>
    </row>
    <row r="5">
      <c r="A5" s="17">
        <v>4.0</v>
      </c>
      <c r="B5" s="18" t="s">
        <v>181</v>
      </c>
      <c r="C5" s="19">
        <v>64.7</v>
      </c>
      <c r="D5" s="19">
        <v>66.7</v>
      </c>
      <c r="E5" s="19">
        <v>55.0</v>
      </c>
      <c r="F5" s="19">
        <v>65.5</v>
      </c>
      <c r="G5" s="19">
        <v>63.7</v>
      </c>
      <c r="H5" s="19">
        <v>62.2</v>
      </c>
    </row>
    <row r="6">
      <c r="A6" s="17">
        <v>5.0</v>
      </c>
      <c r="B6" s="18" t="s">
        <v>182</v>
      </c>
      <c r="C6" s="19">
        <v>64.5</v>
      </c>
      <c r="D6" s="19">
        <v>68.7</v>
      </c>
      <c r="E6" s="19">
        <v>68.0</v>
      </c>
      <c r="F6" s="19">
        <v>63.0</v>
      </c>
      <c r="G6" s="19">
        <v>66.0</v>
      </c>
      <c r="H6" s="19">
        <v>64.5</v>
      </c>
    </row>
    <row r="7">
      <c r="A7" s="17">
        <v>5.0</v>
      </c>
      <c r="B7" s="18" t="s">
        <v>183</v>
      </c>
      <c r="C7" s="19">
        <v>64.5</v>
      </c>
      <c r="D7" s="19">
        <v>63.7</v>
      </c>
      <c r="E7" s="19">
        <v>65.0</v>
      </c>
      <c r="F7" s="19">
        <v>67.0</v>
      </c>
      <c r="G7" s="19">
        <v>62.0</v>
      </c>
      <c r="H7" s="19">
        <v>67.3</v>
      </c>
    </row>
    <row r="8">
      <c r="A8" s="17">
        <v>5.0</v>
      </c>
      <c r="B8" s="18" t="s">
        <v>184</v>
      </c>
      <c r="C8" s="19">
        <v>64.5</v>
      </c>
      <c r="D8" s="19">
        <v>61.3</v>
      </c>
      <c r="E8" s="19">
        <v>61.0</v>
      </c>
      <c r="F8" s="19">
        <v>58.7</v>
      </c>
      <c r="G8" s="19">
        <v>70.3</v>
      </c>
      <c r="H8" s="19">
        <v>64.5</v>
      </c>
    </row>
    <row r="9">
      <c r="A9" s="17">
        <v>8.0</v>
      </c>
      <c r="B9" s="18" t="s">
        <v>185</v>
      </c>
      <c r="C9" s="19">
        <v>64.4</v>
      </c>
      <c r="D9" s="19">
        <v>62.3</v>
      </c>
      <c r="E9" s="19">
        <v>56.0</v>
      </c>
      <c r="F9" s="19">
        <v>62.8</v>
      </c>
      <c r="G9" s="19">
        <v>66.7</v>
      </c>
      <c r="H9" s="19">
        <v>58.5</v>
      </c>
    </row>
    <row r="10">
      <c r="A10" s="17">
        <v>9.0</v>
      </c>
      <c r="B10" s="18" t="s">
        <v>186</v>
      </c>
      <c r="C10" s="19">
        <v>64.0</v>
      </c>
      <c r="D10" s="19">
        <v>57.3</v>
      </c>
      <c r="E10" s="19">
        <v>56.0</v>
      </c>
      <c r="F10" s="19">
        <v>64.7</v>
      </c>
      <c r="G10" s="19">
        <v>63.3</v>
      </c>
      <c r="H10" s="19">
        <v>66.8</v>
      </c>
    </row>
    <row r="11">
      <c r="A11" s="17">
        <v>10.0</v>
      </c>
      <c r="B11" s="18" t="s">
        <v>187</v>
      </c>
      <c r="C11" s="19">
        <v>63.9</v>
      </c>
      <c r="D11" s="19">
        <v>65.3</v>
      </c>
      <c r="E11" s="19">
        <v>54.0</v>
      </c>
      <c r="F11" s="19">
        <v>60.7</v>
      </c>
      <c r="G11" s="19">
        <v>66.3</v>
      </c>
      <c r="H11" s="19">
        <v>63.2</v>
      </c>
    </row>
    <row r="12">
      <c r="A12" s="17">
        <v>11.0</v>
      </c>
      <c r="B12" s="18" t="s">
        <v>188</v>
      </c>
      <c r="C12" s="19">
        <v>63.4</v>
      </c>
      <c r="D12" s="19">
        <v>63.0</v>
      </c>
      <c r="E12" s="19">
        <v>77.0</v>
      </c>
      <c r="F12" s="19">
        <v>70.0</v>
      </c>
      <c r="G12" s="19">
        <v>58.5</v>
      </c>
      <c r="H12" s="19">
        <v>69.8</v>
      </c>
    </row>
    <row r="13">
      <c r="A13" s="17">
        <v>12.0</v>
      </c>
      <c r="B13" s="18" t="s">
        <v>189</v>
      </c>
      <c r="C13" s="19">
        <v>63.1</v>
      </c>
      <c r="D13" s="19">
        <v>61.3</v>
      </c>
      <c r="E13" s="19">
        <v>56.0</v>
      </c>
      <c r="F13" s="19">
        <v>66.8</v>
      </c>
      <c r="G13" s="19">
        <v>58.3</v>
      </c>
      <c r="H13" s="19">
        <v>61.5</v>
      </c>
    </row>
    <row r="14">
      <c r="A14" s="17">
        <v>12.0</v>
      </c>
      <c r="B14" s="18" t="s">
        <v>190</v>
      </c>
      <c r="C14" s="19">
        <v>63.1</v>
      </c>
      <c r="D14" s="19">
        <v>61.7</v>
      </c>
      <c r="E14" s="19">
        <v>66.0</v>
      </c>
      <c r="F14" s="19">
        <v>62.7</v>
      </c>
      <c r="G14" s="19">
        <v>63.5</v>
      </c>
      <c r="H14" s="19">
        <v>60.7</v>
      </c>
    </row>
    <row r="15">
      <c r="A15" s="17">
        <v>12.0</v>
      </c>
      <c r="B15" s="18" t="s">
        <v>191</v>
      </c>
      <c r="C15" s="19">
        <v>63.1</v>
      </c>
      <c r="D15" s="19">
        <v>60.0</v>
      </c>
      <c r="E15" s="19">
        <v>56.0</v>
      </c>
      <c r="F15" s="19">
        <v>62.3</v>
      </c>
      <c r="G15" s="19">
        <v>64.3</v>
      </c>
      <c r="H15" s="19">
        <v>61.3</v>
      </c>
    </row>
    <row r="16">
      <c r="A16" s="17">
        <v>15.0</v>
      </c>
      <c r="B16" s="18" t="s">
        <v>192</v>
      </c>
      <c r="C16" s="19">
        <v>62.7</v>
      </c>
      <c r="D16" s="19">
        <v>67.0</v>
      </c>
      <c r="E16" s="19">
        <v>78.0</v>
      </c>
      <c r="F16" s="19">
        <v>67.3</v>
      </c>
      <c r="G16" s="19">
        <v>56.7</v>
      </c>
      <c r="H16" s="19">
        <v>61.9</v>
      </c>
    </row>
    <row r="17">
      <c r="A17" s="17">
        <v>16.0</v>
      </c>
      <c r="B17" s="18" t="s">
        <v>193</v>
      </c>
      <c r="C17" s="19">
        <v>62.1</v>
      </c>
      <c r="D17" s="19">
        <v>73.3</v>
      </c>
      <c r="E17" s="19">
        <v>71.0</v>
      </c>
      <c r="F17" s="19">
        <v>61.8</v>
      </c>
      <c r="G17" s="19">
        <v>63.0</v>
      </c>
      <c r="H17" s="19">
        <v>64.2</v>
      </c>
    </row>
    <row r="18">
      <c r="A18" s="17">
        <v>17.0</v>
      </c>
      <c r="B18" s="18" t="s">
        <v>194</v>
      </c>
      <c r="C18" s="19">
        <v>61.9</v>
      </c>
      <c r="D18" s="19">
        <v>64.7</v>
      </c>
      <c r="E18" s="19">
        <v>66.0</v>
      </c>
      <c r="F18" s="19">
        <v>62.3</v>
      </c>
      <c r="G18" s="19">
        <v>61.3</v>
      </c>
      <c r="H18" s="19">
        <v>63.8</v>
      </c>
    </row>
    <row r="19">
      <c r="A19" s="17">
        <v>17.0</v>
      </c>
      <c r="B19" s="18" t="s">
        <v>195</v>
      </c>
      <c r="C19" s="19">
        <v>61.9</v>
      </c>
      <c r="D19" s="19">
        <v>61.3</v>
      </c>
      <c r="E19" s="19">
        <v>63.0</v>
      </c>
      <c r="F19" s="19">
        <v>65.7</v>
      </c>
      <c r="G19" s="19">
        <v>59.0</v>
      </c>
      <c r="H19" s="19">
        <v>62.4</v>
      </c>
    </row>
    <row r="20">
      <c r="A20" s="17">
        <v>17.0</v>
      </c>
      <c r="B20" s="18" t="s">
        <v>196</v>
      </c>
      <c r="C20" s="19">
        <v>61.9</v>
      </c>
      <c r="D20" s="19">
        <v>66.7</v>
      </c>
      <c r="E20" s="19">
        <v>75.0</v>
      </c>
      <c r="F20" s="19">
        <v>58.0</v>
      </c>
      <c r="G20" s="19">
        <v>64.8</v>
      </c>
      <c r="H20" s="19">
        <v>59.4</v>
      </c>
    </row>
    <row r="21">
      <c r="A21" s="17">
        <v>20.0</v>
      </c>
      <c r="B21" s="18" t="s">
        <v>197</v>
      </c>
      <c r="C21" s="19">
        <v>61.4</v>
      </c>
      <c r="D21" s="19">
        <v>61.7</v>
      </c>
      <c r="E21" s="19">
        <v>55.0</v>
      </c>
      <c r="F21" s="19">
        <v>66.3</v>
      </c>
      <c r="G21" s="19">
        <v>57.8</v>
      </c>
      <c r="H21" s="19">
        <v>61.9</v>
      </c>
    </row>
    <row r="22">
      <c r="A22" s="17">
        <v>21.0</v>
      </c>
      <c r="B22" s="18" t="s">
        <v>198</v>
      </c>
      <c r="C22" s="19">
        <v>60.9</v>
      </c>
      <c r="D22" s="19">
        <v>61.0</v>
      </c>
      <c r="E22" s="19">
        <v>66.0</v>
      </c>
      <c r="F22" s="19">
        <v>62.3</v>
      </c>
      <c r="G22" s="19">
        <v>59.0</v>
      </c>
      <c r="H22" s="19">
        <v>65.9</v>
      </c>
    </row>
    <row r="23">
      <c r="A23" s="17">
        <v>22.0</v>
      </c>
      <c r="B23" s="18" t="s">
        <v>199</v>
      </c>
      <c r="C23" s="19">
        <v>59.7</v>
      </c>
      <c r="D23" s="19">
        <v>61.3</v>
      </c>
      <c r="E23" s="19">
        <v>67.0</v>
      </c>
      <c r="F23" s="19">
        <v>56.0</v>
      </c>
      <c r="G23" s="19">
        <v>63.3</v>
      </c>
      <c r="H23" s="19">
        <v>58.9</v>
      </c>
    </row>
    <row r="24">
      <c r="A24" s="17">
        <v>23.0</v>
      </c>
      <c r="B24" s="18" t="s">
        <v>200</v>
      </c>
      <c r="C24" s="19">
        <v>59.6</v>
      </c>
      <c r="D24" s="19">
        <v>57.3</v>
      </c>
      <c r="E24" s="19">
        <v>61.0</v>
      </c>
      <c r="F24" s="19">
        <v>55.7</v>
      </c>
      <c r="G24" s="19">
        <v>62.5</v>
      </c>
      <c r="H24" s="19">
        <v>59.8</v>
      </c>
    </row>
    <row r="25">
      <c r="A25" s="17">
        <v>24.0</v>
      </c>
      <c r="B25" s="18" t="s">
        <v>201</v>
      </c>
      <c r="C25" s="19">
        <v>59.3</v>
      </c>
      <c r="D25" s="19">
        <v>64.0</v>
      </c>
      <c r="E25" s="19">
        <v>64.0</v>
      </c>
      <c r="F25" s="19">
        <v>53.5</v>
      </c>
      <c r="G25" s="19">
        <v>62.3</v>
      </c>
      <c r="H25" s="19">
        <v>65.1</v>
      </c>
    </row>
    <row r="26">
      <c r="A26" s="17">
        <v>25.0</v>
      </c>
      <c r="B26" s="18" t="s">
        <v>202</v>
      </c>
      <c r="C26" s="19">
        <v>58.9</v>
      </c>
      <c r="D26" s="19">
        <v>57.3</v>
      </c>
      <c r="E26" s="19">
        <v>54.0</v>
      </c>
      <c r="F26" s="19">
        <v>61.3</v>
      </c>
      <c r="G26" s="19">
        <v>57.0</v>
      </c>
      <c r="H26" s="19">
        <v>60.0</v>
      </c>
    </row>
    <row r="27">
      <c r="A27" s="17">
        <v>26.0</v>
      </c>
      <c r="B27" s="18" t="s">
        <v>203</v>
      </c>
      <c r="C27" s="19">
        <v>58.6</v>
      </c>
      <c r="D27" s="19">
        <v>65.3</v>
      </c>
      <c r="E27" s="19">
        <v>61.0</v>
      </c>
      <c r="F27" s="19">
        <v>55.5</v>
      </c>
      <c r="G27" s="19">
        <v>62.7</v>
      </c>
      <c r="H27" s="19">
        <v>64.4</v>
      </c>
    </row>
    <row r="28">
      <c r="A28" s="17">
        <v>27.0</v>
      </c>
      <c r="B28" s="18" t="s">
        <v>204</v>
      </c>
      <c r="C28" s="19">
        <v>58.1</v>
      </c>
      <c r="D28" s="19">
        <v>58.7</v>
      </c>
      <c r="E28" s="19">
        <v>59.0</v>
      </c>
      <c r="F28" s="19">
        <v>56.0</v>
      </c>
      <c r="G28" s="19">
        <v>59.0</v>
      </c>
      <c r="H28" s="19">
        <v>65.5</v>
      </c>
    </row>
    <row r="29">
      <c r="A29" s="17">
        <v>28.0</v>
      </c>
      <c r="B29" s="18" t="s">
        <v>205</v>
      </c>
      <c r="C29" s="19">
        <v>57.7</v>
      </c>
      <c r="D29" s="19">
        <v>54.3</v>
      </c>
      <c r="E29" s="19">
        <v>43.0</v>
      </c>
      <c r="F29" s="19">
        <v>59.3</v>
      </c>
      <c r="G29" s="19">
        <v>56.5</v>
      </c>
      <c r="H29" s="19">
        <v>64.5</v>
      </c>
    </row>
    <row r="30">
      <c r="A30" s="17">
        <v>29.0</v>
      </c>
      <c r="B30" s="18" t="s">
        <v>206</v>
      </c>
      <c r="C30" s="19">
        <v>57.3</v>
      </c>
      <c r="D30" s="19">
        <v>56.7</v>
      </c>
      <c r="E30" s="19">
        <v>53.0</v>
      </c>
      <c r="F30" s="19">
        <v>57.7</v>
      </c>
      <c r="G30" s="19">
        <v>57.0</v>
      </c>
      <c r="H30" s="19">
        <v>61.6</v>
      </c>
    </row>
    <row r="31">
      <c r="A31" s="17">
        <v>30.0</v>
      </c>
      <c r="B31" s="18" t="s">
        <v>207</v>
      </c>
      <c r="C31" s="19">
        <v>57.1</v>
      </c>
      <c r="D31" s="19">
        <v>55.7</v>
      </c>
      <c r="E31" s="19">
        <v>55.0</v>
      </c>
      <c r="F31" s="19">
        <v>57.0</v>
      </c>
      <c r="G31" s="19">
        <v>57.3</v>
      </c>
      <c r="H31" s="19">
        <v>62.8</v>
      </c>
    </row>
    <row r="32">
      <c r="A32" s="17">
        <v>31.0</v>
      </c>
      <c r="B32" s="18" t="s">
        <v>208</v>
      </c>
      <c r="C32" s="19">
        <v>56.7</v>
      </c>
      <c r="D32" s="19">
        <v>56.0</v>
      </c>
      <c r="E32" s="19">
        <v>50.0</v>
      </c>
      <c r="F32" s="19">
        <v>55.3</v>
      </c>
      <c r="G32" s="19">
        <v>57.8</v>
      </c>
      <c r="H32" s="19">
        <v>63.0</v>
      </c>
    </row>
    <row r="33">
      <c r="A33" s="17">
        <v>32.0</v>
      </c>
      <c r="B33" s="18" t="s">
        <v>209</v>
      </c>
      <c r="C33" s="19">
        <v>56.1</v>
      </c>
      <c r="D33" s="19">
        <v>57.7</v>
      </c>
      <c r="E33" s="19">
        <v>54.0</v>
      </c>
      <c r="F33" s="19">
        <v>57.3</v>
      </c>
      <c r="G33" s="19">
        <v>55.3</v>
      </c>
      <c r="H33" s="19">
        <v>66.3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</hyperlinks>
  <drawing r:id="rId3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">
        <v>109</v>
      </c>
      <c r="B1" s="14" t="s">
        <v>88</v>
      </c>
      <c r="C1" s="15">
        <v>2024.0</v>
      </c>
      <c r="D1" s="16" t="s">
        <v>110</v>
      </c>
      <c r="E1" s="16" t="s">
        <v>111</v>
      </c>
      <c r="F1" s="15" t="s">
        <v>112</v>
      </c>
      <c r="G1" s="15" t="s">
        <v>113</v>
      </c>
      <c r="H1" s="15">
        <v>2023.0</v>
      </c>
    </row>
    <row r="2">
      <c r="A2" s="17">
        <v>1.0</v>
      </c>
      <c r="B2" s="18" t="s">
        <v>210</v>
      </c>
      <c r="C2" s="19">
        <v>55.5</v>
      </c>
      <c r="D2" s="19">
        <v>59.3</v>
      </c>
      <c r="E2" s="19">
        <v>61.0</v>
      </c>
      <c r="F2" s="19">
        <v>52.3</v>
      </c>
      <c r="G2" s="19">
        <v>58.7</v>
      </c>
      <c r="H2" s="19">
        <v>62.9</v>
      </c>
    </row>
    <row r="3">
      <c r="A3" s="17">
        <v>2.0</v>
      </c>
      <c r="B3" s="18" t="s">
        <v>211</v>
      </c>
      <c r="C3" s="19">
        <v>56.0</v>
      </c>
      <c r="D3" s="19">
        <v>55.3</v>
      </c>
      <c r="E3" s="19">
        <v>55.0</v>
      </c>
      <c r="F3" s="19">
        <v>58.5</v>
      </c>
      <c r="G3" s="19">
        <v>54.8</v>
      </c>
      <c r="H3" s="19">
        <v>65.5</v>
      </c>
    </row>
    <row r="4">
      <c r="A4" s="17">
        <v>3.0</v>
      </c>
      <c r="B4" s="18" t="s">
        <v>212</v>
      </c>
      <c r="C4" s="19">
        <v>56.7</v>
      </c>
      <c r="D4" s="19">
        <v>55.7</v>
      </c>
      <c r="E4" s="19">
        <v>43.0</v>
      </c>
      <c r="F4" s="19">
        <v>51.0</v>
      </c>
      <c r="G4" s="19">
        <v>61.0</v>
      </c>
      <c r="H4" s="19">
        <v>65.7</v>
      </c>
    </row>
    <row r="5">
      <c r="A5" s="17">
        <v>4.0</v>
      </c>
      <c r="B5" s="18" t="s">
        <v>213</v>
      </c>
      <c r="C5" s="19">
        <v>57.0</v>
      </c>
      <c r="D5" s="19">
        <v>58.0</v>
      </c>
      <c r="E5" s="19">
        <v>54.0</v>
      </c>
      <c r="F5" s="19">
        <v>60.3</v>
      </c>
      <c r="G5" s="19">
        <v>53.7</v>
      </c>
      <c r="H5" s="19">
        <v>64.5</v>
      </c>
    </row>
    <row r="6">
      <c r="A6" s="17">
        <v>5.0</v>
      </c>
      <c r="B6" s="18" t="s">
        <v>214</v>
      </c>
      <c r="C6" s="19">
        <v>57.9</v>
      </c>
      <c r="D6" s="19">
        <v>59.3</v>
      </c>
      <c r="E6" s="19">
        <v>56.0</v>
      </c>
      <c r="F6" s="19">
        <v>61.0</v>
      </c>
      <c r="G6" s="19">
        <v>55.5</v>
      </c>
      <c r="H6" s="19">
        <v>64.0</v>
      </c>
    </row>
    <row r="7">
      <c r="A7" s="17">
        <v>5.0</v>
      </c>
      <c r="B7" s="18" t="s">
        <v>215</v>
      </c>
      <c r="C7" s="19">
        <v>57.9</v>
      </c>
      <c r="D7" s="19">
        <v>63.3</v>
      </c>
      <c r="E7" s="19">
        <v>55.0</v>
      </c>
      <c r="F7" s="19">
        <v>58.3</v>
      </c>
      <c r="G7" s="19">
        <v>57.5</v>
      </c>
      <c r="H7" s="19">
        <v>63.3</v>
      </c>
    </row>
    <row r="8">
      <c r="A8" s="17">
        <v>7.0</v>
      </c>
      <c r="B8" s="18" t="s">
        <v>216</v>
      </c>
      <c r="C8" s="19">
        <v>58.4</v>
      </c>
      <c r="D8" s="19">
        <v>58.3</v>
      </c>
      <c r="E8" s="19">
        <v>65.0</v>
      </c>
      <c r="F8" s="19">
        <v>54.8</v>
      </c>
      <c r="G8" s="19">
        <v>63.3</v>
      </c>
      <c r="H8" s="19">
        <v>64.2</v>
      </c>
    </row>
    <row r="9">
      <c r="A9" s="17">
        <v>8.0</v>
      </c>
      <c r="B9" s="18" t="s">
        <v>217</v>
      </c>
      <c r="C9" s="19">
        <v>58.5</v>
      </c>
      <c r="D9" s="19">
        <v>53.3</v>
      </c>
      <c r="E9" s="19">
        <v>56.0</v>
      </c>
      <c r="F9" s="19">
        <v>62.0</v>
      </c>
      <c r="G9" s="19">
        <v>55.0</v>
      </c>
      <c r="H9" s="19">
        <v>62.4</v>
      </c>
    </row>
    <row r="10">
      <c r="A10" s="17">
        <v>9.0</v>
      </c>
      <c r="B10" s="18" t="s">
        <v>218</v>
      </c>
      <c r="C10" s="19">
        <v>58.7</v>
      </c>
      <c r="D10" s="19">
        <v>58.7</v>
      </c>
      <c r="E10" s="19">
        <v>60.0</v>
      </c>
      <c r="F10" s="19">
        <v>59.0</v>
      </c>
      <c r="G10" s="19">
        <v>58.3</v>
      </c>
      <c r="H10" s="19">
        <v>60.9</v>
      </c>
    </row>
    <row r="11">
      <c r="A11" s="17">
        <v>10.0</v>
      </c>
      <c r="B11" s="18" t="s">
        <v>219</v>
      </c>
      <c r="C11" s="19">
        <v>58.8</v>
      </c>
      <c r="D11" s="19">
        <v>60.7</v>
      </c>
      <c r="E11" s="19">
        <v>55.0</v>
      </c>
      <c r="F11" s="19">
        <v>55.5</v>
      </c>
      <c r="G11" s="19">
        <v>60.5</v>
      </c>
      <c r="H11" s="19">
        <v>65.2</v>
      </c>
    </row>
    <row r="12">
      <c r="A12" s="17">
        <v>11.0</v>
      </c>
      <c r="B12" s="18" t="s">
        <v>220</v>
      </c>
      <c r="C12" s="19">
        <v>59.4</v>
      </c>
      <c r="D12" s="19">
        <v>57.3</v>
      </c>
      <c r="E12" s="19">
        <v>52.0</v>
      </c>
      <c r="F12" s="19">
        <v>63.0</v>
      </c>
      <c r="G12" s="19">
        <v>56.8</v>
      </c>
      <c r="H12" s="19">
        <v>64.1</v>
      </c>
    </row>
    <row r="13">
      <c r="A13" s="17">
        <v>12.0</v>
      </c>
      <c r="B13" s="18" t="s">
        <v>221</v>
      </c>
      <c r="C13" s="19">
        <v>59.7</v>
      </c>
      <c r="D13" s="19">
        <v>66.0</v>
      </c>
      <c r="E13" s="19">
        <v>68.0</v>
      </c>
      <c r="F13" s="19">
        <v>59.0</v>
      </c>
      <c r="G13" s="19">
        <v>60.7</v>
      </c>
      <c r="H13" s="19">
        <v>62.6</v>
      </c>
    </row>
    <row r="14">
      <c r="A14" s="17">
        <v>13.0</v>
      </c>
      <c r="B14" s="18" t="s">
        <v>222</v>
      </c>
      <c r="C14" s="19">
        <v>59.9</v>
      </c>
      <c r="D14" s="19">
        <v>60.0</v>
      </c>
      <c r="E14" s="19">
        <v>53.0</v>
      </c>
      <c r="F14" s="19">
        <v>60.7</v>
      </c>
      <c r="G14" s="19">
        <v>59.3</v>
      </c>
      <c r="H14" s="19">
        <v>58.2</v>
      </c>
    </row>
    <row r="15">
      <c r="A15" s="17">
        <v>14.0</v>
      </c>
      <c r="B15" s="18" t="s">
        <v>223</v>
      </c>
      <c r="C15" s="19">
        <v>60.7</v>
      </c>
      <c r="D15" s="19">
        <v>61.0</v>
      </c>
      <c r="E15" s="19">
        <v>50.0</v>
      </c>
      <c r="F15" s="19">
        <v>62.0</v>
      </c>
      <c r="G15" s="19">
        <v>59.0</v>
      </c>
      <c r="H15" s="19">
        <v>62.9</v>
      </c>
    </row>
    <row r="16">
      <c r="A16" s="17">
        <v>15.0</v>
      </c>
      <c r="B16" s="18" t="s">
        <v>224</v>
      </c>
      <c r="C16" s="19">
        <v>60.9</v>
      </c>
      <c r="D16" s="19">
        <v>64.0</v>
      </c>
      <c r="E16" s="19">
        <v>66.0</v>
      </c>
      <c r="F16" s="19">
        <v>54.7</v>
      </c>
      <c r="G16" s="19">
        <v>65.5</v>
      </c>
      <c r="H16" s="19">
        <v>63.9</v>
      </c>
    </row>
    <row r="17">
      <c r="A17" s="17">
        <v>16.0</v>
      </c>
      <c r="B17" s="18" t="s">
        <v>225</v>
      </c>
      <c r="C17" s="19">
        <v>61.5</v>
      </c>
      <c r="D17" s="19">
        <v>65.0</v>
      </c>
      <c r="E17" s="19">
        <v>52.0</v>
      </c>
      <c r="F17" s="19">
        <v>66.3</v>
      </c>
      <c r="G17" s="19">
        <v>56.7</v>
      </c>
      <c r="H17" s="19">
        <v>60.9</v>
      </c>
    </row>
    <row r="18">
      <c r="A18" s="17">
        <v>17.0</v>
      </c>
      <c r="B18" s="18" t="s">
        <v>226</v>
      </c>
      <c r="C18" s="19">
        <v>61.9</v>
      </c>
      <c r="D18" s="19">
        <v>63.0</v>
      </c>
      <c r="E18" s="19">
        <v>58.0</v>
      </c>
      <c r="F18" s="19">
        <v>57.5</v>
      </c>
      <c r="G18" s="19">
        <v>67.7</v>
      </c>
      <c r="H18" s="19">
        <v>63.9</v>
      </c>
    </row>
    <row r="19">
      <c r="A19" s="17">
        <v>18.0</v>
      </c>
      <c r="B19" s="18" t="s">
        <v>227</v>
      </c>
      <c r="C19" s="19">
        <v>62.3</v>
      </c>
      <c r="D19" s="19">
        <v>66.3</v>
      </c>
      <c r="E19" s="19">
        <v>78.0</v>
      </c>
      <c r="F19" s="19">
        <v>57.7</v>
      </c>
      <c r="G19" s="19">
        <v>65.8</v>
      </c>
      <c r="H19" s="19">
        <v>64.7</v>
      </c>
    </row>
    <row r="20">
      <c r="A20" s="17">
        <v>19.0</v>
      </c>
      <c r="B20" s="18" t="s">
        <v>228</v>
      </c>
      <c r="C20" s="19">
        <v>62.3</v>
      </c>
      <c r="D20" s="19">
        <v>62.7</v>
      </c>
      <c r="E20" s="19">
        <v>66.0</v>
      </c>
      <c r="F20" s="19">
        <v>60.7</v>
      </c>
      <c r="G20" s="19">
        <v>64.0</v>
      </c>
      <c r="H20" s="19">
        <v>59.3</v>
      </c>
    </row>
    <row r="21">
      <c r="A21" s="17">
        <v>20.0</v>
      </c>
      <c r="B21" s="18" t="s">
        <v>229</v>
      </c>
      <c r="C21" s="19">
        <v>62.9</v>
      </c>
      <c r="D21" s="19">
        <v>65.3</v>
      </c>
      <c r="E21" s="19">
        <v>59.0</v>
      </c>
      <c r="F21" s="19">
        <v>67.7</v>
      </c>
      <c r="G21" s="19">
        <v>59.3</v>
      </c>
      <c r="H21" s="19">
        <v>64.2</v>
      </c>
    </row>
    <row r="22">
      <c r="A22" s="17">
        <v>21.0</v>
      </c>
      <c r="B22" s="18" t="s">
        <v>230</v>
      </c>
      <c r="C22" s="19">
        <v>63.1</v>
      </c>
      <c r="D22" s="19">
        <v>61.3</v>
      </c>
      <c r="E22" s="19">
        <v>54.0</v>
      </c>
      <c r="F22" s="19">
        <v>67.0</v>
      </c>
      <c r="G22" s="19">
        <v>61.6</v>
      </c>
      <c r="H22" s="19">
        <v>63.4</v>
      </c>
    </row>
    <row r="23">
      <c r="A23" s="17">
        <v>21.0</v>
      </c>
      <c r="B23" s="18" t="s">
        <v>231</v>
      </c>
      <c r="C23" s="19">
        <v>63.1</v>
      </c>
      <c r="D23" s="19">
        <v>65.7</v>
      </c>
      <c r="E23" s="19">
        <v>64.0</v>
      </c>
      <c r="F23" s="19">
        <v>62.8</v>
      </c>
      <c r="G23" s="19">
        <v>63.7</v>
      </c>
      <c r="H23" s="19">
        <v>62.4</v>
      </c>
    </row>
    <row r="24">
      <c r="A24" s="17">
        <v>23.0</v>
      </c>
      <c r="B24" s="18" t="s">
        <v>232</v>
      </c>
      <c r="C24" s="19">
        <v>63.4</v>
      </c>
      <c r="D24" s="19">
        <v>67.7</v>
      </c>
      <c r="E24" s="19">
        <v>71.0</v>
      </c>
      <c r="F24" s="19">
        <v>64.3</v>
      </c>
      <c r="G24" s="19">
        <v>62.3</v>
      </c>
      <c r="H24" s="19">
        <v>67.5</v>
      </c>
    </row>
    <row r="25">
      <c r="A25" s="17">
        <v>24.0</v>
      </c>
      <c r="B25" s="18" t="s">
        <v>233</v>
      </c>
      <c r="C25" s="19">
        <v>63.6</v>
      </c>
      <c r="D25" s="19">
        <v>56.3</v>
      </c>
      <c r="E25" s="19">
        <v>56.0</v>
      </c>
      <c r="F25" s="19">
        <v>63.0</v>
      </c>
      <c r="G25" s="19">
        <v>65.0</v>
      </c>
      <c r="H25" s="19">
        <v>64.1</v>
      </c>
    </row>
    <row r="26">
      <c r="A26" s="17">
        <v>25.0</v>
      </c>
      <c r="B26" s="18" t="s">
        <v>234</v>
      </c>
      <c r="C26" s="19">
        <v>64.0</v>
      </c>
      <c r="D26" s="19">
        <v>66.7</v>
      </c>
      <c r="E26" s="19">
        <v>63.0</v>
      </c>
      <c r="F26" s="19">
        <v>65.0</v>
      </c>
      <c r="G26" s="19">
        <v>63.3</v>
      </c>
      <c r="H26" s="19">
        <v>59.8</v>
      </c>
    </row>
    <row r="27">
      <c r="A27" s="17">
        <v>26.0</v>
      </c>
      <c r="B27" s="18" t="s">
        <v>235</v>
      </c>
      <c r="C27" s="19">
        <v>64.3</v>
      </c>
      <c r="D27" s="19">
        <v>68.7</v>
      </c>
      <c r="E27" s="19">
        <v>66.0</v>
      </c>
      <c r="F27" s="19">
        <v>66.0</v>
      </c>
      <c r="G27" s="19">
        <v>63.0</v>
      </c>
      <c r="H27" s="19">
        <v>63.7</v>
      </c>
    </row>
    <row r="28">
      <c r="A28" s="17">
        <v>26.0</v>
      </c>
      <c r="B28" s="18" t="s">
        <v>236</v>
      </c>
      <c r="C28" s="19">
        <v>64.3</v>
      </c>
      <c r="D28" s="19">
        <v>64.3</v>
      </c>
      <c r="E28" s="19">
        <v>67.0</v>
      </c>
      <c r="F28" s="19">
        <v>65.0</v>
      </c>
      <c r="G28" s="19">
        <v>63.8</v>
      </c>
      <c r="H28" s="19">
        <v>59.2</v>
      </c>
    </row>
    <row r="29">
      <c r="A29" s="17">
        <v>28.0</v>
      </c>
      <c r="B29" s="18" t="s">
        <v>237</v>
      </c>
      <c r="C29" s="19">
        <v>64.6</v>
      </c>
      <c r="D29" s="19">
        <v>71.0</v>
      </c>
      <c r="E29" s="19">
        <v>61.0</v>
      </c>
      <c r="F29" s="19">
        <v>63.8</v>
      </c>
      <c r="G29" s="19">
        <v>65.7</v>
      </c>
      <c r="H29" s="19">
        <v>62.0</v>
      </c>
    </row>
    <row r="30">
      <c r="A30" s="17">
        <v>29.0</v>
      </c>
      <c r="B30" s="18" t="s">
        <v>238</v>
      </c>
      <c r="C30" s="19">
        <v>65.7</v>
      </c>
      <c r="D30" s="19">
        <v>67.0</v>
      </c>
      <c r="E30" s="19">
        <v>54.0</v>
      </c>
      <c r="F30" s="19">
        <v>57.5</v>
      </c>
      <c r="G30" s="19">
        <v>76.7</v>
      </c>
      <c r="H30" s="19">
        <v>63.4</v>
      </c>
    </row>
    <row r="31">
      <c r="A31" s="17">
        <v>30.0</v>
      </c>
      <c r="B31" s="18" t="s">
        <v>239</v>
      </c>
      <c r="C31" s="19">
        <v>66.4</v>
      </c>
      <c r="D31" s="19">
        <v>64.3</v>
      </c>
      <c r="E31" s="19">
        <v>66.0</v>
      </c>
      <c r="F31" s="19">
        <v>62.0</v>
      </c>
      <c r="G31" s="19">
        <v>69.8</v>
      </c>
      <c r="H31" s="19">
        <v>64.4</v>
      </c>
    </row>
    <row r="32">
      <c r="A32" s="17">
        <v>31.0</v>
      </c>
      <c r="B32" s="18" t="s">
        <v>240</v>
      </c>
      <c r="C32" s="19">
        <v>67.9</v>
      </c>
      <c r="D32" s="19">
        <v>60.0</v>
      </c>
      <c r="E32" s="19">
        <v>68.0</v>
      </c>
      <c r="F32" s="19">
        <v>74.0</v>
      </c>
      <c r="G32" s="19">
        <v>59.7</v>
      </c>
      <c r="H32" s="19">
        <v>66.9</v>
      </c>
    </row>
    <row r="33">
      <c r="A33" s="17">
        <v>32.0</v>
      </c>
      <c r="B33" s="18" t="s">
        <v>241</v>
      </c>
      <c r="C33" s="19">
        <v>68.3</v>
      </c>
      <c r="D33" s="19">
        <v>76.0</v>
      </c>
      <c r="E33" s="19">
        <v>77.0</v>
      </c>
      <c r="F33" s="19">
        <v>66.0</v>
      </c>
      <c r="G33" s="19">
        <v>70.0</v>
      </c>
      <c r="H33" s="19">
        <v>62.1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</hyperlinks>
  <drawing r:id="rId33"/>
</worksheet>
</file>