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Sheet1" sheetId="2" r:id="rId5"/>
    <sheet state="visible" name="Sheet16" sheetId="3" r:id="rId6"/>
    <sheet state="visible" name="map" sheetId="4" r:id="rId7"/>
    <sheet state="visible" name="Sheet14" sheetId="5" r:id="rId8"/>
    <sheet state="visible" name="drive_time_of_possession" sheetId="6" r:id="rId9"/>
    <sheet state="visible" name="yards_drive_interaction" sheetId="7" r:id="rId10"/>
    <sheet state="visible" name="fourth_down_converted" sheetId="8" r:id="rId11"/>
    <sheet state="visible" name="yards_per_play" sheetId="9" r:id="rId12"/>
    <sheet state="visible" name="rush_attempt" sheetId="10" r:id="rId13"/>
    <sheet state="visible" name="pass_attempt" sheetId="11" r:id="rId14"/>
    <sheet state="visible" name="yards_gained" sheetId="12" r:id="rId15"/>
    <sheet state="visible" name="third_down_converted" sheetId="13" r:id="rId16"/>
    <sheet state="visible" name="fumble_lost" sheetId="14" r:id="rId17"/>
    <sheet state="visible" name="turnover_differential" sheetId="15" r:id="rId18"/>
    <sheet state="visible" name="interception" sheetId="16" r:id="rId19"/>
  </sheets>
  <definedNames>
    <definedName hidden="1" localSheetId="0" name="_xlnm._FilterDatabase">Model!$A$1:$Y$17</definedName>
  </definedNames>
  <calcPr/>
</workbook>
</file>

<file path=xl/sharedStrings.xml><?xml version="1.0" encoding="utf-8"?>
<sst xmlns="http://schemas.openxmlformats.org/spreadsheetml/2006/main" count="142" uniqueCount="109">
  <si>
    <t>home map</t>
  </si>
  <si>
    <t>away map</t>
  </si>
  <si>
    <t>Game ID</t>
  </si>
  <si>
    <t>home team</t>
  </si>
  <si>
    <t>away team</t>
  </si>
  <si>
    <t>home score</t>
  </si>
  <si>
    <t>away score</t>
  </si>
  <si>
    <t>Total Score</t>
  </si>
  <si>
    <t>Line</t>
  </si>
  <si>
    <t>Delta</t>
  </si>
  <si>
    <t>Model Margin</t>
  </si>
  <si>
    <t>scale factor</t>
  </si>
  <si>
    <t>adjusted total score</t>
  </si>
  <si>
    <t>adjusted delta</t>
  </si>
  <si>
    <t>adjusted delta scaled</t>
  </si>
  <si>
    <t>offset</t>
  </si>
  <si>
    <t>predicted total score</t>
  </si>
  <si>
    <t>predicted delta</t>
  </si>
  <si>
    <t>recommended bet</t>
  </si>
  <si>
    <t>Home Margin</t>
  </si>
  <si>
    <t>Home Spread</t>
  </si>
  <si>
    <t>Spread Delta</t>
  </si>
  <si>
    <t>Recommended ATS Bet</t>
  </si>
  <si>
    <t>ATS Odds</t>
  </si>
  <si>
    <t>Totals Odds</t>
  </si>
  <si>
    <t>Map</t>
  </si>
  <si>
    <t>Team</t>
  </si>
  <si>
    <t>drive_time_of_possession</t>
  </si>
  <si>
    <t>yards_drive_interaction</t>
  </si>
  <si>
    <t>fourth_down_converted</t>
  </si>
  <si>
    <t>yards_per_play</t>
  </si>
  <si>
    <t>rush_attempt</t>
  </si>
  <si>
    <t>pass_attempt</t>
  </si>
  <si>
    <t>yards_gained</t>
  </si>
  <si>
    <t>third_down_converted</t>
  </si>
  <si>
    <t>fumble_lost</t>
  </si>
  <si>
    <t>turnover_differential</t>
  </si>
  <si>
    <t>interception</t>
  </si>
  <si>
    <t>high_turnover_game</t>
  </si>
  <si>
    <t>Expected Points</t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</si>
  <si>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</si>
  <si>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</si>
  <si>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</si>
  <si>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</si>
  <si>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</si>
  <si>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</si>
  <si>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</si>
  <si>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</si>
  <si>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</si>
  <si>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</si>
  <si>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</si>
  <si>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</si>
  <si>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</si>
  <si>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</si>
  <si>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</si>
  <si>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</si>
  <si>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</si>
  <si>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</si>
  <si>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</si>
  <si>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</si>
  <si>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</si>
  <si>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</si>
  <si>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</si>
  <si>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</si>
  <si>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</si>
  <si>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</si>
  <si>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</si>
  <si>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</si>
  <si>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</si>
  <si>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</si>
  <si>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</si>
  <si>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</si>
  <si>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</si>
  <si>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</si>
  <si>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</si>
  <si>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</si>
  <si>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</si>
  <si>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</si>
  <si>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</si>
  <si>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</si>
  <si>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</si>
  <si>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</si>
  <si>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</si>
  <si>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</si>
  <si>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</si>
  <si>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</si>
  <si>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</si>
  <si>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</si>
  <si>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</si>
  <si>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</si>
  <si>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</si>
  <si>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</si>
  <si>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</si>
  <si>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</si>
  <si>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</si>
  <si>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</si>
  <si>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</si>
  <si>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</si>
  <si>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</si>
  <si>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</si>
  <si>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</si>
  <si>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</si>
  <si>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</si>
  <si>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</si>
  <si>
    <t>Rank</t>
  </si>
  <si>
    <t>Last 3</t>
  </si>
  <si>
    <t>Last 1</t>
  </si>
  <si>
    <t>Home</t>
  </si>
  <si>
    <t>Away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</si>
</sst>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000000000000"/>
    <numFmt numFmtId="165" formatCode="0.0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u/>
      <color rgb="FF0000FF"/>
    </font>
    <font>
      <color theme="1"/>
      <name val="Arial"/>
    </font>
    <font>
      <u/>
      <sz val="11.0"/>
      <color rgb="FF0000FF"/>
      <name val="Calibri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sz val="11.0"/>
      <color rgb="FF2171CD"/>
      <name val="&quot;Helvetica Neue&quot;"/>
    </font>
    <font>
      <u/>
      <sz val="11.0"/>
      <color rgb="FF2171CD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0" fillId="0" fontId="4" numFmtId="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1" fillId="0" fontId="3" numFmtId="1" xfId="0" applyAlignment="1" applyBorder="1" applyFont="1" applyNumberFormat="1">
      <alignment horizontal="center" vertical="top"/>
    </xf>
    <xf borderId="0" fillId="0" fontId="1" numFmtId="4" xfId="0" applyFont="1" applyNumberFormat="1"/>
    <xf borderId="0" fillId="0" fontId="1" numFmtId="1" xfId="0" applyFont="1" applyNumberFormat="1"/>
    <xf borderId="0" fillId="0" fontId="1" numFmtId="14" xfId="0" applyFont="1" applyNumberFormat="1"/>
    <xf borderId="0" fillId="0" fontId="5" numFmtId="0" xfId="0" applyFon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2" fontId="8" numFmtId="0" xfId="0" applyAlignment="1" applyFill="1" applyFont="1">
      <alignment horizontal="center" readingOrder="0"/>
    </xf>
    <xf borderId="0" fillId="2" fontId="8" numFmtId="0" xfId="0" applyAlignment="1" applyFont="1">
      <alignment horizontal="left" readingOrder="0"/>
    </xf>
    <xf borderId="0" fillId="2" fontId="8" numFmtId="0" xfId="0" applyAlignment="1" applyFont="1">
      <alignment horizontal="right" readingOrder="0"/>
    </xf>
    <xf borderId="0" fillId="2" fontId="8" numFmtId="0" xfId="0" applyAlignment="1" applyFont="1">
      <alignment horizontal="right" readingOrder="0" shrinkToFit="0" wrapText="0"/>
    </xf>
    <xf borderId="2" fillId="3" fontId="9" numFmtId="0" xfId="0" applyAlignment="1" applyBorder="1" applyFill="1" applyFont="1">
      <alignment horizontal="center" readingOrder="0"/>
    </xf>
    <xf borderId="2" fillId="0" fontId="10" numFmtId="0" xfId="0" applyAlignment="1" applyBorder="1" applyFont="1">
      <alignment horizontal="left" readingOrder="0" shrinkToFit="0" wrapText="0"/>
    </xf>
    <xf borderId="2" fillId="3" fontId="9" numFmtId="46" xfId="0" applyAlignment="1" applyBorder="1" applyFont="1" applyNumberFormat="1">
      <alignment horizontal="right" readingOrder="0"/>
    </xf>
    <xf borderId="0" fillId="0" fontId="1" numFmtId="46" xfId="0" applyFont="1" applyNumberFormat="1"/>
    <xf borderId="2" fillId="3" fontId="9" numFmtId="20" xfId="0" applyAlignment="1" applyBorder="1" applyFont="1" applyNumberFormat="1">
      <alignment horizontal="right" readingOrder="0"/>
    </xf>
    <xf borderId="2" fillId="3" fontId="9" numFmtId="0" xfId="0" applyAlignment="1" applyBorder="1" applyFont="1">
      <alignment horizontal="right" readingOrder="0"/>
    </xf>
    <xf borderId="2" fillId="0" fontId="11" numFmtId="0" xfId="0" applyAlignment="1" applyBorder="1" applyFont="1">
      <alignment horizontal="left" readingOrder="0" shrinkToFit="0" wrapText="0"/>
    </xf>
    <xf borderId="2" fillId="3" fontId="9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eamrankings.com/nfl/team/miami-dolphins" TargetMode="External"/><Relationship Id="rId22" Type="http://schemas.openxmlformats.org/officeDocument/2006/relationships/hyperlink" Target="https://www.teamrankings.com/nfl/team/seattle-seahawks" TargetMode="External"/><Relationship Id="rId21" Type="http://schemas.openxmlformats.org/officeDocument/2006/relationships/hyperlink" Target="https://www.teamrankings.com/nfl/team/new-york-giants" TargetMode="External"/><Relationship Id="rId24" Type="http://schemas.openxmlformats.org/officeDocument/2006/relationships/hyperlink" Target="https://www.teamrankings.com/nfl/team/kansas-city-chiefs" TargetMode="External"/><Relationship Id="rId23" Type="http://schemas.openxmlformats.org/officeDocument/2006/relationships/hyperlink" Target="https://www.teamrankings.com/nfl/team/detroit-lions" TargetMode="External"/><Relationship Id="rId1" Type="http://schemas.openxmlformats.org/officeDocument/2006/relationships/hyperlink" Target="https://www.teamrankings.com/nfl/team/green-bay-packers" TargetMode="External"/><Relationship Id="rId2" Type="http://schemas.openxmlformats.org/officeDocument/2006/relationships/hyperlink" Target="https://www.teamrankings.com/nfl/team/buffalo-bills" TargetMode="External"/><Relationship Id="rId3" Type="http://schemas.openxmlformats.org/officeDocument/2006/relationships/hyperlink" Target="https://www.teamrankings.com/nfl/team/pittsburgh-steelers" TargetMode="External"/><Relationship Id="rId4" Type="http://schemas.openxmlformats.org/officeDocument/2006/relationships/hyperlink" Target="https://www.teamrankings.com/nfl/team/new-orleans-saints" TargetMode="External"/><Relationship Id="rId9" Type="http://schemas.openxmlformats.org/officeDocument/2006/relationships/hyperlink" Target="https://www.teamrankings.com/nfl/team/baltimore-ravens" TargetMode="External"/><Relationship Id="rId26" Type="http://schemas.openxmlformats.org/officeDocument/2006/relationships/hyperlink" Target="https://www.teamrankings.com/nfl/team/indianapolis-colts" TargetMode="External"/><Relationship Id="rId25" Type="http://schemas.openxmlformats.org/officeDocument/2006/relationships/hyperlink" Target="https://www.teamrankings.com/nfl/team/denver-broncos" TargetMode="External"/><Relationship Id="rId28" Type="http://schemas.openxmlformats.org/officeDocument/2006/relationships/hyperlink" Target="https://www.teamrankings.com/nfl/team/cleveland-browns" TargetMode="External"/><Relationship Id="rId27" Type="http://schemas.openxmlformats.org/officeDocument/2006/relationships/hyperlink" Target="https://www.teamrankings.com/nfl/team/atlanta-falcons" TargetMode="External"/><Relationship Id="rId5" Type="http://schemas.openxmlformats.org/officeDocument/2006/relationships/hyperlink" Target="https://www.teamrankings.com/nfl/team/los-angeles-chargers" TargetMode="External"/><Relationship Id="rId6" Type="http://schemas.openxmlformats.org/officeDocument/2006/relationships/hyperlink" Target="https://www.teamrankings.com/nfl/team/minnesota-vikings" TargetMode="External"/><Relationship Id="rId29" Type="http://schemas.openxmlformats.org/officeDocument/2006/relationships/hyperlink" Target="https://www.teamrankings.com/nfl/team/jacksonville-jaguars" TargetMode="External"/><Relationship Id="rId7" Type="http://schemas.openxmlformats.org/officeDocument/2006/relationships/hyperlink" Target="https://www.teamrankings.com/nfl/team/new-england-patriots" TargetMode="External"/><Relationship Id="rId8" Type="http://schemas.openxmlformats.org/officeDocument/2006/relationships/hyperlink" Target="https://www.teamrankings.com/nfl/team/los-angeles-rams" TargetMode="External"/><Relationship Id="rId31" Type="http://schemas.openxmlformats.org/officeDocument/2006/relationships/hyperlink" Target="https://www.teamrankings.com/nfl/team/las-vegas-raiders" TargetMode="External"/><Relationship Id="rId30" Type="http://schemas.openxmlformats.org/officeDocument/2006/relationships/hyperlink" Target="https://www.teamrankings.com/nfl/team/philadelphia-eagles" TargetMode="External"/><Relationship Id="rId11" Type="http://schemas.openxmlformats.org/officeDocument/2006/relationships/hyperlink" Target="https://www.teamrankings.com/nfl/team/san-francisco-49ers" TargetMode="External"/><Relationship Id="rId33" Type="http://schemas.openxmlformats.org/officeDocument/2006/relationships/drawing" Target="../drawings/drawing15.xml"/><Relationship Id="rId10" Type="http://schemas.openxmlformats.org/officeDocument/2006/relationships/hyperlink" Target="https://www.teamrankings.com/nfl/team/washington-commanders" TargetMode="External"/><Relationship Id="rId32" Type="http://schemas.openxmlformats.org/officeDocument/2006/relationships/hyperlink" Target="https://www.teamrankings.com/nfl/team/tennessee-titans" TargetMode="External"/><Relationship Id="rId13" Type="http://schemas.openxmlformats.org/officeDocument/2006/relationships/hyperlink" Target="https://www.teamrankings.com/nfl/team/houston-texans" TargetMode="External"/><Relationship Id="rId12" Type="http://schemas.openxmlformats.org/officeDocument/2006/relationships/hyperlink" Target="https://www.teamrankings.com/nfl/team/new-york-jets" TargetMode="External"/><Relationship Id="rId15" Type="http://schemas.openxmlformats.org/officeDocument/2006/relationships/hyperlink" Target="https://www.teamrankings.com/nfl/team/arizona-cardinals" TargetMode="External"/><Relationship Id="rId14" Type="http://schemas.openxmlformats.org/officeDocument/2006/relationships/hyperlink" Target="https://www.teamrankings.com/nfl/team/tampa-bay-buccaneers" TargetMode="External"/><Relationship Id="rId17" Type="http://schemas.openxmlformats.org/officeDocument/2006/relationships/hyperlink" Target="https://www.teamrankings.com/nfl/team/cincinnati-bengals" TargetMode="External"/><Relationship Id="rId16" Type="http://schemas.openxmlformats.org/officeDocument/2006/relationships/hyperlink" Target="https://www.teamrankings.com/nfl/team/carolina-panthers" TargetMode="External"/><Relationship Id="rId19" Type="http://schemas.openxmlformats.org/officeDocument/2006/relationships/hyperlink" Target="https://www.teamrankings.com/nfl/team/chicago-bears" TargetMode="External"/><Relationship Id="rId18" Type="http://schemas.openxmlformats.org/officeDocument/2006/relationships/hyperlink" Target="https://www.teamrankings.com/nfl/team/dallas-cowboys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3" max="23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>
      <c r="A2" s="4">
        <f>VLOOKUP(D2,map!D:E,2,false)</f>
        <v>29</v>
      </c>
      <c r="B2" s="4">
        <f>VLOOKUP(E2,map!D:E,2,false)</f>
        <v>26</v>
      </c>
      <c r="C2" s="4" t="str">
        <f>IFERROR(__xludf.DUMMYFUNCTION("UNIQUE(Sheet14!A2:A1000)"),"86278ec4bbdcadd945d79df6c695c2ec")</f>
        <v>86278ec4bbdcadd945d79df6c695c2ec</v>
      </c>
      <c r="D2" s="4" t="str">
        <f>VLOOKUP(C2,Sheet14!A:F,6,false)</f>
        <v>Pittsburgh Steelers</v>
      </c>
      <c r="E2" s="4" t="str">
        <f>VLOOKUP(C2,Sheet14!A:G,7,false)</f>
        <v>New York Giants</v>
      </c>
      <c r="F2" s="5">
        <f>VLOOKUP(A2,Sheet1!A:O,15,false)</f>
        <v>30.78931917</v>
      </c>
      <c r="G2" s="5">
        <f>VLOOKUP(B2,Sheet1!A:O,15,false)</f>
        <v>28.45768458</v>
      </c>
      <c r="H2" s="5">
        <f t="shared" ref="H2:H17" si="1">SUM(F2:G2)</f>
        <v>59.24700375</v>
      </c>
      <c r="I2" s="4">
        <f>VLOOKUP(C2,Sheet14!A:L,12,false)</f>
        <v>37.5</v>
      </c>
      <c r="J2" s="5">
        <f t="shared" ref="J2:J17" si="2">H2-I2</f>
        <v>21.74700375</v>
      </c>
      <c r="K2" s="4">
        <f t="shared" ref="K2:K17" si="3">if(or(J2&gt;8.12,J2&lt;-8.12),1,0)</f>
        <v>1</v>
      </c>
      <c r="L2" s="4">
        <f t="shared" ref="L2:L17" si="4">I2 / (H2 + 0.000001)</f>
        <v>0.6329433894</v>
      </c>
      <c r="M2" s="4">
        <f t="shared" ref="M2:M17" si="5">H2*L2</f>
        <v>37.49999937</v>
      </c>
      <c r="N2" s="6">
        <f t="shared" ref="N2:N17" si="6">ifna(M2-I2,0)</f>
        <v>-0.000000632943383</v>
      </c>
      <c r="O2" s="4">
        <f t="shared" ref="O2:O17" si="7">N2* 1000000</f>
        <v>-0.632943383</v>
      </c>
      <c r="P2" s="6">
        <f>AVERAGE(N2:N11,N13:N17)</f>
        <v>-0.00000004219622554</v>
      </c>
      <c r="Q2" s="4">
        <f t="shared" ref="Q2:Q17" si="8">M2+ 0.000000689</f>
        <v>37.50000006</v>
      </c>
      <c r="R2" s="4">
        <f t="shared" ref="R2:R17" si="9">(Q2-I2) *10000000</f>
        <v>0.5605661357</v>
      </c>
      <c r="S2" s="4" t="str">
        <f t="shared" ref="S2:S17" si="10">IF(R2&gt;=0.675,"over",if(R2&lt;=-0.675,"under",""))</f>
        <v/>
      </c>
      <c r="T2" s="7">
        <f t="shared" ref="T2:T17" si="11">SUM(F2-G2)*-1</f>
        <v>-2.331634583</v>
      </c>
      <c r="U2" s="8">
        <f>VLOOKUP(D2,Sheet16!I:L,4,false)</f>
        <v>-6</v>
      </c>
      <c r="V2" s="7">
        <f t="shared" ref="V2:V17" si="12">U2-T2</f>
        <v>-3.668365417</v>
      </c>
      <c r="W2" s="3" t="str">
        <f t="shared" ref="W2:W17" si="13">IF(V2&gt;=6.75,D2,if(V2&lt;=-6.75,E2,""))</f>
        <v/>
      </c>
      <c r="X2" s="8">
        <f>VLOOKUP(D2,Sheet16!I:K,3,false)</f>
        <v>-115</v>
      </c>
      <c r="Y2" s="8">
        <f>VLOOKUP(C2,Sheet14!A:K,11,false)</f>
        <v>-108</v>
      </c>
    </row>
    <row r="3">
      <c r="A3" s="4" t="str">
        <f>VLOOKUP(D3,map!D:E,2,false)</f>
        <v>#N/A</v>
      </c>
      <c r="B3" s="4" t="str">
        <f>VLOOKUP(E3,map!D:E,2,false)</f>
        <v>#N/A</v>
      </c>
      <c r="C3" s="4"/>
      <c r="D3" s="4" t="str">
        <f>VLOOKUP(C3,Sheet14!A:F,6,false)</f>
        <v>#N/A</v>
      </c>
      <c r="E3" s="4" t="str">
        <f>VLOOKUP(C3,Sheet14!A:G,7,false)</f>
        <v>#N/A</v>
      </c>
      <c r="F3" s="4" t="str">
        <f>VLOOKUP(A3,Sheet1!A:O,15,false)</f>
        <v>#N/A</v>
      </c>
      <c r="G3" s="4" t="str">
        <f>VLOOKUP(B3,Sheet1!A:O,15,false)</f>
        <v>#N/A</v>
      </c>
      <c r="H3" s="4" t="str">
        <f t="shared" si="1"/>
        <v>#N/A</v>
      </c>
      <c r="I3" s="4" t="str">
        <f>VLOOKUP(C3,Sheet14!A:L,12,false)</f>
        <v>#N/A</v>
      </c>
      <c r="J3" s="4" t="str">
        <f t="shared" si="2"/>
        <v>#N/A</v>
      </c>
      <c r="K3" s="4" t="str">
        <f t="shared" si="3"/>
        <v>#N/A</v>
      </c>
      <c r="L3" s="4" t="str">
        <f t="shared" si="4"/>
        <v>#N/A</v>
      </c>
      <c r="M3" s="4" t="str">
        <f t="shared" si="5"/>
        <v>#N/A</v>
      </c>
      <c r="N3" s="6">
        <f t="shared" si="6"/>
        <v>0</v>
      </c>
      <c r="O3" s="4">
        <f t="shared" si="7"/>
        <v>0</v>
      </c>
      <c r="Q3" s="4" t="str">
        <f t="shared" si="8"/>
        <v>#N/A</v>
      </c>
      <c r="R3" s="4" t="str">
        <f t="shared" si="9"/>
        <v>#N/A</v>
      </c>
      <c r="S3" s="4" t="str">
        <f t="shared" si="10"/>
        <v>#N/A</v>
      </c>
      <c r="T3" s="7" t="str">
        <f t="shared" si="11"/>
        <v>#N/A</v>
      </c>
      <c r="U3" s="8" t="str">
        <f>VLOOKUP(D3,Sheet16!I:L,4,false)</f>
        <v>#N/A</v>
      </c>
      <c r="V3" s="7" t="str">
        <f t="shared" si="12"/>
        <v>#N/A</v>
      </c>
      <c r="W3" s="3" t="str">
        <f t="shared" si="13"/>
        <v>#N/A</v>
      </c>
      <c r="X3" s="8" t="str">
        <f>VLOOKUP(D3,Sheet16!I:K,3,false)</f>
        <v>#N/A</v>
      </c>
      <c r="Y3" s="8" t="str">
        <f>VLOOKUP(C3,Sheet14!A:K,11,false)</f>
        <v>#N/A</v>
      </c>
    </row>
    <row r="4">
      <c r="A4" s="4" t="str">
        <f>VLOOKUP(D4,map!D:E,2,false)</f>
        <v>#N/A</v>
      </c>
      <c r="B4" s="4" t="str">
        <f>VLOOKUP(E4,map!D:E,2,false)</f>
        <v>#N/A</v>
      </c>
      <c r="D4" s="4" t="str">
        <f>VLOOKUP(C4,Sheet14!A:F,6,false)</f>
        <v>#N/A</v>
      </c>
      <c r="E4" s="4" t="str">
        <f>VLOOKUP(C4,Sheet14!A:G,7,false)</f>
        <v>#N/A</v>
      </c>
      <c r="F4" s="4" t="str">
        <f>VLOOKUP(A4,Sheet1!A:O,15,false)</f>
        <v>#N/A</v>
      </c>
      <c r="G4" s="4" t="str">
        <f>VLOOKUP(B4,Sheet1!A:O,15,false)</f>
        <v>#N/A</v>
      </c>
      <c r="H4" s="4" t="str">
        <f t="shared" si="1"/>
        <v>#N/A</v>
      </c>
      <c r="I4" s="4" t="str">
        <f>VLOOKUP(C4,Sheet14!A:L,12,false)</f>
        <v>#N/A</v>
      </c>
      <c r="J4" s="4" t="str">
        <f t="shared" si="2"/>
        <v>#N/A</v>
      </c>
      <c r="K4" s="4" t="str">
        <f t="shared" si="3"/>
        <v>#N/A</v>
      </c>
      <c r="L4" s="4" t="str">
        <f t="shared" si="4"/>
        <v>#N/A</v>
      </c>
      <c r="M4" s="4" t="str">
        <f t="shared" si="5"/>
        <v>#N/A</v>
      </c>
      <c r="N4" s="6">
        <f t="shared" si="6"/>
        <v>0</v>
      </c>
      <c r="O4" s="4">
        <f t="shared" si="7"/>
        <v>0</v>
      </c>
      <c r="Q4" s="4" t="str">
        <f t="shared" si="8"/>
        <v>#N/A</v>
      </c>
      <c r="R4" s="4" t="str">
        <f t="shared" si="9"/>
        <v>#N/A</v>
      </c>
      <c r="S4" s="4" t="str">
        <f t="shared" si="10"/>
        <v>#N/A</v>
      </c>
      <c r="T4" s="7" t="str">
        <f t="shared" si="11"/>
        <v>#N/A</v>
      </c>
      <c r="U4" s="8" t="str">
        <f>VLOOKUP(D4,Sheet16!I:L,4,false)</f>
        <v>#N/A</v>
      </c>
      <c r="V4" s="7" t="str">
        <f t="shared" si="12"/>
        <v>#N/A</v>
      </c>
      <c r="W4" s="3" t="str">
        <f t="shared" si="13"/>
        <v>#N/A</v>
      </c>
      <c r="X4" s="8" t="str">
        <f>VLOOKUP(D4,Sheet16!I:K,3,false)</f>
        <v>#N/A</v>
      </c>
      <c r="Y4" s="8" t="str">
        <f>VLOOKUP(C4,Sheet14!A:K,11,false)</f>
        <v>#N/A</v>
      </c>
    </row>
    <row r="5">
      <c r="A5" s="4" t="str">
        <f>VLOOKUP(D5,map!D:E,2,false)</f>
        <v>#N/A</v>
      </c>
      <c r="B5" s="4" t="str">
        <f>VLOOKUP(E5,map!D:E,2,false)</f>
        <v>#N/A</v>
      </c>
      <c r="D5" s="4" t="str">
        <f>VLOOKUP(C5,Sheet14!A:F,6,false)</f>
        <v>#N/A</v>
      </c>
      <c r="E5" s="4" t="str">
        <f>VLOOKUP(C5,Sheet14!A:G,7,false)</f>
        <v>#N/A</v>
      </c>
      <c r="F5" s="4" t="str">
        <f>VLOOKUP(A5,Sheet1!A:O,15,false)</f>
        <v>#N/A</v>
      </c>
      <c r="G5" s="4" t="str">
        <f>VLOOKUP(B5,Sheet1!A:O,15,false)</f>
        <v>#N/A</v>
      </c>
      <c r="H5" s="4" t="str">
        <f t="shared" si="1"/>
        <v>#N/A</v>
      </c>
      <c r="I5" s="4" t="str">
        <f>VLOOKUP(C5,Sheet14!A:L,12,false)</f>
        <v>#N/A</v>
      </c>
      <c r="J5" s="4" t="str">
        <f t="shared" si="2"/>
        <v>#N/A</v>
      </c>
      <c r="K5" s="4" t="str">
        <f t="shared" si="3"/>
        <v>#N/A</v>
      </c>
      <c r="L5" s="4" t="str">
        <f t="shared" si="4"/>
        <v>#N/A</v>
      </c>
      <c r="M5" s="4" t="str">
        <f t="shared" si="5"/>
        <v>#N/A</v>
      </c>
      <c r="N5" s="6">
        <f t="shared" si="6"/>
        <v>0</v>
      </c>
      <c r="O5" s="4">
        <f t="shared" si="7"/>
        <v>0</v>
      </c>
      <c r="Q5" s="4" t="str">
        <f t="shared" si="8"/>
        <v>#N/A</v>
      </c>
      <c r="R5" s="4" t="str">
        <f t="shared" si="9"/>
        <v>#N/A</v>
      </c>
      <c r="S5" s="4" t="str">
        <f t="shared" si="10"/>
        <v>#N/A</v>
      </c>
      <c r="T5" s="7" t="str">
        <f t="shared" si="11"/>
        <v>#N/A</v>
      </c>
      <c r="U5" s="8" t="str">
        <f>VLOOKUP(D5,Sheet16!I:L,4,false)</f>
        <v>#N/A</v>
      </c>
      <c r="V5" s="7" t="str">
        <f t="shared" si="12"/>
        <v>#N/A</v>
      </c>
      <c r="W5" s="3" t="str">
        <f t="shared" si="13"/>
        <v>#N/A</v>
      </c>
      <c r="X5" s="8" t="str">
        <f>VLOOKUP(D5,Sheet16!I:K,3,false)</f>
        <v>#N/A</v>
      </c>
      <c r="Y5" s="8" t="str">
        <f>VLOOKUP(C5,Sheet14!A:K,11,false)</f>
        <v>#N/A</v>
      </c>
    </row>
    <row r="6">
      <c r="A6" s="4" t="str">
        <f>VLOOKUP(D6,map!D:E,2,false)</f>
        <v>#N/A</v>
      </c>
      <c r="B6" s="4" t="str">
        <f>VLOOKUP(E6,map!D:E,2,false)</f>
        <v>#N/A</v>
      </c>
      <c r="D6" s="4" t="str">
        <f>VLOOKUP(C6,Sheet14!A:F,6,false)</f>
        <v>#N/A</v>
      </c>
      <c r="E6" s="4" t="str">
        <f>VLOOKUP(C6,Sheet14!A:G,7,false)</f>
        <v>#N/A</v>
      </c>
      <c r="F6" s="4" t="str">
        <f>VLOOKUP(A6,Sheet1!A:O,15,false)</f>
        <v>#N/A</v>
      </c>
      <c r="G6" s="4" t="str">
        <f>VLOOKUP(B6,Sheet1!A:O,15,false)</f>
        <v>#N/A</v>
      </c>
      <c r="H6" s="4" t="str">
        <f t="shared" si="1"/>
        <v>#N/A</v>
      </c>
      <c r="I6" s="4" t="str">
        <f>VLOOKUP(C6,Sheet14!A:L,12,false)</f>
        <v>#N/A</v>
      </c>
      <c r="J6" s="4" t="str">
        <f t="shared" si="2"/>
        <v>#N/A</v>
      </c>
      <c r="K6" s="4" t="str">
        <f t="shared" si="3"/>
        <v>#N/A</v>
      </c>
      <c r="L6" s="4" t="str">
        <f t="shared" si="4"/>
        <v>#N/A</v>
      </c>
      <c r="M6" s="4" t="str">
        <f t="shared" si="5"/>
        <v>#N/A</v>
      </c>
      <c r="N6" s="6">
        <f t="shared" si="6"/>
        <v>0</v>
      </c>
      <c r="O6" s="4">
        <f t="shared" si="7"/>
        <v>0</v>
      </c>
      <c r="Q6" s="4" t="str">
        <f t="shared" si="8"/>
        <v>#N/A</v>
      </c>
      <c r="R6" s="4" t="str">
        <f t="shared" si="9"/>
        <v>#N/A</v>
      </c>
      <c r="S6" s="4" t="str">
        <f t="shared" si="10"/>
        <v>#N/A</v>
      </c>
      <c r="T6" s="7" t="str">
        <f t="shared" si="11"/>
        <v>#N/A</v>
      </c>
      <c r="U6" s="8" t="str">
        <f>VLOOKUP(D6,Sheet16!I:L,4,false)</f>
        <v>#N/A</v>
      </c>
      <c r="V6" s="7" t="str">
        <f t="shared" si="12"/>
        <v>#N/A</v>
      </c>
      <c r="W6" s="3" t="str">
        <f t="shared" si="13"/>
        <v>#N/A</v>
      </c>
      <c r="X6" s="8" t="str">
        <f>VLOOKUP(D6,Sheet16!I:K,3,false)</f>
        <v>#N/A</v>
      </c>
      <c r="Y6" s="8" t="str">
        <f>VLOOKUP(C6,Sheet14!A:K,11,false)</f>
        <v>#N/A</v>
      </c>
    </row>
    <row r="7">
      <c r="A7" s="4" t="str">
        <f>VLOOKUP(D7,map!D:E,2,false)</f>
        <v>#N/A</v>
      </c>
      <c r="B7" s="4" t="str">
        <f>VLOOKUP(E7,map!D:E,2,false)</f>
        <v>#N/A</v>
      </c>
      <c r="D7" s="4" t="str">
        <f>VLOOKUP(C7,Sheet14!A:F,6,false)</f>
        <v>#N/A</v>
      </c>
      <c r="E7" s="4" t="str">
        <f>VLOOKUP(C7,Sheet14!A:G,7,false)</f>
        <v>#N/A</v>
      </c>
      <c r="F7" s="4" t="str">
        <f>VLOOKUP(A7,Sheet1!A:O,15,false)</f>
        <v>#N/A</v>
      </c>
      <c r="G7" s="4" t="str">
        <f>VLOOKUP(B7,Sheet1!A:O,15,false)</f>
        <v>#N/A</v>
      </c>
      <c r="H7" s="4" t="str">
        <f t="shared" si="1"/>
        <v>#N/A</v>
      </c>
      <c r="I7" s="4" t="str">
        <f>VLOOKUP(C7,Sheet14!A:L,12,false)</f>
        <v>#N/A</v>
      </c>
      <c r="J7" s="4" t="str">
        <f t="shared" si="2"/>
        <v>#N/A</v>
      </c>
      <c r="K7" s="4" t="str">
        <f t="shared" si="3"/>
        <v>#N/A</v>
      </c>
      <c r="L7" s="4" t="str">
        <f t="shared" si="4"/>
        <v>#N/A</v>
      </c>
      <c r="M7" s="4" t="str">
        <f t="shared" si="5"/>
        <v>#N/A</v>
      </c>
      <c r="N7" s="6">
        <f t="shared" si="6"/>
        <v>0</v>
      </c>
      <c r="O7" s="4">
        <f t="shared" si="7"/>
        <v>0</v>
      </c>
      <c r="Q7" s="4" t="str">
        <f t="shared" si="8"/>
        <v>#N/A</v>
      </c>
      <c r="R7" s="4" t="str">
        <f t="shared" si="9"/>
        <v>#N/A</v>
      </c>
      <c r="S7" s="4" t="str">
        <f t="shared" si="10"/>
        <v>#N/A</v>
      </c>
      <c r="T7" s="7" t="str">
        <f t="shared" si="11"/>
        <v>#N/A</v>
      </c>
      <c r="U7" s="8" t="str">
        <f>VLOOKUP(D7,Sheet16!I:L,4,false)</f>
        <v>#N/A</v>
      </c>
      <c r="V7" s="7" t="str">
        <f t="shared" si="12"/>
        <v>#N/A</v>
      </c>
      <c r="W7" s="3" t="str">
        <f t="shared" si="13"/>
        <v>#N/A</v>
      </c>
      <c r="X7" s="8" t="str">
        <f>VLOOKUP(D7,Sheet16!I:K,3,false)</f>
        <v>#N/A</v>
      </c>
      <c r="Y7" s="8" t="str">
        <f>VLOOKUP(C7,Sheet14!A:K,11,false)</f>
        <v>#N/A</v>
      </c>
    </row>
    <row r="8">
      <c r="A8" s="4" t="str">
        <f>VLOOKUP(D8,map!D:E,2,false)</f>
        <v>#N/A</v>
      </c>
      <c r="B8" s="4" t="str">
        <f>VLOOKUP(E8,map!D:E,2,false)</f>
        <v>#N/A</v>
      </c>
      <c r="D8" s="4" t="str">
        <f>VLOOKUP(C8,Sheet14!A:F,6,false)</f>
        <v>#N/A</v>
      </c>
      <c r="E8" s="4" t="str">
        <f>VLOOKUP(C8,Sheet14!A:G,7,false)</f>
        <v>#N/A</v>
      </c>
      <c r="F8" s="4" t="str">
        <f>VLOOKUP(A8,Sheet1!A:O,15,false)</f>
        <v>#N/A</v>
      </c>
      <c r="G8" s="4" t="str">
        <f>VLOOKUP(B8,Sheet1!A:O,15,false)</f>
        <v>#N/A</v>
      </c>
      <c r="H8" s="4" t="str">
        <f t="shared" si="1"/>
        <v>#N/A</v>
      </c>
      <c r="I8" s="4" t="str">
        <f>VLOOKUP(C8,Sheet14!A:L,12,false)</f>
        <v>#N/A</v>
      </c>
      <c r="J8" s="4" t="str">
        <f t="shared" si="2"/>
        <v>#N/A</v>
      </c>
      <c r="K8" s="4" t="str">
        <f t="shared" si="3"/>
        <v>#N/A</v>
      </c>
      <c r="L8" s="4" t="str">
        <f t="shared" si="4"/>
        <v>#N/A</v>
      </c>
      <c r="M8" s="4" t="str">
        <f t="shared" si="5"/>
        <v>#N/A</v>
      </c>
      <c r="N8" s="6">
        <f t="shared" si="6"/>
        <v>0</v>
      </c>
      <c r="O8" s="4">
        <f t="shared" si="7"/>
        <v>0</v>
      </c>
      <c r="Q8" s="4" t="str">
        <f t="shared" si="8"/>
        <v>#N/A</v>
      </c>
      <c r="R8" s="4" t="str">
        <f t="shared" si="9"/>
        <v>#N/A</v>
      </c>
      <c r="S8" s="4" t="str">
        <f t="shared" si="10"/>
        <v>#N/A</v>
      </c>
      <c r="T8" s="7" t="str">
        <f t="shared" si="11"/>
        <v>#N/A</v>
      </c>
      <c r="U8" s="8" t="str">
        <f>VLOOKUP(D8,Sheet16!I:L,4,false)</f>
        <v>#N/A</v>
      </c>
      <c r="V8" s="7" t="str">
        <f t="shared" si="12"/>
        <v>#N/A</v>
      </c>
      <c r="W8" s="3" t="str">
        <f t="shared" si="13"/>
        <v>#N/A</v>
      </c>
      <c r="X8" s="8" t="str">
        <f>VLOOKUP(D8,Sheet16!I:K,3,false)</f>
        <v>#N/A</v>
      </c>
      <c r="Y8" s="8" t="str">
        <f>VLOOKUP(C8,Sheet14!A:K,11,false)</f>
        <v>#N/A</v>
      </c>
    </row>
    <row r="9">
      <c r="A9" s="4" t="str">
        <f>VLOOKUP(D9,map!D:E,2,false)</f>
        <v>#N/A</v>
      </c>
      <c r="B9" s="4" t="str">
        <f>VLOOKUP(E9,map!D:E,2,false)</f>
        <v>#N/A</v>
      </c>
      <c r="D9" s="4" t="str">
        <f>VLOOKUP(C9,Sheet14!A:F,6,false)</f>
        <v>#N/A</v>
      </c>
      <c r="E9" s="4" t="str">
        <f>VLOOKUP(C9,Sheet14!A:G,7,false)</f>
        <v>#N/A</v>
      </c>
      <c r="F9" s="4" t="str">
        <f>VLOOKUP(A9,Sheet1!A:O,15,false)</f>
        <v>#N/A</v>
      </c>
      <c r="G9" s="4" t="str">
        <f>VLOOKUP(B9,Sheet1!A:O,15,false)</f>
        <v>#N/A</v>
      </c>
      <c r="H9" s="4" t="str">
        <f t="shared" si="1"/>
        <v>#N/A</v>
      </c>
      <c r="I9" s="4" t="str">
        <f>VLOOKUP(C9,Sheet14!A:L,12,false)</f>
        <v>#N/A</v>
      </c>
      <c r="J9" s="4" t="str">
        <f t="shared" si="2"/>
        <v>#N/A</v>
      </c>
      <c r="K9" s="4" t="str">
        <f t="shared" si="3"/>
        <v>#N/A</v>
      </c>
      <c r="L9" s="4" t="str">
        <f t="shared" si="4"/>
        <v>#N/A</v>
      </c>
      <c r="M9" s="4" t="str">
        <f t="shared" si="5"/>
        <v>#N/A</v>
      </c>
      <c r="N9" s="6">
        <f t="shared" si="6"/>
        <v>0</v>
      </c>
      <c r="O9" s="4">
        <f t="shared" si="7"/>
        <v>0</v>
      </c>
      <c r="Q9" s="4" t="str">
        <f t="shared" si="8"/>
        <v>#N/A</v>
      </c>
      <c r="R9" s="4" t="str">
        <f t="shared" si="9"/>
        <v>#N/A</v>
      </c>
      <c r="S9" s="4" t="str">
        <f t="shared" si="10"/>
        <v>#N/A</v>
      </c>
      <c r="T9" s="7" t="str">
        <f t="shared" si="11"/>
        <v>#N/A</v>
      </c>
      <c r="U9" s="8" t="str">
        <f>VLOOKUP(D9,Sheet16!I:L,4,false)</f>
        <v>#N/A</v>
      </c>
      <c r="V9" s="7" t="str">
        <f t="shared" si="12"/>
        <v>#N/A</v>
      </c>
      <c r="W9" s="3" t="str">
        <f t="shared" si="13"/>
        <v>#N/A</v>
      </c>
      <c r="X9" s="8" t="str">
        <f>VLOOKUP(D9,Sheet16!I:K,3,false)</f>
        <v>#N/A</v>
      </c>
      <c r="Y9" s="8" t="str">
        <f>VLOOKUP(C9,Sheet14!A:K,11,false)</f>
        <v>#N/A</v>
      </c>
    </row>
    <row r="10">
      <c r="A10" s="4" t="str">
        <f>VLOOKUP(D10,map!D:E,2,false)</f>
        <v>#N/A</v>
      </c>
      <c r="B10" s="4" t="str">
        <f>VLOOKUP(E10,map!D:E,2,false)</f>
        <v>#N/A</v>
      </c>
      <c r="D10" s="4" t="str">
        <f>VLOOKUP(C10,Sheet14!A:F,6,false)</f>
        <v>#N/A</v>
      </c>
      <c r="E10" s="4" t="str">
        <f>VLOOKUP(C10,Sheet14!A:G,7,false)</f>
        <v>#N/A</v>
      </c>
      <c r="F10" s="4" t="str">
        <f>VLOOKUP(A10,Sheet1!A:O,15,false)</f>
        <v>#N/A</v>
      </c>
      <c r="G10" s="4" t="str">
        <f>VLOOKUP(B10,Sheet1!A:O,15,false)</f>
        <v>#N/A</v>
      </c>
      <c r="H10" s="4" t="str">
        <f t="shared" si="1"/>
        <v>#N/A</v>
      </c>
      <c r="I10" s="4" t="str">
        <f>VLOOKUP(C10,Sheet14!A:L,12,false)</f>
        <v>#N/A</v>
      </c>
      <c r="J10" s="4" t="str">
        <f t="shared" si="2"/>
        <v>#N/A</v>
      </c>
      <c r="K10" s="4" t="str">
        <f t="shared" si="3"/>
        <v>#N/A</v>
      </c>
      <c r="L10" s="4" t="str">
        <f t="shared" si="4"/>
        <v>#N/A</v>
      </c>
      <c r="M10" s="4" t="str">
        <f t="shared" si="5"/>
        <v>#N/A</v>
      </c>
      <c r="N10" s="6">
        <f t="shared" si="6"/>
        <v>0</v>
      </c>
      <c r="O10" s="4">
        <f t="shared" si="7"/>
        <v>0</v>
      </c>
      <c r="Q10" s="4" t="str">
        <f t="shared" si="8"/>
        <v>#N/A</v>
      </c>
      <c r="R10" s="4" t="str">
        <f t="shared" si="9"/>
        <v>#N/A</v>
      </c>
      <c r="S10" s="4" t="str">
        <f t="shared" si="10"/>
        <v>#N/A</v>
      </c>
      <c r="T10" s="7" t="str">
        <f t="shared" si="11"/>
        <v>#N/A</v>
      </c>
      <c r="U10" s="8" t="str">
        <f>VLOOKUP(D10,Sheet16!I:L,4,false)</f>
        <v>#N/A</v>
      </c>
      <c r="V10" s="7" t="str">
        <f t="shared" si="12"/>
        <v>#N/A</v>
      </c>
      <c r="W10" s="3" t="str">
        <f t="shared" si="13"/>
        <v>#N/A</v>
      </c>
      <c r="X10" s="8" t="str">
        <f>VLOOKUP(D10,Sheet16!I:K,3,false)</f>
        <v>#N/A</v>
      </c>
      <c r="Y10" s="8" t="str">
        <f>VLOOKUP(C10,Sheet14!A:K,11,false)</f>
        <v>#N/A</v>
      </c>
    </row>
    <row r="11">
      <c r="A11" s="4" t="str">
        <f>VLOOKUP(D11,map!D:E,2,false)</f>
        <v>#N/A</v>
      </c>
      <c r="B11" s="4" t="str">
        <f>VLOOKUP(E11,map!D:E,2,false)</f>
        <v>#N/A</v>
      </c>
      <c r="D11" s="4" t="str">
        <f>VLOOKUP(C11,Sheet14!A:F,6,false)</f>
        <v>#N/A</v>
      </c>
      <c r="E11" s="4" t="str">
        <f>VLOOKUP(C11,Sheet14!A:G,7,false)</f>
        <v>#N/A</v>
      </c>
      <c r="F11" s="4" t="str">
        <f>VLOOKUP(A11,Sheet1!A:O,15,false)</f>
        <v>#N/A</v>
      </c>
      <c r="G11" s="4" t="str">
        <f>VLOOKUP(B11,Sheet1!A:O,15,false)</f>
        <v>#N/A</v>
      </c>
      <c r="H11" s="4" t="str">
        <f t="shared" si="1"/>
        <v>#N/A</v>
      </c>
      <c r="I11" s="4" t="str">
        <f>VLOOKUP(C11,Sheet14!A:L,12,false)</f>
        <v>#N/A</v>
      </c>
      <c r="J11" s="4" t="str">
        <f t="shared" si="2"/>
        <v>#N/A</v>
      </c>
      <c r="K11" s="4" t="str">
        <f t="shared" si="3"/>
        <v>#N/A</v>
      </c>
      <c r="L11" s="4" t="str">
        <f t="shared" si="4"/>
        <v>#N/A</v>
      </c>
      <c r="M11" s="4" t="str">
        <f t="shared" si="5"/>
        <v>#N/A</v>
      </c>
      <c r="N11" s="6">
        <f t="shared" si="6"/>
        <v>0</v>
      </c>
      <c r="O11" s="4">
        <f t="shared" si="7"/>
        <v>0</v>
      </c>
      <c r="Q11" s="4" t="str">
        <f t="shared" si="8"/>
        <v>#N/A</v>
      </c>
      <c r="R11" s="4" t="str">
        <f t="shared" si="9"/>
        <v>#N/A</v>
      </c>
      <c r="S11" s="4" t="str">
        <f t="shared" si="10"/>
        <v>#N/A</v>
      </c>
      <c r="T11" s="7" t="str">
        <f t="shared" si="11"/>
        <v>#N/A</v>
      </c>
      <c r="U11" s="8" t="str">
        <f>VLOOKUP(D11,Sheet16!I:L,4,false)</f>
        <v>#N/A</v>
      </c>
      <c r="V11" s="7" t="str">
        <f t="shared" si="12"/>
        <v>#N/A</v>
      </c>
      <c r="W11" s="3" t="str">
        <f t="shared" si="13"/>
        <v>#N/A</v>
      </c>
      <c r="X11" s="8" t="str">
        <f>VLOOKUP(D11,Sheet16!I:K,3,false)</f>
        <v>#N/A</v>
      </c>
      <c r="Y11" s="8" t="str">
        <f>VLOOKUP(C11,Sheet14!A:K,11,false)</f>
        <v>#N/A</v>
      </c>
    </row>
    <row r="12">
      <c r="A12" s="4" t="str">
        <f>VLOOKUP(D12,map!D:E,2,false)</f>
        <v>#N/A</v>
      </c>
      <c r="B12" s="4" t="str">
        <f>VLOOKUP(E12,map!D:E,2,false)</f>
        <v>#N/A</v>
      </c>
      <c r="D12" s="4" t="str">
        <f>VLOOKUP(C12,Sheet14!A:F,6,false)</f>
        <v>#N/A</v>
      </c>
      <c r="E12" s="4" t="str">
        <f>VLOOKUP(C12,Sheet14!A:G,7,false)</f>
        <v>#N/A</v>
      </c>
      <c r="F12" s="4" t="str">
        <f>VLOOKUP(A12,Sheet1!A:O,15,false)</f>
        <v>#N/A</v>
      </c>
      <c r="G12" s="4" t="str">
        <f>VLOOKUP(B12,Sheet1!A:O,15,false)</f>
        <v>#N/A</v>
      </c>
      <c r="H12" s="4" t="str">
        <f t="shared" si="1"/>
        <v>#N/A</v>
      </c>
      <c r="I12" s="4" t="str">
        <f>VLOOKUP(C12,Sheet14!A:L,12,false)</f>
        <v>#N/A</v>
      </c>
      <c r="J12" s="4" t="str">
        <f t="shared" si="2"/>
        <v>#N/A</v>
      </c>
      <c r="K12" s="4" t="str">
        <f t="shared" si="3"/>
        <v>#N/A</v>
      </c>
      <c r="L12" s="4" t="str">
        <f t="shared" si="4"/>
        <v>#N/A</v>
      </c>
      <c r="M12" s="4" t="str">
        <f t="shared" si="5"/>
        <v>#N/A</v>
      </c>
      <c r="N12" s="6">
        <f t="shared" si="6"/>
        <v>0</v>
      </c>
      <c r="O12" s="4">
        <f t="shared" si="7"/>
        <v>0</v>
      </c>
      <c r="Q12" s="4" t="str">
        <f t="shared" si="8"/>
        <v>#N/A</v>
      </c>
      <c r="R12" s="4" t="str">
        <f t="shared" si="9"/>
        <v>#N/A</v>
      </c>
      <c r="S12" s="4" t="str">
        <f t="shared" si="10"/>
        <v>#N/A</v>
      </c>
      <c r="T12" s="7" t="str">
        <f t="shared" si="11"/>
        <v>#N/A</v>
      </c>
      <c r="U12" s="8" t="str">
        <f>VLOOKUP(D12,Sheet16!I:L,4,false)</f>
        <v>#N/A</v>
      </c>
      <c r="V12" s="7" t="str">
        <f t="shared" si="12"/>
        <v>#N/A</v>
      </c>
      <c r="W12" s="3" t="str">
        <f t="shared" si="13"/>
        <v>#N/A</v>
      </c>
      <c r="X12" s="8" t="str">
        <f>VLOOKUP(D12,Sheet16!I:K,3,false)</f>
        <v>#N/A</v>
      </c>
      <c r="Y12" s="8" t="str">
        <f>VLOOKUP(C12,Sheet14!A:K,11,false)</f>
        <v>#N/A</v>
      </c>
    </row>
    <row r="13">
      <c r="A13" s="4" t="str">
        <f>VLOOKUP(D13,map!D:E,2,false)</f>
        <v>#N/A</v>
      </c>
      <c r="B13" s="4" t="str">
        <f>VLOOKUP(E13,map!D:E,2,false)</f>
        <v>#N/A</v>
      </c>
      <c r="D13" s="4" t="str">
        <f>VLOOKUP(C13,Sheet14!A:F,6,false)</f>
        <v>#N/A</v>
      </c>
      <c r="E13" s="4" t="str">
        <f>VLOOKUP(C13,Sheet14!A:G,7,false)</f>
        <v>#N/A</v>
      </c>
      <c r="F13" s="4" t="str">
        <f>VLOOKUP(A13,Sheet1!A:O,15,false)</f>
        <v>#N/A</v>
      </c>
      <c r="G13" s="4" t="str">
        <f>VLOOKUP(B13,Sheet1!A:O,15,false)</f>
        <v>#N/A</v>
      </c>
      <c r="H13" s="4" t="str">
        <f t="shared" si="1"/>
        <v>#N/A</v>
      </c>
      <c r="I13" s="4" t="str">
        <f>VLOOKUP(C13,Sheet14!A:L,12,false)</f>
        <v>#N/A</v>
      </c>
      <c r="J13" s="4" t="str">
        <f t="shared" si="2"/>
        <v>#N/A</v>
      </c>
      <c r="K13" s="4" t="str">
        <f t="shared" si="3"/>
        <v>#N/A</v>
      </c>
      <c r="L13" s="4" t="str">
        <f t="shared" si="4"/>
        <v>#N/A</v>
      </c>
      <c r="M13" s="4" t="str">
        <f t="shared" si="5"/>
        <v>#N/A</v>
      </c>
      <c r="N13" s="6">
        <f t="shared" si="6"/>
        <v>0</v>
      </c>
      <c r="O13" s="4">
        <f t="shared" si="7"/>
        <v>0</v>
      </c>
      <c r="Q13" s="4" t="str">
        <f t="shared" si="8"/>
        <v>#N/A</v>
      </c>
      <c r="R13" s="4" t="str">
        <f t="shared" si="9"/>
        <v>#N/A</v>
      </c>
      <c r="S13" s="4" t="str">
        <f t="shared" si="10"/>
        <v>#N/A</v>
      </c>
      <c r="T13" s="7" t="str">
        <f t="shared" si="11"/>
        <v>#N/A</v>
      </c>
      <c r="U13" s="8" t="str">
        <f>VLOOKUP(D13,Sheet16!I:L,4,false)</f>
        <v>#N/A</v>
      </c>
      <c r="V13" s="7" t="str">
        <f t="shared" si="12"/>
        <v>#N/A</v>
      </c>
      <c r="W13" s="3" t="str">
        <f t="shared" si="13"/>
        <v>#N/A</v>
      </c>
      <c r="X13" s="8" t="str">
        <f>VLOOKUP(D13,Sheet16!I:K,3,false)</f>
        <v>#N/A</v>
      </c>
      <c r="Y13" s="8" t="str">
        <f>VLOOKUP(C13,Sheet14!A:K,11,false)</f>
        <v>#N/A</v>
      </c>
    </row>
    <row r="14">
      <c r="A14" s="4" t="str">
        <f>VLOOKUP(D14,map!D:E,2,false)</f>
        <v>#N/A</v>
      </c>
      <c r="B14" s="4" t="str">
        <f>VLOOKUP(E14,map!D:E,2,false)</f>
        <v>#N/A</v>
      </c>
      <c r="D14" s="4" t="str">
        <f>VLOOKUP(C14,Sheet14!A:F,6,false)</f>
        <v>#N/A</v>
      </c>
      <c r="E14" s="4" t="str">
        <f>VLOOKUP(C14,Sheet14!A:G,7,false)</f>
        <v>#N/A</v>
      </c>
      <c r="F14" s="4" t="str">
        <f>VLOOKUP(A14,Sheet1!A:O,15,false)</f>
        <v>#N/A</v>
      </c>
      <c r="G14" s="4" t="str">
        <f>VLOOKUP(B14,Sheet1!A:O,15,false)</f>
        <v>#N/A</v>
      </c>
      <c r="H14" s="4" t="str">
        <f t="shared" si="1"/>
        <v>#N/A</v>
      </c>
      <c r="I14" s="4" t="str">
        <f>VLOOKUP(C14,Sheet14!A:L,12,false)</f>
        <v>#N/A</v>
      </c>
      <c r="J14" s="4" t="str">
        <f t="shared" si="2"/>
        <v>#N/A</v>
      </c>
      <c r="K14" s="4" t="str">
        <f t="shared" si="3"/>
        <v>#N/A</v>
      </c>
      <c r="L14" s="4" t="str">
        <f t="shared" si="4"/>
        <v>#N/A</v>
      </c>
      <c r="M14" s="4" t="str">
        <f t="shared" si="5"/>
        <v>#N/A</v>
      </c>
      <c r="N14" s="6">
        <f t="shared" si="6"/>
        <v>0</v>
      </c>
      <c r="O14" s="4">
        <f t="shared" si="7"/>
        <v>0</v>
      </c>
      <c r="Q14" s="4" t="str">
        <f t="shared" si="8"/>
        <v>#N/A</v>
      </c>
      <c r="R14" s="4" t="str">
        <f t="shared" si="9"/>
        <v>#N/A</v>
      </c>
      <c r="S14" s="4" t="str">
        <f t="shared" si="10"/>
        <v>#N/A</v>
      </c>
      <c r="T14" s="7" t="str">
        <f t="shared" si="11"/>
        <v>#N/A</v>
      </c>
      <c r="U14" s="8" t="str">
        <f>VLOOKUP(D14,Sheet16!I:L,4,false)</f>
        <v>#N/A</v>
      </c>
      <c r="V14" s="7" t="str">
        <f t="shared" si="12"/>
        <v>#N/A</v>
      </c>
      <c r="W14" s="3" t="str">
        <f t="shared" si="13"/>
        <v>#N/A</v>
      </c>
      <c r="X14" s="8" t="str">
        <f>VLOOKUP(D14,Sheet16!I:K,3,false)</f>
        <v>#N/A</v>
      </c>
      <c r="Y14" s="8" t="str">
        <f>VLOOKUP(C14,Sheet14!A:K,11,false)</f>
        <v>#N/A</v>
      </c>
    </row>
    <row r="15">
      <c r="A15" s="4" t="str">
        <f>VLOOKUP(D15,map!D:E,2,false)</f>
        <v>#N/A</v>
      </c>
      <c r="B15" s="4" t="str">
        <f>VLOOKUP(E15,map!D:E,2,false)</f>
        <v>#N/A</v>
      </c>
      <c r="D15" s="4" t="str">
        <f>VLOOKUP(C15,Sheet14!A:F,6,false)</f>
        <v>#N/A</v>
      </c>
      <c r="E15" s="4" t="str">
        <f>VLOOKUP(C15,Sheet14!A:G,7,false)</f>
        <v>#N/A</v>
      </c>
      <c r="F15" s="4" t="str">
        <f>VLOOKUP(A15,Sheet1!A:O,15,false)</f>
        <v>#N/A</v>
      </c>
      <c r="G15" s="4" t="str">
        <f>VLOOKUP(B15,Sheet1!A:O,15,false)</f>
        <v>#N/A</v>
      </c>
      <c r="H15" s="4" t="str">
        <f t="shared" si="1"/>
        <v>#N/A</v>
      </c>
      <c r="I15" s="4" t="str">
        <f>VLOOKUP(C15,Sheet14!A:L,12,false)</f>
        <v>#N/A</v>
      </c>
      <c r="J15" s="4" t="str">
        <f t="shared" si="2"/>
        <v>#N/A</v>
      </c>
      <c r="K15" s="4" t="str">
        <f t="shared" si="3"/>
        <v>#N/A</v>
      </c>
      <c r="L15" s="4" t="str">
        <f t="shared" si="4"/>
        <v>#N/A</v>
      </c>
      <c r="M15" s="4" t="str">
        <f t="shared" si="5"/>
        <v>#N/A</v>
      </c>
      <c r="N15" s="6">
        <f t="shared" si="6"/>
        <v>0</v>
      </c>
      <c r="O15" s="4">
        <f t="shared" si="7"/>
        <v>0</v>
      </c>
      <c r="Q15" s="4" t="str">
        <f t="shared" si="8"/>
        <v>#N/A</v>
      </c>
      <c r="R15" s="4" t="str">
        <f t="shared" si="9"/>
        <v>#N/A</v>
      </c>
      <c r="S15" s="4" t="str">
        <f t="shared" si="10"/>
        <v>#N/A</v>
      </c>
      <c r="T15" s="7" t="str">
        <f t="shared" si="11"/>
        <v>#N/A</v>
      </c>
      <c r="U15" s="8" t="str">
        <f>VLOOKUP(D15,Sheet16!I:L,4,false)</f>
        <v>#N/A</v>
      </c>
      <c r="V15" s="7" t="str">
        <f t="shared" si="12"/>
        <v>#N/A</v>
      </c>
      <c r="W15" s="3" t="str">
        <f t="shared" si="13"/>
        <v>#N/A</v>
      </c>
      <c r="X15" s="8" t="str">
        <f>VLOOKUP(D15,Sheet16!I:K,3,false)</f>
        <v>#N/A</v>
      </c>
      <c r="Y15" s="8" t="str">
        <f>VLOOKUP(C15,Sheet14!A:K,11,false)</f>
        <v>#N/A</v>
      </c>
    </row>
    <row r="16">
      <c r="A16" s="4" t="str">
        <f>VLOOKUP(D16,map!D:E,2,false)</f>
        <v>#N/A</v>
      </c>
      <c r="B16" s="4" t="str">
        <f>VLOOKUP(E16,map!D:E,2,false)</f>
        <v>#N/A</v>
      </c>
      <c r="D16" s="4" t="str">
        <f>VLOOKUP(C16,Sheet14!A:F,6,false)</f>
        <v>#N/A</v>
      </c>
      <c r="E16" s="4" t="str">
        <f>VLOOKUP(C16,Sheet14!A:G,7,false)</f>
        <v>#N/A</v>
      </c>
      <c r="F16" s="4" t="str">
        <f>VLOOKUP(A16,Sheet1!A:O,15,false)</f>
        <v>#N/A</v>
      </c>
      <c r="G16" s="4" t="str">
        <f>VLOOKUP(B16,Sheet1!A:O,15,false)</f>
        <v>#N/A</v>
      </c>
      <c r="H16" s="4" t="str">
        <f t="shared" si="1"/>
        <v>#N/A</v>
      </c>
      <c r="I16" s="4" t="str">
        <f>VLOOKUP(C16,Sheet14!A:L,12,false)</f>
        <v>#N/A</v>
      </c>
      <c r="J16" s="4" t="str">
        <f t="shared" si="2"/>
        <v>#N/A</v>
      </c>
      <c r="K16" s="4" t="str">
        <f t="shared" si="3"/>
        <v>#N/A</v>
      </c>
      <c r="L16" s="4" t="str">
        <f t="shared" si="4"/>
        <v>#N/A</v>
      </c>
      <c r="M16" s="4" t="str">
        <f t="shared" si="5"/>
        <v>#N/A</v>
      </c>
      <c r="N16" s="6">
        <f t="shared" si="6"/>
        <v>0</v>
      </c>
      <c r="O16" s="4">
        <f t="shared" si="7"/>
        <v>0</v>
      </c>
      <c r="Q16" s="4" t="str">
        <f t="shared" si="8"/>
        <v>#N/A</v>
      </c>
      <c r="R16" s="4" t="str">
        <f t="shared" si="9"/>
        <v>#N/A</v>
      </c>
      <c r="S16" s="4" t="str">
        <f t="shared" si="10"/>
        <v>#N/A</v>
      </c>
      <c r="T16" s="7" t="str">
        <f t="shared" si="11"/>
        <v>#N/A</v>
      </c>
      <c r="U16" s="8" t="str">
        <f>VLOOKUP(D16,Sheet16!I:L,4,false)</f>
        <v>#N/A</v>
      </c>
      <c r="V16" s="7" t="str">
        <f t="shared" si="12"/>
        <v>#N/A</v>
      </c>
      <c r="W16" s="3" t="str">
        <f t="shared" si="13"/>
        <v>#N/A</v>
      </c>
      <c r="X16" s="8" t="str">
        <f>VLOOKUP(D16,Sheet16!I:K,3,false)</f>
        <v>#N/A</v>
      </c>
      <c r="Y16" s="8" t="str">
        <f>VLOOKUP(C16,Sheet14!A:K,11,false)</f>
        <v>#N/A</v>
      </c>
    </row>
    <row r="17">
      <c r="A17" s="4" t="str">
        <f>VLOOKUP(D17,map!D:E,2,false)</f>
        <v>#N/A</v>
      </c>
      <c r="B17" s="4" t="str">
        <f>VLOOKUP(E17,map!D:E,2,false)</f>
        <v>#N/A</v>
      </c>
      <c r="D17" s="4" t="str">
        <f>VLOOKUP(C17,Sheet14!A:F,6,false)</f>
        <v>#N/A</v>
      </c>
      <c r="E17" s="4" t="str">
        <f>VLOOKUP(C17,Sheet14!A:G,7,false)</f>
        <v>#N/A</v>
      </c>
      <c r="F17" s="4" t="str">
        <f>VLOOKUP(A17,Sheet1!A:O,15,false)</f>
        <v>#N/A</v>
      </c>
      <c r="G17" s="4" t="str">
        <f>VLOOKUP(B17,Sheet1!A:O,15,false)</f>
        <v>#N/A</v>
      </c>
      <c r="H17" s="4" t="str">
        <f t="shared" si="1"/>
        <v>#N/A</v>
      </c>
      <c r="I17" s="4" t="str">
        <f>VLOOKUP(C17,Sheet14!A:L,12,false)</f>
        <v>#N/A</v>
      </c>
      <c r="J17" s="4" t="str">
        <f t="shared" si="2"/>
        <v>#N/A</v>
      </c>
      <c r="K17" s="4" t="str">
        <f t="shared" si="3"/>
        <v>#N/A</v>
      </c>
      <c r="L17" s="4" t="str">
        <f t="shared" si="4"/>
        <v>#N/A</v>
      </c>
      <c r="M17" s="4" t="str">
        <f t="shared" si="5"/>
        <v>#N/A</v>
      </c>
      <c r="N17" s="6">
        <f t="shared" si="6"/>
        <v>0</v>
      </c>
      <c r="O17" s="4">
        <f t="shared" si="7"/>
        <v>0</v>
      </c>
      <c r="Q17" s="4" t="str">
        <f t="shared" si="8"/>
        <v>#N/A</v>
      </c>
      <c r="R17" s="4" t="str">
        <f t="shared" si="9"/>
        <v>#N/A</v>
      </c>
      <c r="S17" s="4" t="str">
        <f t="shared" si="10"/>
        <v>#N/A</v>
      </c>
      <c r="T17" s="7" t="str">
        <f t="shared" si="11"/>
        <v>#N/A</v>
      </c>
      <c r="U17" s="8" t="str">
        <f>VLOOKUP(D17,Sheet16!I:L,4,false)</f>
        <v>#N/A</v>
      </c>
      <c r="V17" s="7" t="str">
        <f t="shared" si="12"/>
        <v>#N/A</v>
      </c>
      <c r="W17" s="3" t="str">
        <f t="shared" si="13"/>
        <v>#N/A</v>
      </c>
      <c r="X17" s="8" t="str">
        <f>VLOOKUP(D17,Sheet16!I:K,3,false)</f>
        <v>#N/A</v>
      </c>
      <c r="Y17" s="8" t="str">
        <f>VLOOKUP(C17,Sheet14!A:K,11,false)</f>
        <v>#N/A</v>
      </c>
    </row>
    <row r="18">
      <c r="N18" s="6"/>
    </row>
    <row r="19">
      <c r="N19" s="6"/>
    </row>
    <row r="20">
      <c r="N20" s="6"/>
    </row>
    <row r="21">
      <c r="N21" s="6"/>
    </row>
    <row r="22">
      <c r="N22" s="6"/>
    </row>
    <row r="23">
      <c r="N23" s="6"/>
    </row>
    <row r="24">
      <c r="N24" s="6"/>
    </row>
    <row r="25">
      <c r="N25" s="6"/>
    </row>
    <row r="26">
      <c r="N26" s="6"/>
    </row>
    <row r="27">
      <c r="N27" s="6"/>
    </row>
    <row r="28">
      <c r="N28" s="6"/>
    </row>
    <row r="29">
      <c r="N29" s="6"/>
    </row>
    <row r="30">
      <c r="N30" s="6"/>
    </row>
    <row r="31">
      <c r="N31" s="6"/>
    </row>
    <row r="32">
      <c r="N32" s="6"/>
    </row>
    <row r="33">
      <c r="N33" s="6"/>
    </row>
    <row r="34">
      <c r="N34" s="6"/>
    </row>
    <row r="35">
      <c r="N35" s="6"/>
    </row>
    <row r="36">
      <c r="N36" s="6"/>
    </row>
    <row r="37">
      <c r="N37" s="6"/>
    </row>
    <row r="38">
      <c r="N38" s="6"/>
    </row>
    <row r="39">
      <c r="N39" s="6"/>
    </row>
    <row r="40">
      <c r="N40" s="6"/>
    </row>
    <row r="41">
      <c r="N41" s="6"/>
    </row>
    <row r="42">
      <c r="N42" s="6"/>
    </row>
    <row r="43">
      <c r="N43" s="6"/>
    </row>
    <row r="44">
      <c r="N44" s="6"/>
    </row>
    <row r="45">
      <c r="N45" s="6"/>
    </row>
    <row r="46">
      <c r="N46" s="6"/>
    </row>
    <row r="47">
      <c r="N47" s="6"/>
    </row>
    <row r="48">
      <c r="N48" s="6"/>
    </row>
    <row r="49">
      <c r="N49" s="6"/>
    </row>
    <row r="50">
      <c r="N50" s="6"/>
    </row>
    <row r="51">
      <c r="N51" s="6"/>
    </row>
    <row r="52">
      <c r="N52" s="6"/>
    </row>
    <row r="53">
      <c r="N53" s="6"/>
    </row>
    <row r="54">
      <c r="N54" s="6"/>
    </row>
    <row r="55">
      <c r="N55" s="6"/>
    </row>
    <row r="56">
      <c r="N56" s="6"/>
    </row>
    <row r="57">
      <c r="N57" s="6"/>
    </row>
    <row r="58">
      <c r="N58" s="6"/>
    </row>
    <row r="59">
      <c r="N59" s="6"/>
    </row>
    <row r="60">
      <c r="N60" s="6"/>
    </row>
    <row r="61">
      <c r="N61" s="6"/>
    </row>
    <row r="62">
      <c r="N62" s="6"/>
    </row>
    <row r="63">
      <c r="N63" s="6"/>
    </row>
    <row r="64">
      <c r="N64" s="6"/>
    </row>
    <row r="65">
      <c r="N65" s="6"/>
    </row>
    <row r="66">
      <c r="N66" s="6"/>
    </row>
    <row r="67">
      <c r="N67" s="6"/>
    </row>
    <row r="68">
      <c r="N68" s="6"/>
    </row>
    <row r="69">
      <c r="N69" s="6"/>
    </row>
    <row r="70">
      <c r="N70" s="6"/>
    </row>
    <row r="71">
      <c r="N71" s="6"/>
    </row>
    <row r="72">
      <c r="N72" s="6"/>
    </row>
    <row r="73">
      <c r="N73" s="6"/>
    </row>
    <row r="74">
      <c r="N74" s="6"/>
    </row>
    <row r="75">
      <c r="N75" s="6"/>
    </row>
    <row r="76">
      <c r="N76" s="6"/>
    </row>
    <row r="77">
      <c r="N77" s="6"/>
    </row>
    <row r="78">
      <c r="N78" s="6"/>
    </row>
    <row r="79">
      <c r="N79" s="6"/>
    </row>
    <row r="80">
      <c r="N80" s="6"/>
    </row>
    <row r="81">
      <c r="N81" s="6"/>
    </row>
    <row r="82">
      <c r="N82" s="6"/>
    </row>
    <row r="83">
      <c r="N83" s="6"/>
    </row>
    <row r="84">
      <c r="N84" s="6"/>
    </row>
    <row r="85">
      <c r="N85" s="6"/>
    </row>
    <row r="86">
      <c r="N86" s="6"/>
    </row>
    <row r="87">
      <c r="N87" s="6"/>
    </row>
    <row r="88">
      <c r="N88" s="6"/>
    </row>
    <row r="89">
      <c r="N89" s="6"/>
    </row>
    <row r="90">
      <c r="N90" s="6"/>
    </row>
    <row r="91">
      <c r="N91" s="6"/>
    </row>
    <row r="92">
      <c r="N92" s="6"/>
    </row>
    <row r="93">
      <c r="N93" s="6"/>
    </row>
    <row r="94">
      <c r="N94" s="6"/>
    </row>
    <row r="95">
      <c r="N95" s="6"/>
    </row>
    <row r="96">
      <c r="N96" s="6"/>
    </row>
    <row r="97">
      <c r="N97" s="6"/>
    </row>
    <row r="98">
      <c r="N98" s="6"/>
    </row>
    <row r="99">
      <c r="N99" s="6"/>
    </row>
    <row r="100">
      <c r="N100" s="6"/>
    </row>
    <row r="101">
      <c r="N101" s="6"/>
    </row>
    <row r="102">
      <c r="N102" s="6"/>
    </row>
    <row r="103">
      <c r="N103" s="6"/>
    </row>
    <row r="104">
      <c r="N104" s="6"/>
    </row>
    <row r="105">
      <c r="N105" s="6"/>
    </row>
    <row r="106">
      <c r="N106" s="6"/>
    </row>
    <row r="107">
      <c r="N107" s="6"/>
    </row>
    <row r="108">
      <c r="N108" s="6"/>
    </row>
    <row r="109">
      <c r="N109" s="6"/>
    </row>
    <row r="110">
      <c r="N110" s="6"/>
    </row>
    <row r="111">
      <c r="N111" s="6"/>
    </row>
    <row r="112">
      <c r="N112" s="6"/>
    </row>
    <row r="113">
      <c r="N113" s="6"/>
    </row>
    <row r="114">
      <c r="N114" s="6"/>
    </row>
    <row r="115">
      <c r="N115" s="6"/>
    </row>
    <row r="116">
      <c r="N116" s="6"/>
    </row>
    <row r="117">
      <c r="N117" s="6"/>
    </row>
    <row r="118">
      <c r="N118" s="6"/>
    </row>
    <row r="119">
      <c r="N119" s="6"/>
    </row>
    <row r="120">
      <c r="N120" s="6"/>
    </row>
    <row r="121">
      <c r="N121" s="6"/>
    </row>
    <row r="122">
      <c r="N122" s="6"/>
    </row>
    <row r="123">
      <c r="N123" s="6"/>
    </row>
    <row r="124">
      <c r="N124" s="6"/>
    </row>
    <row r="125">
      <c r="N125" s="6"/>
    </row>
    <row r="126">
      <c r="N126" s="6"/>
    </row>
    <row r="127">
      <c r="N127" s="6"/>
    </row>
    <row r="128">
      <c r="N128" s="6"/>
    </row>
    <row r="129">
      <c r="N129" s="6"/>
    </row>
    <row r="130">
      <c r="N130" s="6"/>
    </row>
    <row r="131">
      <c r="N131" s="6"/>
    </row>
    <row r="132">
      <c r="N132" s="6"/>
    </row>
    <row r="133">
      <c r="N133" s="6"/>
    </row>
    <row r="134">
      <c r="N134" s="6"/>
    </row>
    <row r="135">
      <c r="N135" s="6"/>
    </row>
    <row r="136">
      <c r="N136" s="6"/>
    </row>
    <row r="137">
      <c r="N137" s="6"/>
    </row>
    <row r="138">
      <c r="N138" s="6"/>
    </row>
    <row r="139">
      <c r="N139" s="6"/>
    </row>
    <row r="140">
      <c r="N140" s="6"/>
    </row>
    <row r="141">
      <c r="N141" s="6"/>
    </row>
    <row r="142">
      <c r="N142" s="6"/>
    </row>
    <row r="143">
      <c r="N143" s="6"/>
    </row>
    <row r="144">
      <c r="N144" s="6"/>
    </row>
    <row r="145">
      <c r="N145" s="6"/>
    </row>
    <row r="146">
      <c r="N146" s="6"/>
    </row>
    <row r="147">
      <c r="N147" s="6"/>
    </row>
    <row r="148">
      <c r="N148" s="6"/>
    </row>
    <row r="149">
      <c r="N149" s="6"/>
    </row>
    <row r="150">
      <c r="N150" s="6"/>
    </row>
    <row r="151">
      <c r="N151" s="6"/>
    </row>
    <row r="152">
      <c r="N152" s="6"/>
    </row>
    <row r="153">
      <c r="N153" s="6"/>
    </row>
    <row r="154">
      <c r="N154" s="6"/>
    </row>
    <row r="155">
      <c r="N155" s="6"/>
    </row>
    <row r="156">
      <c r="N156" s="6"/>
    </row>
    <row r="157">
      <c r="N157" s="6"/>
    </row>
    <row r="158">
      <c r="N158" s="6"/>
    </row>
    <row r="159">
      <c r="N159" s="6"/>
    </row>
    <row r="160">
      <c r="N160" s="6"/>
    </row>
    <row r="161">
      <c r="N161" s="6"/>
    </row>
    <row r="162">
      <c r="N162" s="6"/>
    </row>
    <row r="163">
      <c r="N163" s="6"/>
    </row>
    <row r="164">
      <c r="N164" s="6"/>
    </row>
    <row r="165">
      <c r="N165" s="6"/>
    </row>
    <row r="166">
      <c r="N166" s="6"/>
    </row>
    <row r="167">
      <c r="N167" s="6"/>
    </row>
    <row r="168">
      <c r="N168" s="6"/>
    </row>
    <row r="169">
      <c r="N169" s="6"/>
    </row>
    <row r="170">
      <c r="N170" s="6"/>
    </row>
    <row r="171">
      <c r="N171" s="6"/>
    </row>
    <row r="172">
      <c r="N172" s="6"/>
    </row>
    <row r="173">
      <c r="N173" s="6"/>
    </row>
    <row r="174">
      <c r="N174" s="6"/>
    </row>
    <row r="175">
      <c r="N175" s="6"/>
    </row>
    <row r="176">
      <c r="N176" s="6"/>
    </row>
    <row r="177">
      <c r="N177" s="6"/>
    </row>
    <row r="178">
      <c r="N178" s="6"/>
    </row>
    <row r="179">
      <c r="N179" s="6"/>
    </row>
    <row r="180">
      <c r="N180" s="6"/>
    </row>
    <row r="181">
      <c r="N181" s="6"/>
    </row>
    <row r="182">
      <c r="N182" s="6"/>
    </row>
    <row r="183">
      <c r="N183" s="6"/>
    </row>
    <row r="184">
      <c r="N184" s="6"/>
    </row>
    <row r="185">
      <c r="N185" s="6"/>
    </row>
    <row r="186">
      <c r="N186" s="6"/>
    </row>
    <row r="187">
      <c r="N187" s="6"/>
    </row>
    <row r="188">
      <c r="N188" s="6"/>
    </row>
    <row r="189">
      <c r="N189" s="6"/>
    </row>
    <row r="190">
      <c r="N190" s="6"/>
    </row>
    <row r="191">
      <c r="N191" s="6"/>
    </row>
    <row r="192">
      <c r="N192" s="6"/>
    </row>
    <row r="193">
      <c r="N193" s="6"/>
    </row>
    <row r="194">
      <c r="N194" s="6"/>
    </row>
    <row r="195">
      <c r="N195" s="6"/>
    </row>
    <row r="196">
      <c r="N196" s="6"/>
    </row>
    <row r="197">
      <c r="N197" s="6"/>
    </row>
    <row r="198">
      <c r="N198" s="6"/>
    </row>
    <row r="199">
      <c r="N199" s="6"/>
    </row>
    <row r="200">
      <c r="N200" s="6"/>
    </row>
    <row r="201">
      <c r="N201" s="6"/>
    </row>
    <row r="202">
      <c r="N202" s="6"/>
    </row>
    <row r="203">
      <c r="N203" s="6"/>
    </row>
    <row r="204">
      <c r="N204" s="6"/>
    </row>
    <row r="205">
      <c r="N205" s="6"/>
    </row>
    <row r="206">
      <c r="N206" s="6"/>
    </row>
    <row r="207">
      <c r="N207" s="6"/>
    </row>
    <row r="208">
      <c r="N208" s="6"/>
    </row>
    <row r="209">
      <c r="N209" s="6"/>
    </row>
    <row r="210">
      <c r="N210" s="6"/>
    </row>
    <row r="211">
      <c r="N211" s="6"/>
    </row>
    <row r="212">
      <c r="N212" s="6"/>
    </row>
    <row r="213">
      <c r="N213" s="6"/>
    </row>
    <row r="214">
      <c r="N214" s="6"/>
    </row>
    <row r="215">
      <c r="N215" s="6"/>
    </row>
    <row r="216">
      <c r="N216" s="6"/>
    </row>
    <row r="217">
      <c r="N217" s="6"/>
    </row>
    <row r="218">
      <c r="N218" s="6"/>
    </row>
    <row r="219">
      <c r="N219" s="6"/>
    </row>
    <row r="220">
      <c r="N220" s="6"/>
    </row>
    <row r="221">
      <c r="N221" s="6"/>
    </row>
    <row r="222">
      <c r="N222" s="6"/>
    </row>
    <row r="223">
      <c r="N223" s="6"/>
    </row>
    <row r="224">
      <c r="N224" s="6"/>
    </row>
    <row r="225">
      <c r="N225" s="6"/>
    </row>
    <row r="226">
      <c r="N226" s="6"/>
    </row>
    <row r="227">
      <c r="N227" s="6"/>
    </row>
    <row r="228">
      <c r="N228" s="6"/>
    </row>
    <row r="229">
      <c r="N229" s="6"/>
    </row>
    <row r="230">
      <c r="N230" s="6"/>
    </row>
    <row r="231">
      <c r="N231" s="6"/>
    </row>
    <row r="232">
      <c r="N232" s="6"/>
    </row>
    <row r="233">
      <c r="N233" s="6"/>
    </row>
    <row r="234">
      <c r="N234" s="6"/>
    </row>
    <row r="235">
      <c r="N235" s="6"/>
    </row>
    <row r="236">
      <c r="N236" s="6"/>
    </row>
    <row r="237">
      <c r="N237" s="6"/>
    </row>
    <row r="238">
      <c r="N238" s="6"/>
    </row>
    <row r="239">
      <c r="N239" s="6"/>
    </row>
    <row r="240">
      <c r="N240" s="6"/>
    </row>
    <row r="241">
      <c r="N241" s="6"/>
    </row>
    <row r="242">
      <c r="N242" s="6"/>
    </row>
    <row r="243">
      <c r="N243" s="6"/>
    </row>
    <row r="244">
      <c r="N244" s="6"/>
    </row>
    <row r="245">
      <c r="N245" s="6"/>
    </row>
    <row r="246">
      <c r="N246" s="6"/>
    </row>
    <row r="247">
      <c r="N247" s="6"/>
    </row>
    <row r="248">
      <c r="N248" s="6"/>
    </row>
    <row r="249">
      <c r="N249" s="6"/>
    </row>
    <row r="250">
      <c r="N250" s="6"/>
    </row>
    <row r="251">
      <c r="N251" s="6"/>
    </row>
    <row r="252">
      <c r="N252" s="6"/>
    </row>
    <row r="253">
      <c r="N253" s="6"/>
    </row>
    <row r="254">
      <c r="N254" s="6"/>
    </row>
    <row r="255">
      <c r="N255" s="6"/>
    </row>
    <row r="256">
      <c r="N256" s="6"/>
    </row>
    <row r="257">
      <c r="N257" s="6"/>
    </row>
    <row r="258">
      <c r="N258" s="6"/>
    </row>
    <row r="259">
      <c r="N259" s="6"/>
    </row>
    <row r="260">
      <c r="N260" s="6"/>
    </row>
    <row r="261">
      <c r="N261" s="6"/>
    </row>
    <row r="262">
      <c r="N262" s="6"/>
    </row>
    <row r="263">
      <c r="N263" s="6"/>
    </row>
    <row r="264">
      <c r="N264" s="6"/>
    </row>
    <row r="265">
      <c r="N265" s="6"/>
    </row>
    <row r="266">
      <c r="N266" s="6"/>
    </row>
    <row r="267">
      <c r="N267" s="6"/>
    </row>
    <row r="268">
      <c r="N268" s="6"/>
    </row>
    <row r="269">
      <c r="N269" s="6"/>
    </row>
    <row r="270">
      <c r="N270" s="6"/>
    </row>
    <row r="271">
      <c r="N271" s="6"/>
    </row>
    <row r="272">
      <c r="N272" s="6"/>
    </row>
    <row r="273">
      <c r="N273" s="6"/>
    </row>
    <row r="274">
      <c r="N274" s="6"/>
    </row>
    <row r="275">
      <c r="N275" s="6"/>
    </row>
    <row r="276">
      <c r="N276" s="6"/>
    </row>
    <row r="277">
      <c r="N277" s="6"/>
    </row>
    <row r="278">
      <c r="N278" s="6"/>
    </row>
    <row r="279">
      <c r="N279" s="6"/>
    </row>
    <row r="280">
      <c r="N280" s="6"/>
    </row>
    <row r="281">
      <c r="N281" s="6"/>
    </row>
    <row r="282">
      <c r="N282" s="6"/>
    </row>
    <row r="283">
      <c r="N283" s="6"/>
    </row>
    <row r="284">
      <c r="N284" s="6"/>
    </row>
    <row r="285">
      <c r="N285" s="6"/>
    </row>
    <row r="286">
      <c r="N286" s="6"/>
    </row>
    <row r="287">
      <c r="N287" s="6"/>
    </row>
    <row r="288">
      <c r="N288" s="6"/>
    </row>
    <row r="289">
      <c r="N289" s="6"/>
    </row>
    <row r="290">
      <c r="N290" s="6"/>
    </row>
    <row r="291">
      <c r="N291" s="6"/>
    </row>
    <row r="292">
      <c r="N292" s="6"/>
    </row>
    <row r="293">
      <c r="N293" s="6"/>
    </row>
    <row r="294">
      <c r="N294" s="6"/>
    </row>
    <row r="295">
      <c r="N295" s="6"/>
    </row>
    <row r="296">
      <c r="N296" s="6"/>
    </row>
    <row r="297">
      <c r="N297" s="6"/>
    </row>
    <row r="298">
      <c r="N298" s="6"/>
    </row>
    <row r="299">
      <c r="N299" s="6"/>
    </row>
    <row r="300">
      <c r="N300" s="6"/>
    </row>
    <row r="301">
      <c r="N301" s="6"/>
    </row>
    <row r="302">
      <c r="N302" s="6"/>
    </row>
    <row r="303">
      <c r="N303" s="6"/>
    </row>
    <row r="304">
      <c r="N304" s="6"/>
    </row>
    <row r="305">
      <c r="N305" s="6"/>
    </row>
    <row r="306">
      <c r="N306" s="6"/>
    </row>
    <row r="307">
      <c r="N307" s="6"/>
    </row>
    <row r="308">
      <c r="N308" s="6"/>
    </row>
    <row r="309">
      <c r="N309" s="6"/>
    </row>
    <row r="310">
      <c r="N310" s="6"/>
    </row>
    <row r="311">
      <c r="N311" s="6"/>
    </row>
    <row r="312">
      <c r="N312" s="6"/>
    </row>
    <row r="313">
      <c r="N313" s="6"/>
    </row>
    <row r="314">
      <c r="N314" s="6"/>
    </row>
    <row r="315">
      <c r="N315" s="6"/>
    </row>
    <row r="316">
      <c r="N316" s="6"/>
    </row>
    <row r="317">
      <c r="N317" s="6"/>
    </row>
    <row r="318">
      <c r="N318" s="6"/>
    </row>
    <row r="319">
      <c r="N319" s="6"/>
    </row>
    <row r="320">
      <c r="N320" s="6"/>
    </row>
    <row r="321">
      <c r="N321" s="6"/>
    </row>
    <row r="322">
      <c r="N322" s="6"/>
    </row>
    <row r="323">
      <c r="N323" s="6"/>
    </row>
    <row r="324">
      <c r="N324" s="6"/>
    </row>
    <row r="325">
      <c r="N325" s="6"/>
    </row>
    <row r="326">
      <c r="N326" s="6"/>
    </row>
    <row r="327">
      <c r="N327" s="6"/>
    </row>
    <row r="328">
      <c r="N328" s="6"/>
    </row>
    <row r="329">
      <c r="N329" s="6"/>
    </row>
    <row r="330">
      <c r="N330" s="6"/>
    </row>
    <row r="331">
      <c r="N331" s="6"/>
    </row>
    <row r="332">
      <c r="N332" s="6"/>
    </row>
    <row r="333">
      <c r="N333" s="6"/>
    </row>
    <row r="334">
      <c r="N334" s="6"/>
    </row>
    <row r="335">
      <c r="N335" s="6"/>
    </row>
    <row r="336">
      <c r="N336" s="6"/>
    </row>
    <row r="337">
      <c r="N337" s="6"/>
    </row>
    <row r="338">
      <c r="N338" s="6"/>
    </row>
    <row r="339">
      <c r="N339" s="6"/>
    </row>
    <row r="340">
      <c r="N340" s="6"/>
    </row>
    <row r="341">
      <c r="N341" s="6"/>
    </row>
    <row r="342">
      <c r="N342" s="6"/>
    </row>
    <row r="343">
      <c r="N343" s="6"/>
    </row>
    <row r="344">
      <c r="N344" s="6"/>
    </row>
    <row r="345">
      <c r="N345" s="6"/>
    </row>
    <row r="346">
      <c r="N346" s="6"/>
    </row>
    <row r="347">
      <c r="N347" s="6"/>
    </row>
    <row r="348">
      <c r="N348" s="6"/>
    </row>
    <row r="349">
      <c r="N349" s="6"/>
    </row>
    <row r="350">
      <c r="N350" s="6"/>
    </row>
    <row r="351">
      <c r="N351" s="6"/>
    </row>
    <row r="352">
      <c r="N352" s="6"/>
    </row>
    <row r="353">
      <c r="N353" s="6"/>
    </row>
    <row r="354">
      <c r="N354" s="6"/>
    </row>
    <row r="355">
      <c r="N355" s="6"/>
    </row>
    <row r="356">
      <c r="N356" s="6"/>
    </row>
    <row r="357">
      <c r="N357" s="6"/>
    </row>
    <row r="358">
      <c r="N358" s="6"/>
    </row>
    <row r="359">
      <c r="N359" s="6"/>
    </row>
    <row r="360">
      <c r="N360" s="6"/>
    </row>
    <row r="361">
      <c r="N361" s="6"/>
    </row>
    <row r="362">
      <c r="N362" s="6"/>
    </row>
    <row r="363">
      <c r="N363" s="6"/>
    </row>
    <row r="364">
      <c r="N364" s="6"/>
    </row>
    <row r="365">
      <c r="N365" s="6"/>
    </row>
    <row r="366">
      <c r="N366" s="6"/>
    </row>
    <row r="367">
      <c r="N367" s="6"/>
    </row>
    <row r="368">
      <c r="N368" s="6"/>
    </row>
    <row r="369">
      <c r="N369" s="6"/>
    </row>
    <row r="370">
      <c r="N370" s="6"/>
    </row>
    <row r="371">
      <c r="N371" s="6"/>
    </row>
    <row r="372">
      <c r="N372" s="6"/>
    </row>
    <row r="373">
      <c r="N373" s="6"/>
    </row>
    <row r="374">
      <c r="N374" s="6"/>
    </row>
    <row r="375">
      <c r="N375" s="6"/>
    </row>
    <row r="376">
      <c r="N376" s="6"/>
    </row>
    <row r="377">
      <c r="N377" s="6"/>
    </row>
    <row r="378">
      <c r="N378" s="6"/>
    </row>
    <row r="379">
      <c r="N379" s="6"/>
    </row>
    <row r="380">
      <c r="N380" s="6"/>
    </row>
    <row r="381">
      <c r="N381" s="6"/>
    </row>
    <row r="382">
      <c r="N382" s="6"/>
    </row>
    <row r="383">
      <c r="N383" s="6"/>
    </row>
    <row r="384">
      <c r="N384" s="6"/>
    </row>
    <row r="385">
      <c r="N385" s="6"/>
    </row>
    <row r="386">
      <c r="N386" s="6"/>
    </row>
    <row r="387">
      <c r="N387" s="6"/>
    </row>
    <row r="388">
      <c r="N388" s="6"/>
    </row>
    <row r="389">
      <c r="N389" s="6"/>
    </row>
    <row r="390">
      <c r="N390" s="6"/>
    </row>
    <row r="391">
      <c r="N391" s="6"/>
    </row>
    <row r="392">
      <c r="N392" s="6"/>
    </row>
    <row r="393">
      <c r="N393" s="6"/>
    </row>
    <row r="394">
      <c r="N394" s="6"/>
    </row>
    <row r="395">
      <c r="N395" s="6"/>
    </row>
    <row r="396">
      <c r="N396" s="6"/>
    </row>
    <row r="397">
      <c r="N397" s="6"/>
    </row>
    <row r="398">
      <c r="N398" s="6"/>
    </row>
    <row r="399">
      <c r="N399" s="6"/>
    </row>
    <row r="400">
      <c r="N400" s="6"/>
    </row>
    <row r="401">
      <c r="N401" s="6"/>
    </row>
    <row r="402">
      <c r="N402" s="6"/>
    </row>
    <row r="403">
      <c r="N403" s="6"/>
    </row>
    <row r="404">
      <c r="N404" s="6"/>
    </row>
    <row r="405">
      <c r="N405" s="6"/>
    </row>
    <row r="406">
      <c r="N406" s="6"/>
    </row>
    <row r="407">
      <c r="N407" s="6"/>
    </row>
    <row r="408">
      <c r="N408" s="6"/>
    </row>
    <row r="409">
      <c r="N409" s="6"/>
    </row>
    <row r="410">
      <c r="N410" s="6"/>
    </row>
    <row r="411">
      <c r="N411" s="6"/>
    </row>
    <row r="412">
      <c r="N412" s="6"/>
    </row>
    <row r="413">
      <c r="N413" s="6"/>
    </row>
    <row r="414">
      <c r="N414" s="6"/>
    </row>
    <row r="415">
      <c r="N415" s="6"/>
    </row>
    <row r="416">
      <c r="N416" s="6"/>
    </row>
    <row r="417">
      <c r="N417" s="6"/>
    </row>
    <row r="418">
      <c r="N418" s="6"/>
    </row>
    <row r="419">
      <c r="N419" s="6"/>
    </row>
    <row r="420">
      <c r="N420" s="6"/>
    </row>
    <row r="421">
      <c r="N421" s="6"/>
    </row>
    <row r="422">
      <c r="N422" s="6"/>
    </row>
    <row r="423">
      <c r="N423" s="6"/>
    </row>
    <row r="424">
      <c r="N424" s="6"/>
    </row>
    <row r="425">
      <c r="N425" s="6"/>
    </row>
    <row r="426">
      <c r="N426" s="6"/>
    </row>
    <row r="427">
      <c r="N427" s="6"/>
    </row>
    <row r="428">
      <c r="N428" s="6"/>
    </row>
    <row r="429">
      <c r="N429" s="6"/>
    </row>
    <row r="430">
      <c r="N430" s="6"/>
    </row>
    <row r="431">
      <c r="N431" s="6"/>
    </row>
    <row r="432">
      <c r="N432" s="6"/>
    </row>
    <row r="433">
      <c r="N433" s="6"/>
    </row>
    <row r="434">
      <c r="N434" s="6"/>
    </row>
    <row r="435">
      <c r="N435" s="6"/>
    </row>
    <row r="436">
      <c r="N436" s="6"/>
    </row>
    <row r="437">
      <c r="N437" s="6"/>
    </row>
    <row r="438">
      <c r="N438" s="6"/>
    </row>
    <row r="439">
      <c r="N439" s="6"/>
    </row>
    <row r="440">
      <c r="N440" s="6"/>
    </row>
    <row r="441">
      <c r="N441" s="6"/>
    </row>
    <row r="442">
      <c r="N442" s="6"/>
    </row>
    <row r="443">
      <c r="N443" s="6"/>
    </row>
    <row r="444">
      <c r="N444" s="6"/>
    </row>
    <row r="445">
      <c r="N445" s="6"/>
    </row>
    <row r="446">
      <c r="N446" s="6"/>
    </row>
    <row r="447">
      <c r="N447" s="6"/>
    </row>
    <row r="448">
      <c r="N448" s="6"/>
    </row>
    <row r="449">
      <c r="N449" s="6"/>
    </row>
    <row r="450">
      <c r="N450" s="6"/>
    </row>
    <row r="451">
      <c r="N451" s="6"/>
    </row>
    <row r="452">
      <c r="N452" s="6"/>
    </row>
    <row r="453">
      <c r="N453" s="6"/>
    </row>
    <row r="454">
      <c r="N454" s="6"/>
    </row>
    <row r="455">
      <c r="N455" s="6"/>
    </row>
    <row r="456">
      <c r="N456" s="6"/>
    </row>
    <row r="457">
      <c r="N457" s="6"/>
    </row>
    <row r="458">
      <c r="N458" s="6"/>
    </row>
    <row r="459">
      <c r="N459" s="6"/>
    </row>
    <row r="460">
      <c r="N460" s="6"/>
    </row>
    <row r="461">
      <c r="N461" s="6"/>
    </row>
    <row r="462">
      <c r="N462" s="6"/>
    </row>
    <row r="463">
      <c r="N463" s="6"/>
    </row>
    <row r="464">
      <c r="N464" s="6"/>
    </row>
    <row r="465">
      <c r="N465" s="6"/>
    </row>
    <row r="466">
      <c r="N466" s="6"/>
    </row>
    <row r="467">
      <c r="N467" s="6"/>
    </row>
    <row r="468">
      <c r="N468" s="6"/>
    </row>
    <row r="469">
      <c r="N469" s="6"/>
    </row>
    <row r="470">
      <c r="N470" s="6"/>
    </row>
    <row r="471">
      <c r="N471" s="6"/>
    </row>
    <row r="472">
      <c r="N472" s="6"/>
    </row>
    <row r="473">
      <c r="N473" s="6"/>
    </row>
    <row r="474">
      <c r="N474" s="6"/>
    </row>
    <row r="475">
      <c r="N475" s="6"/>
    </row>
    <row r="476">
      <c r="N476" s="6"/>
    </row>
    <row r="477">
      <c r="N477" s="6"/>
    </row>
    <row r="478">
      <c r="N478" s="6"/>
    </row>
    <row r="479">
      <c r="N479" s="6"/>
    </row>
    <row r="480">
      <c r="N480" s="6"/>
    </row>
    <row r="481">
      <c r="N481" s="6"/>
    </row>
    <row r="482">
      <c r="N482" s="6"/>
    </row>
    <row r="483">
      <c r="N483" s="6"/>
    </row>
    <row r="484">
      <c r="N484" s="6"/>
    </row>
    <row r="485">
      <c r="N485" s="6"/>
    </row>
    <row r="486">
      <c r="N486" s="6"/>
    </row>
    <row r="487">
      <c r="N487" s="6"/>
    </row>
    <row r="488">
      <c r="N488" s="6"/>
    </row>
    <row r="489">
      <c r="N489" s="6"/>
    </row>
    <row r="490">
      <c r="N490" s="6"/>
    </row>
    <row r="491">
      <c r="N491" s="6"/>
    </row>
    <row r="492">
      <c r="N492" s="6"/>
    </row>
    <row r="493">
      <c r="N493" s="6"/>
    </row>
    <row r="494">
      <c r="N494" s="6"/>
    </row>
    <row r="495">
      <c r="N495" s="6"/>
    </row>
    <row r="496">
      <c r="N496" s="6"/>
    </row>
    <row r="497">
      <c r="N497" s="6"/>
    </row>
    <row r="498">
      <c r="N498" s="6"/>
    </row>
    <row r="499">
      <c r="N499" s="6"/>
    </row>
    <row r="500">
      <c r="N500" s="6"/>
    </row>
    <row r="501">
      <c r="N501" s="6"/>
    </row>
    <row r="502">
      <c r="N502" s="6"/>
    </row>
    <row r="503">
      <c r="N503" s="6"/>
    </row>
    <row r="504">
      <c r="N504" s="6"/>
    </row>
    <row r="505">
      <c r="N505" s="6"/>
    </row>
    <row r="506">
      <c r="N506" s="6"/>
    </row>
    <row r="507">
      <c r="N507" s="6"/>
    </row>
    <row r="508">
      <c r="N508" s="6"/>
    </row>
    <row r="509">
      <c r="N509" s="6"/>
    </row>
    <row r="510">
      <c r="N510" s="6"/>
    </row>
    <row r="511">
      <c r="N511" s="6"/>
    </row>
    <row r="512">
      <c r="N512" s="6"/>
    </row>
    <row r="513">
      <c r="N513" s="6"/>
    </row>
    <row r="514">
      <c r="N514" s="6"/>
    </row>
    <row r="515">
      <c r="N515" s="6"/>
    </row>
    <row r="516">
      <c r="N516" s="6"/>
    </row>
    <row r="517">
      <c r="N517" s="6"/>
    </row>
    <row r="518">
      <c r="N518" s="6"/>
    </row>
    <row r="519">
      <c r="N519" s="6"/>
    </row>
    <row r="520">
      <c r="N520" s="6"/>
    </row>
    <row r="521">
      <c r="N521" s="6"/>
    </row>
    <row r="522">
      <c r="N522" s="6"/>
    </row>
    <row r="523">
      <c r="N523" s="6"/>
    </row>
    <row r="524">
      <c r="N524" s="6"/>
    </row>
    <row r="525">
      <c r="N525" s="6"/>
    </row>
    <row r="526">
      <c r="N526" s="6"/>
    </row>
    <row r="527">
      <c r="N527" s="6"/>
    </row>
    <row r="528">
      <c r="N528" s="6"/>
    </row>
    <row r="529">
      <c r="N529" s="6"/>
    </row>
    <row r="530">
      <c r="N530" s="6"/>
    </row>
    <row r="531">
      <c r="N531" s="6"/>
    </row>
    <row r="532">
      <c r="N532" s="6"/>
    </row>
    <row r="533">
      <c r="N533" s="6"/>
    </row>
    <row r="534">
      <c r="N534" s="6"/>
    </row>
    <row r="535">
      <c r="N535" s="6"/>
    </row>
    <row r="536">
      <c r="N536" s="6"/>
    </row>
    <row r="537">
      <c r="N537" s="6"/>
    </row>
    <row r="538">
      <c r="N538" s="6"/>
    </row>
    <row r="539">
      <c r="N539" s="6"/>
    </row>
    <row r="540">
      <c r="N540" s="6"/>
    </row>
    <row r="541">
      <c r="N541" s="6"/>
    </row>
    <row r="542">
      <c r="N542" s="6"/>
    </row>
    <row r="543">
      <c r="N543" s="6"/>
    </row>
    <row r="544">
      <c r="N544" s="6"/>
    </row>
    <row r="545">
      <c r="N545" s="6"/>
    </row>
    <row r="546">
      <c r="N546" s="6"/>
    </row>
    <row r="547">
      <c r="N547" s="6"/>
    </row>
    <row r="548">
      <c r="N548" s="6"/>
    </row>
    <row r="549">
      <c r="N549" s="6"/>
    </row>
    <row r="550">
      <c r="N550" s="6"/>
    </row>
    <row r="551">
      <c r="N551" s="6"/>
    </row>
    <row r="552">
      <c r="N552" s="6"/>
    </row>
    <row r="553">
      <c r="N553" s="6"/>
    </row>
    <row r="554">
      <c r="N554" s="6"/>
    </row>
    <row r="555">
      <c r="N555" s="6"/>
    </row>
    <row r="556">
      <c r="N556" s="6"/>
    </row>
    <row r="557">
      <c r="N557" s="6"/>
    </row>
    <row r="558">
      <c r="N558" s="6"/>
    </row>
    <row r="559">
      <c r="N559" s="6"/>
    </row>
    <row r="560">
      <c r="N560" s="6"/>
    </row>
    <row r="561">
      <c r="N561" s="6"/>
    </row>
    <row r="562">
      <c r="N562" s="6"/>
    </row>
    <row r="563">
      <c r="N563" s="6"/>
    </row>
    <row r="564">
      <c r="N564" s="6"/>
    </row>
    <row r="565">
      <c r="N565" s="6"/>
    </row>
    <row r="566">
      <c r="N566" s="6"/>
    </row>
    <row r="567">
      <c r="N567" s="6"/>
    </row>
    <row r="568">
      <c r="N568" s="6"/>
    </row>
    <row r="569">
      <c r="N569" s="6"/>
    </row>
    <row r="570">
      <c r="N570" s="6"/>
    </row>
    <row r="571">
      <c r="N571" s="6"/>
    </row>
    <row r="572">
      <c r="N572" s="6"/>
    </row>
    <row r="573">
      <c r="N573" s="6"/>
    </row>
    <row r="574">
      <c r="N574" s="6"/>
    </row>
    <row r="575">
      <c r="N575" s="6"/>
    </row>
    <row r="576">
      <c r="N576" s="6"/>
    </row>
    <row r="577">
      <c r="N577" s="6"/>
    </row>
    <row r="578">
      <c r="N578" s="6"/>
    </row>
    <row r="579">
      <c r="N579" s="6"/>
    </row>
    <row r="580">
      <c r="N580" s="6"/>
    </row>
    <row r="581">
      <c r="N581" s="6"/>
    </row>
    <row r="582">
      <c r="N582" s="6"/>
    </row>
    <row r="583">
      <c r="N583" s="6"/>
    </row>
    <row r="584">
      <c r="N584" s="6"/>
    </row>
    <row r="585">
      <c r="N585" s="6"/>
    </row>
    <row r="586">
      <c r="N586" s="6"/>
    </row>
    <row r="587">
      <c r="N587" s="6"/>
    </row>
    <row r="588">
      <c r="N588" s="6"/>
    </row>
    <row r="589">
      <c r="N589" s="6"/>
    </row>
    <row r="590">
      <c r="N590" s="6"/>
    </row>
    <row r="591">
      <c r="N591" s="6"/>
    </row>
    <row r="592">
      <c r="N592" s="6"/>
    </row>
    <row r="593">
      <c r="N593" s="6"/>
    </row>
    <row r="594">
      <c r="N594" s="6"/>
    </row>
    <row r="595">
      <c r="N595" s="6"/>
    </row>
    <row r="596">
      <c r="N596" s="6"/>
    </row>
    <row r="597">
      <c r="N597" s="6"/>
    </row>
    <row r="598">
      <c r="N598" s="6"/>
    </row>
    <row r="599">
      <c r="N599" s="6"/>
    </row>
    <row r="600">
      <c r="N600" s="6"/>
    </row>
    <row r="601">
      <c r="N601" s="6"/>
    </row>
    <row r="602">
      <c r="N602" s="6"/>
    </row>
    <row r="603">
      <c r="N603" s="6"/>
    </row>
    <row r="604">
      <c r="N604" s="6"/>
    </row>
    <row r="605">
      <c r="N605" s="6"/>
    </row>
    <row r="606">
      <c r="N606" s="6"/>
    </row>
    <row r="607">
      <c r="N607" s="6"/>
    </row>
    <row r="608">
      <c r="N608" s="6"/>
    </row>
    <row r="609">
      <c r="N609" s="6"/>
    </row>
    <row r="610">
      <c r="N610" s="6"/>
    </row>
    <row r="611">
      <c r="N611" s="6"/>
    </row>
    <row r="612">
      <c r="N612" s="6"/>
    </row>
    <row r="613">
      <c r="N613" s="6"/>
    </row>
    <row r="614">
      <c r="N614" s="6"/>
    </row>
    <row r="615">
      <c r="N615" s="6"/>
    </row>
    <row r="616">
      <c r="N616" s="6"/>
    </row>
    <row r="617">
      <c r="N617" s="6"/>
    </row>
    <row r="618">
      <c r="N618" s="6"/>
    </row>
    <row r="619">
      <c r="N619" s="6"/>
    </row>
    <row r="620">
      <c r="N620" s="6"/>
    </row>
    <row r="621">
      <c r="N621" s="6"/>
    </row>
    <row r="622">
      <c r="N622" s="6"/>
    </row>
    <row r="623">
      <c r="N623" s="6"/>
    </row>
    <row r="624">
      <c r="N624" s="6"/>
    </row>
    <row r="625">
      <c r="N625" s="6"/>
    </row>
    <row r="626">
      <c r="N626" s="6"/>
    </row>
    <row r="627">
      <c r="N627" s="6"/>
    </row>
    <row r="628">
      <c r="N628" s="6"/>
    </row>
    <row r="629">
      <c r="N629" s="6"/>
    </row>
    <row r="630">
      <c r="N630" s="6"/>
    </row>
    <row r="631">
      <c r="N631" s="6"/>
    </row>
    <row r="632">
      <c r="N632" s="6"/>
    </row>
    <row r="633">
      <c r="N633" s="6"/>
    </row>
    <row r="634">
      <c r="N634" s="6"/>
    </row>
    <row r="635">
      <c r="N635" s="6"/>
    </row>
    <row r="636">
      <c r="N636" s="6"/>
    </row>
    <row r="637">
      <c r="N637" s="6"/>
    </row>
    <row r="638">
      <c r="N638" s="6"/>
    </row>
    <row r="639">
      <c r="N639" s="6"/>
    </row>
    <row r="640">
      <c r="N640" s="6"/>
    </row>
    <row r="641">
      <c r="N641" s="6"/>
    </row>
    <row r="642">
      <c r="N642" s="6"/>
    </row>
    <row r="643">
      <c r="N643" s="6"/>
    </row>
    <row r="644">
      <c r="N644" s="6"/>
    </row>
    <row r="645">
      <c r="N645" s="6"/>
    </row>
    <row r="646">
      <c r="N646" s="6"/>
    </row>
    <row r="647">
      <c r="N647" s="6"/>
    </row>
    <row r="648">
      <c r="N648" s="6"/>
    </row>
    <row r="649">
      <c r="N649" s="6"/>
    </row>
    <row r="650">
      <c r="N650" s="6"/>
    </row>
    <row r="651">
      <c r="N651" s="6"/>
    </row>
    <row r="652">
      <c r="N652" s="6"/>
    </row>
    <row r="653">
      <c r="N653" s="6"/>
    </row>
    <row r="654">
      <c r="N654" s="6"/>
    </row>
    <row r="655">
      <c r="N655" s="6"/>
    </row>
    <row r="656">
      <c r="N656" s="6"/>
    </row>
    <row r="657">
      <c r="N657" s="6"/>
    </row>
    <row r="658">
      <c r="N658" s="6"/>
    </row>
    <row r="659">
      <c r="N659" s="6"/>
    </row>
    <row r="660">
      <c r="N660" s="6"/>
    </row>
    <row r="661">
      <c r="N661" s="6"/>
    </row>
    <row r="662">
      <c r="N662" s="6"/>
    </row>
    <row r="663">
      <c r="N663" s="6"/>
    </row>
    <row r="664">
      <c r="N664" s="6"/>
    </row>
    <row r="665">
      <c r="N665" s="6"/>
    </row>
    <row r="666">
      <c r="N666" s="6"/>
    </row>
    <row r="667">
      <c r="N667" s="6"/>
    </row>
    <row r="668">
      <c r="N668" s="6"/>
    </row>
    <row r="669">
      <c r="N669" s="6"/>
    </row>
    <row r="670">
      <c r="N670" s="6"/>
    </row>
    <row r="671">
      <c r="N671" s="6"/>
    </row>
    <row r="672">
      <c r="N672" s="6"/>
    </row>
    <row r="673">
      <c r="N673" s="6"/>
    </row>
    <row r="674">
      <c r="N674" s="6"/>
    </row>
    <row r="675">
      <c r="N675" s="6"/>
    </row>
    <row r="676">
      <c r="N676" s="6"/>
    </row>
    <row r="677">
      <c r="N677" s="6"/>
    </row>
    <row r="678">
      <c r="N678" s="6"/>
    </row>
    <row r="679">
      <c r="N679" s="6"/>
    </row>
    <row r="680">
      <c r="N680" s="6"/>
    </row>
    <row r="681">
      <c r="N681" s="6"/>
    </row>
    <row r="682">
      <c r="N682" s="6"/>
    </row>
    <row r="683">
      <c r="N683" s="6"/>
    </row>
    <row r="684">
      <c r="N684" s="6"/>
    </row>
    <row r="685">
      <c r="N685" s="6"/>
    </row>
    <row r="686">
      <c r="N686" s="6"/>
    </row>
    <row r="687">
      <c r="N687" s="6"/>
    </row>
    <row r="688">
      <c r="N688" s="6"/>
    </row>
    <row r="689">
      <c r="N689" s="6"/>
    </row>
    <row r="690">
      <c r="N690" s="6"/>
    </row>
    <row r="691">
      <c r="N691" s="6"/>
    </row>
    <row r="692">
      <c r="N692" s="6"/>
    </row>
    <row r="693">
      <c r="N693" s="6"/>
    </row>
    <row r="694">
      <c r="N694" s="6"/>
    </row>
    <row r="695">
      <c r="N695" s="6"/>
    </row>
    <row r="696">
      <c r="N696" s="6"/>
    </row>
    <row r="697">
      <c r="N697" s="6"/>
    </row>
    <row r="698">
      <c r="N698" s="6"/>
    </row>
    <row r="699">
      <c r="N699" s="6"/>
    </row>
    <row r="700">
      <c r="N700" s="6"/>
    </row>
    <row r="701">
      <c r="N701" s="6"/>
    </row>
    <row r="702">
      <c r="N702" s="6"/>
    </row>
    <row r="703">
      <c r="N703" s="6"/>
    </row>
    <row r="704">
      <c r="N704" s="6"/>
    </row>
    <row r="705">
      <c r="N705" s="6"/>
    </row>
    <row r="706">
      <c r="N706" s="6"/>
    </row>
    <row r="707">
      <c r="N707" s="6"/>
    </row>
    <row r="708">
      <c r="N708" s="6"/>
    </row>
    <row r="709">
      <c r="N709" s="6"/>
    </row>
    <row r="710">
      <c r="N710" s="6"/>
    </row>
    <row r="711">
      <c r="N711" s="6"/>
    </row>
    <row r="712">
      <c r="N712" s="6"/>
    </row>
    <row r="713">
      <c r="N713" s="6"/>
    </row>
    <row r="714">
      <c r="N714" s="6"/>
    </row>
    <row r="715">
      <c r="N715" s="6"/>
    </row>
    <row r="716">
      <c r="N716" s="6"/>
    </row>
    <row r="717">
      <c r="N717" s="6"/>
    </row>
    <row r="718">
      <c r="N718" s="6"/>
    </row>
    <row r="719">
      <c r="N719" s="6"/>
    </row>
    <row r="720">
      <c r="N720" s="6"/>
    </row>
    <row r="721">
      <c r="N721" s="6"/>
    </row>
    <row r="722">
      <c r="N722" s="6"/>
    </row>
    <row r="723">
      <c r="N723" s="6"/>
    </row>
    <row r="724">
      <c r="N724" s="6"/>
    </row>
    <row r="725">
      <c r="N725" s="6"/>
    </row>
    <row r="726">
      <c r="N726" s="6"/>
    </row>
    <row r="727">
      <c r="N727" s="6"/>
    </row>
    <row r="728">
      <c r="N728" s="6"/>
    </row>
    <row r="729">
      <c r="N729" s="6"/>
    </row>
    <row r="730">
      <c r="N730" s="6"/>
    </row>
    <row r="731">
      <c r="N731" s="6"/>
    </row>
    <row r="732">
      <c r="N732" s="6"/>
    </row>
    <row r="733">
      <c r="N733" s="6"/>
    </row>
    <row r="734">
      <c r="N734" s="6"/>
    </row>
    <row r="735">
      <c r="N735" s="6"/>
    </row>
    <row r="736">
      <c r="N736" s="6"/>
    </row>
    <row r="737">
      <c r="N737" s="6"/>
    </row>
    <row r="738">
      <c r="N738" s="6"/>
    </row>
    <row r="739">
      <c r="N739" s="6"/>
    </row>
    <row r="740">
      <c r="N740" s="6"/>
    </row>
    <row r="741">
      <c r="N741" s="6"/>
    </row>
    <row r="742">
      <c r="N742" s="6"/>
    </row>
    <row r="743">
      <c r="N743" s="6"/>
    </row>
    <row r="744">
      <c r="N744" s="6"/>
    </row>
    <row r="745">
      <c r="N745" s="6"/>
    </row>
    <row r="746">
      <c r="N746" s="6"/>
    </row>
    <row r="747">
      <c r="N747" s="6"/>
    </row>
    <row r="748">
      <c r="N748" s="6"/>
    </row>
    <row r="749">
      <c r="N749" s="6"/>
    </row>
    <row r="750">
      <c r="N750" s="6"/>
    </row>
    <row r="751">
      <c r="N751" s="6"/>
    </row>
    <row r="752">
      <c r="N752" s="6"/>
    </row>
    <row r="753">
      <c r="N753" s="6"/>
    </row>
    <row r="754">
      <c r="N754" s="6"/>
    </row>
    <row r="755">
      <c r="N755" s="6"/>
    </row>
    <row r="756">
      <c r="N756" s="6"/>
    </row>
    <row r="757">
      <c r="N757" s="6"/>
    </row>
    <row r="758">
      <c r="N758" s="6"/>
    </row>
    <row r="759">
      <c r="N759" s="6"/>
    </row>
    <row r="760">
      <c r="N760" s="6"/>
    </row>
    <row r="761">
      <c r="N761" s="6"/>
    </row>
    <row r="762">
      <c r="N762" s="6"/>
    </row>
    <row r="763">
      <c r="N763" s="6"/>
    </row>
    <row r="764">
      <c r="N764" s="6"/>
    </row>
    <row r="765">
      <c r="N765" s="6"/>
    </row>
    <row r="766">
      <c r="N766" s="6"/>
    </row>
    <row r="767">
      <c r="N767" s="6"/>
    </row>
    <row r="768">
      <c r="N768" s="6"/>
    </row>
    <row r="769">
      <c r="N769" s="6"/>
    </row>
    <row r="770">
      <c r="N770" s="6"/>
    </row>
    <row r="771">
      <c r="N771" s="6"/>
    </row>
    <row r="772">
      <c r="N772" s="6"/>
    </row>
    <row r="773">
      <c r="N773" s="6"/>
    </row>
    <row r="774">
      <c r="N774" s="6"/>
    </row>
    <row r="775">
      <c r="N775" s="6"/>
    </row>
    <row r="776">
      <c r="N776" s="6"/>
    </row>
    <row r="777">
      <c r="N777" s="6"/>
    </row>
    <row r="778">
      <c r="N778" s="6"/>
    </row>
    <row r="779">
      <c r="N779" s="6"/>
    </row>
    <row r="780">
      <c r="N780" s="6"/>
    </row>
    <row r="781">
      <c r="N781" s="6"/>
    </row>
    <row r="782">
      <c r="N782" s="6"/>
    </row>
    <row r="783">
      <c r="N783" s="6"/>
    </row>
    <row r="784">
      <c r="N784" s="6"/>
    </row>
    <row r="785">
      <c r="N785" s="6"/>
    </row>
    <row r="786">
      <c r="N786" s="6"/>
    </row>
    <row r="787">
      <c r="N787" s="6"/>
    </row>
    <row r="788">
      <c r="N788" s="6"/>
    </row>
    <row r="789">
      <c r="N789" s="6"/>
    </row>
    <row r="790">
      <c r="N790" s="6"/>
    </row>
    <row r="791">
      <c r="N791" s="6"/>
    </row>
    <row r="792">
      <c r="N792" s="6"/>
    </row>
    <row r="793">
      <c r="N793" s="6"/>
    </row>
    <row r="794">
      <c r="N794" s="6"/>
    </row>
    <row r="795">
      <c r="N795" s="6"/>
    </row>
    <row r="796">
      <c r="N796" s="6"/>
    </row>
    <row r="797">
      <c r="N797" s="6"/>
    </row>
    <row r="798">
      <c r="N798" s="6"/>
    </row>
    <row r="799">
      <c r="N799" s="6"/>
    </row>
    <row r="800">
      <c r="N800" s="6"/>
    </row>
    <row r="801">
      <c r="N801" s="6"/>
    </row>
    <row r="802">
      <c r="N802" s="6"/>
    </row>
    <row r="803">
      <c r="N803" s="6"/>
    </row>
    <row r="804">
      <c r="N804" s="6"/>
    </row>
    <row r="805">
      <c r="N805" s="6"/>
    </row>
    <row r="806">
      <c r="N806" s="6"/>
    </row>
    <row r="807">
      <c r="N807" s="6"/>
    </row>
    <row r="808">
      <c r="N808" s="6"/>
    </row>
    <row r="809">
      <c r="N809" s="6"/>
    </row>
    <row r="810">
      <c r="N810" s="6"/>
    </row>
    <row r="811">
      <c r="N811" s="6"/>
    </row>
    <row r="812">
      <c r="N812" s="6"/>
    </row>
    <row r="813">
      <c r="N813" s="6"/>
    </row>
    <row r="814">
      <c r="N814" s="6"/>
    </row>
    <row r="815">
      <c r="N815" s="6"/>
    </row>
    <row r="816">
      <c r="N816" s="6"/>
    </row>
    <row r="817">
      <c r="N817" s="6"/>
    </row>
    <row r="818">
      <c r="N818" s="6"/>
    </row>
    <row r="819">
      <c r="N819" s="6"/>
    </row>
    <row r="820">
      <c r="N820" s="6"/>
    </row>
    <row r="821">
      <c r="N821" s="6"/>
    </row>
    <row r="822">
      <c r="N822" s="6"/>
    </row>
    <row r="823">
      <c r="N823" s="6"/>
    </row>
    <row r="824">
      <c r="N824" s="6"/>
    </row>
    <row r="825">
      <c r="N825" s="6"/>
    </row>
    <row r="826">
      <c r="N826" s="6"/>
    </row>
    <row r="827">
      <c r="N827" s="6"/>
    </row>
    <row r="828">
      <c r="N828" s="6"/>
    </row>
    <row r="829">
      <c r="N829" s="6"/>
    </row>
    <row r="830">
      <c r="N830" s="6"/>
    </row>
    <row r="831">
      <c r="N831" s="6"/>
    </row>
    <row r="832">
      <c r="N832" s="6"/>
    </row>
    <row r="833">
      <c r="N833" s="6"/>
    </row>
    <row r="834">
      <c r="N834" s="6"/>
    </row>
    <row r="835">
      <c r="N835" s="6"/>
    </row>
    <row r="836">
      <c r="N836" s="6"/>
    </row>
    <row r="837">
      <c r="N837" s="6"/>
    </row>
    <row r="838">
      <c r="N838" s="6"/>
    </row>
    <row r="839">
      <c r="N839" s="6"/>
    </row>
    <row r="840">
      <c r="N840" s="6"/>
    </row>
    <row r="841">
      <c r="N841" s="6"/>
    </row>
    <row r="842">
      <c r="N842" s="6"/>
    </row>
    <row r="843">
      <c r="N843" s="6"/>
    </row>
    <row r="844">
      <c r="N844" s="6"/>
    </row>
    <row r="845">
      <c r="N845" s="6"/>
    </row>
    <row r="846">
      <c r="N846" s="6"/>
    </row>
    <row r="847">
      <c r="N847" s="6"/>
    </row>
    <row r="848">
      <c r="N848" s="6"/>
    </row>
    <row r="849">
      <c r="N849" s="6"/>
    </row>
    <row r="850">
      <c r="N850" s="6"/>
    </row>
    <row r="851">
      <c r="N851" s="6"/>
    </row>
    <row r="852">
      <c r="N852" s="6"/>
    </row>
    <row r="853">
      <c r="N853" s="6"/>
    </row>
    <row r="854">
      <c r="N854" s="6"/>
    </row>
    <row r="855">
      <c r="N855" s="6"/>
    </row>
    <row r="856">
      <c r="N856" s="6"/>
    </row>
    <row r="857">
      <c r="N857" s="6"/>
    </row>
    <row r="858">
      <c r="N858" s="6"/>
    </row>
    <row r="859">
      <c r="N859" s="6"/>
    </row>
    <row r="860">
      <c r="N860" s="6"/>
    </row>
    <row r="861">
      <c r="N861" s="6"/>
    </row>
    <row r="862">
      <c r="N862" s="6"/>
    </row>
    <row r="863">
      <c r="N863" s="6"/>
    </row>
    <row r="864">
      <c r="N864" s="6"/>
    </row>
    <row r="865">
      <c r="N865" s="6"/>
    </row>
    <row r="866">
      <c r="N866" s="6"/>
    </row>
    <row r="867">
      <c r="N867" s="6"/>
    </row>
    <row r="868">
      <c r="N868" s="6"/>
    </row>
    <row r="869">
      <c r="N869" s="6"/>
    </row>
    <row r="870">
      <c r="N870" s="6"/>
    </row>
    <row r="871">
      <c r="N871" s="6"/>
    </row>
    <row r="872">
      <c r="N872" s="6"/>
    </row>
    <row r="873">
      <c r="N873" s="6"/>
    </row>
    <row r="874">
      <c r="N874" s="6"/>
    </row>
    <row r="875">
      <c r="N875" s="6"/>
    </row>
    <row r="876">
      <c r="N876" s="6"/>
    </row>
    <row r="877">
      <c r="N877" s="6"/>
    </row>
    <row r="878">
      <c r="N878" s="6"/>
    </row>
    <row r="879">
      <c r="N879" s="6"/>
    </row>
    <row r="880">
      <c r="N880" s="6"/>
    </row>
    <row r="881">
      <c r="N881" s="6"/>
    </row>
    <row r="882">
      <c r="N882" s="6"/>
    </row>
    <row r="883">
      <c r="N883" s="6"/>
    </row>
    <row r="884">
      <c r="N884" s="6"/>
    </row>
    <row r="885">
      <c r="N885" s="6"/>
    </row>
    <row r="886">
      <c r="N886" s="6"/>
    </row>
    <row r="887">
      <c r="N887" s="6"/>
    </row>
    <row r="888">
      <c r="N888" s="6"/>
    </row>
    <row r="889">
      <c r="N889" s="6"/>
    </row>
    <row r="890">
      <c r="N890" s="6"/>
    </row>
    <row r="891">
      <c r="N891" s="6"/>
    </row>
    <row r="892">
      <c r="N892" s="6"/>
    </row>
    <row r="893">
      <c r="N893" s="6"/>
    </row>
    <row r="894">
      <c r="N894" s="6"/>
    </row>
    <row r="895">
      <c r="N895" s="6"/>
    </row>
    <row r="896">
      <c r="N896" s="6"/>
    </row>
    <row r="897">
      <c r="N897" s="6"/>
    </row>
    <row r="898">
      <c r="N898" s="6"/>
    </row>
    <row r="899">
      <c r="N899" s="6"/>
    </row>
    <row r="900">
      <c r="N900" s="6"/>
    </row>
    <row r="901">
      <c r="N901" s="6"/>
    </row>
    <row r="902">
      <c r="N902" s="6"/>
    </row>
    <row r="903">
      <c r="N903" s="6"/>
    </row>
    <row r="904">
      <c r="N904" s="6"/>
    </row>
    <row r="905">
      <c r="N905" s="6"/>
    </row>
    <row r="906">
      <c r="N906" s="6"/>
    </row>
    <row r="907">
      <c r="N907" s="6"/>
    </row>
    <row r="908">
      <c r="N908" s="6"/>
    </row>
    <row r="909">
      <c r="N909" s="6"/>
    </row>
    <row r="910">
      <c r="N910" s="6"/>
    </row>
    <row r="911">
      <c r="N911" s="6"/>
    </row>
    <row r="912">
      <c r="N912" s="6"/>
    </row>
    <row r="913">
      <c r="N913" s="6"/>
    </row>
    <row r="914">
      <c r="N914" s="6"/>
    </row>
    <row r="915">
      <c r="N915" s="6"/>
    </row>
    <row r="916">
      <c r="N916" s="6"/>
    </row>
    <row r="917">
      <c r="N917" s="6"/>
    </row>
    <row r="918">
      <c r="N918" s="6"/>
    </row>
    <row r="919">
      <c r="N919" s="6"/>
    </row>
    <row r="920">
      <c r="N920" s="6"/>
    </row>
    <row r="921">
      <c r="N921" s="6"/>
    </row>
    <row r="922">
      <c r="N922" s="6"/>
    </row>
    <row r="923">
      <c r="N923" s="6"/>
    </row>
    <row r="924">
      <c r="N924" s="6"/>
    </row>
    <row r="925">
      <c r="N925" s="6"/>
    </row>
    <row r="926">
      <c r="N926" s="6"/>
    </row>
    <row r="927">
      <c r="N927" s="6"/>
    </row>
    <row r="928">
      <c r="N928" s="6"/>
    </row>
    <row r="929">
      <c r="N929" s="6"/>
    </row>
    <row r="930">
      <c r="N930" s="6"/>
    </row>
    <row r="931">
      <c r="N931" s="6"/>
    </row>
    <row r="932">
      <c r="N932" s="6"/>
    </row>
    <row r="933">
      <c r="N933" s="6"/>
    </row>
    <row r="934">
      <c r="N934" s="6"/>
    </row>
    <row r="935">
      <c r="N935" s="6"/>
    </row>
    <row r="936">
      <c r="N936" s="6"/>
    </row>
    <row r="937">
      <c r="N937" s="6"/>
    </row>
    <row r="938">
      <c r="N938" s="6"/>
    </row>
    <row r="939">
      <c r="N939" s="6"/>
    </row>
    <row r="940">
      <c r="N940" s="6"/>
    </row>
    <row r="941">
      <c r="N941" s="6"/>
    </row>
    <row r="942">
      <c r="N942" s="6"/>
    </row>
    <row r="943">
      <c r="N943" s="6"/>
    </row>
    <row r="944">
      <c r="N944" s="6"/>
    </row>
    <row r="945">
      <c r="N945" s="6"/>
    </row>
    <row r="946">
      <c r="N946" s="6"/>
    </row>
    <row r="947">
      <c r="N947" s="6"/>
    </row>
    <row r="948">
      <c r="N948" s="6"/>
    </row>
    <row r="949">
      <c r="N949" s="6"/>
    </row>
    <row r="950">
      <c r="N950" s="6"/>
    </row>
    <row r="951">
      <c r="N951" s="6"/>
    </row>
    <row r="952">
      <c r="N952" s="6"/>
    </row>
    <row r="953">
      <c r="N953" s="6"/>
    </row>
    <row r="954">
      <c r="N954" s="6"/>
    </row>
    <row r="955">
      <c r="N955" s="6"/>
    </row>
    <row r="956">
      <c r="N956" s="6"/>
    </row>
    <row r="957">
      <c r="N957" s="6"/>
    </row>
    <row r="958">
      <c r="N958" s="6"/>
    </row>
    <row r="959">
      <c r="N959" s="6"/>
    </row>
    <row r="960">
      <c r="N960" s="6"/>
    </row>
    <row r="961">
      <c r="N961" s="6"/>
    </row>
    <row r="962">
      <c r="N962" s="6"/>
    </row>
    <row r="963">
      <c r="N963" s="6"/>
    </row>
    <row r="964">
      <c r="N964" s="6"/>
    </row>
    <row r="965">
      <c r="N965" s="6"/>
    </row>
    <row r="966">
      <c r="N966" s="6"/>
    </row>
    <row r="967">
      <c r="N967" s="6"/>
    </row>
    <row r="968">
      <c r="N968" s="6"/>
    </row>
    <row r="969">
      <c r="N969" s="6"/>
    </row>
    <row r="970">
      <c r="N970" s="6"/>
    </row>
    <row r="971">
      <c r="N971" s="6"/>
    </row>
    <row r="972">
      <c r="N972" s="6"/>
    </row>
    <row r="973">
      <c r="N973" s="6"/>
    </row>
    <row r="974">
      <c r="N974" s="6"/>
    </row>
    <row r="975">
      <c r="N975" s="6"/>
    </row>
    <row r="976">
      <c r="N976" s="6"/>
    </row>
    <row r="977">
      <c r="N977" s="6"/>
    </row>
    <row r="978">
      <c r="N978" s="6"/>
    </row>
    <row r="979">
      <c r="N979" s="6"/>
    </row>
    <row r="980">
      <c r="N980" s="6"/>
    </row>
    <row r="981">
      <c r="N981" s="6"/>
    </row>
    <row r="982">
      <c r="N982" s="6"/>
    </row>
    <row r="983">
      <c r="N983" s="6"/>
    </row>
    <row r="984">
      <c r="N984" s="6"/>
    </row>
    <row r="985">
      <c r="N985" s="6"/>
    </row>
    <row r="986">
      <c r="N986" s="6"/>
    </row>
    <row r="987">
      <c r="N987" s="6"/>
    </row>
    <row r="988">
      <c r="N988" s="6"/>
    </row>
    <row r="989">
      <c r="N989" s="6"/>
    </row>
    <row r="990">
      <c r="N990" s="6"/>
    </row>
    <row r="991">
      <c r="N991" s="6"/>
    </row>
    <row r="992">
      <c r="N992" s="6"/>
    </row>
    <row r="993">
      <c r="N993" s="6"/>
    </row>
    <row r="994">
      <c r="N994" s="6"/>
    </row>
    <row r="995">
      <c r="N995" s="6"/>
    </row>
    <row r="996">
      <c r="N996" s="6"/>
    </row>
    <row r="997">
      <c r="N997" s="6"/>
    </row>
    <row r="998">
      <c r="N998" s="6"/>
    </row>
    <row r="999">
      <c r="N999" s="6"/>
    </row>
    <row r="1000">
      <c r="N1000" s="6"/>
    </row>
  </sheetData>
  <autoFilter ref="$A$1:$Y$1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IFERROR(__xludf.DUMMYFUNCTION("QUERY(IMPORTHTML(""https://www.teamrankings.com/nfl/stat/rushing-attempts-per-game?date=""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12</v>
      </c>
      <c r="B2" s="31" t="str">
        <f>IFERROR(__xludf.DUMMYFUNCTION("""COMPUTED_VALUE"""),"Philadelphia")</f>
        <v>Philadelphia</v>
      </c>
      <c r="C2" s="35">
        <f>IFERROR(__xludf.DUMMYFUNCTION("""COMPUTED_VALUE"""),34.3)</f>
        <v>34.3</v>
      </c>
      <c r="D2" s="35">
        <f>IFERROR(__xludf.DUMMYFUNCTION("""COMPUTED_VALUE"""),40.0)</f>
        <v>40</v>
      </c>
      <c r="E2" s="35">
        <f>IFERROR(__xludf.DUMMYFUNCTION("""COMPUTED_VALUE"""),39.0)</f>
        <v>39</v>
      </c>
      <c r="F2" s="35">
        <f>IFERROR(__xludf.DUMMYFUNCTION("""COMPUTED_VALUE"""),36.5)</f>
        <v>36.5</v>
      </c>
      <c r="G2" s="35">
        <f>IFERROR(__xludf.DUMMYFUNCTION("""COMPUTED_VALUE"""),33.4)</f>
        <v>33.4</v>
      </c>
      <c r="H2" s="35">
        <f>IFERROR(__xludf.DUMMYFUNCTION("""COMPUTED_VALUE"""),29.2)</f>
        <v>29.2</v>
      </c>
      <c r="I2" s="4">
        <f t="shared" ref="I2:I33" si="1">AVERAGE(C2:H2)</f>
        <v>35.4</v>
      </c>
    </row>
    <row r="3">
      <c r="A3" s="30">
        <f>VLOOKUP(B3,map!B:C,2,false)</f>
        <v>29</v>
      </c>
      <c r="B3" s="31" t="str">
        <f>IFERROR(__xludf.DUMMYFUNCTION("""COMPUTED_VALUE"""),"Pittsburgh")</f>
        <v>Pittsburgh</v>
      </c>
      <c r="C3" s="35">
        <f>IFERROR(__xludf.DUMMYFUNCTION("""COMPUTED_VALUE"""),33.6)</f>
        <v>33.6</v>
      </c>
      <c r="D3" s="35">
        <f>IFERROR(__xludf.DUMMYFUNCTION("""COMPUTED_VALUE"""),32.3)</f>
        <v>32.3</v>
      </c>
      <c r="E3" s="35">
        <f>IFERROR(__xludf.DUMMYFUNCTION("""COMPUTED_VALUE"""),36.0)</f>
        <v>36</v>
      </c>
      <c r="F3" s="35">
        <f>IFERROR(__xludf.DUMMYFUNCTION("""COMPUTED_VALUE"""),31.0)</f>
        <v>31</v>
      </c>
      <c r="G3" s="35">
        <f>IFERROR(__xludf.DUMMYFUNCTION("""COMPUTED_VALUE"""),35.5)</f>
        <v>35.5</v>
      </c>
      <c r="H3" s="35">
        <f>IFERROR(__xludf.DUMMYFUNCTION("""COMPUTED_VALUE"""),28.3)</f>
        <v>28.3</v>
      </c>
      <c r="I3" s="4">
        <f t="shared" si="1"/>
        <v>32.78333333</v>
      </c>
    </row>
    <row r="4">
      <c r="A4" s="30">
        <f>VLOOKUP(B4,map!B:C,2,false)</f>
        <v>30</v>
      </c>
      <c r="B4" s="31" t="str">
        <f>IFERROR(__xludf.DUMMYFUNCTION("""COMPUTED_VALUE"""),"Baltimore")</f>
        <v>Baltimore</v>
      </c>
      <c r="C4" s="35">
        <f>IFERROR(__xludf.DUMMYFUNCTION("""COMPUTED_VALUE"""),32.5)</f>
        <v>32.5</v>
      </c>
      <c r="D4" s="35">
        <f>IFERROR(__xludf.DUMMYFUNCTION("""COMPUTED_VALUE"""),29.3)</f>
        <v>29.3</v>
      </c>
      <c r="E4" s="35">
        <f>IFERROR(__xludf.DUMMYFUNCTION("""COMPUTED_VALUE"""),21.0)</f>
        <v>21</v>
      </c>
      <c r="F4" s="35">
        <f>IFERROR(__xludf.DUMMYFUNCTION("""COMPUTED_VALUE"""),32.7)</f>
        <v>32.7</v>
      </c>
      <c r="G4" s="35">
        <f>IFERROR(__xludf.DUMMYFUNCTION("""COMPUTED_VALUE"""),32.4)</f>
        <v>32.4</v>
      </c>
      <c r="H4" s="35">
        <f>IFERROR(__xludf.DUMMYFUNCTION("""COMPUTED_VALUE"""),31.5)</f>
        <v>31.5</v>
      </c>
      <c r="I4" s="4">
        <f t="shared" si="1"/>
        <v>29.9</v>
      </c>
    </row>
    <row r="5">
      <c r="A5" s="30">
        <f>VLOOKUP(B5,map!B:C,2,false)</f>
        <v>15</v>
      </c>
      <c r="B5" s="31" t="str">
        <f>IFERROR(__xludf.DUMMYFUNCTION("""COMPUTED_VALUE"""),"Green Bay")</f>
        <v>Green Bay</v>
      </c>
      <c r="C5" s="35">
        <f>IFERROR(__xludf.DUMMYFUNCTION("""COMPUTED_VALUE"""),32.1)</f>
        <v>32.1</v>
      </c>
      <c r="D5" s="35">
        <f>IFERROR(__xludf.DUMMYFUNCTION("""COMPUTED_VALUE"""),32.3)</f>
        <v>32.3</v>
      </c>
      <c r="E5" s="35">
        <f>IFERROR(__xludf.DUMMYFUNCTION("""COMPUTED_VALUE"""),39.0)</f>
        <v>39</v>
      </c>
      <c r="F5" s="35">
        <f>IFERROR(__xludf.DUMMYFUNCTION("""COMPUTED_VALUE"""),32.5)</f>
        <v>32.5</v>
      </c>
      <c r="G5" s="35">
        <f>IFERROR(__xludf.DUMMYFUNCTION("""COMPUTED_VALUE"""),31.8)</f>
        <v>31.8</v>
      </c>
      <c r="H5" s="35">
        <f>IFERROR(__xludf.DUMMYFUNCTION("""COMPUTED_VALUE"""),26.4)</f>
        <v>26.4</v>
      </c>
      <c r="I5" s="4">
        <f t="shared" si="1"/>
        <v>32.35</v>
      </c>
    </row>
    <row r="6">
      <c r="A6" s="30">
        <f>VLOOKUP(B6,map!B:C,2,false)</f>
        <v>8</v>
      </c>
      <c r="B6" s="31" t="str">
        <f>IFERROR(__xludf.DUMMYFUNCTION("""COMPUTED_VALUE"""),"Washington")</f>
        <v>Washington</v>
      </c>
      <c r="C6" s="35">
        <f>IFERROR(__xludf.DUMMYFUNCTION("""COMPUTED_VALUE"""),31.9)</f>
        <v>31.9</v>
      </c>
      <c r="D6" s="35">
        <f>IFERROR(__xludf.DUMMYFUNCTION("""COMPUTED_VALUE"""),29.0)</f>
        <v>29</v>
      </c>
      <c r="E6" s="35">
        <f>IFERROR(__xludf.DUMMYFUNCTION("""COMPUTED_VALUE"""),32.0)</f>
        <v>32</v>
      </c>
      <c r="F6" s="35">
        <f>IFERROR(__xludf.DUMMYFUNCTION("""COMPUTED_VALUE"""),34.5)</f>
        <v>34.5</v>
      </c>
      <c r="G6" s="35">
        <f>IFERROR(__xludf.DUMMYFUNCTION("""COMPUTED_VALUE"""),29.3)</f>
        <v>29.3</v>
      </c>
      <c r="H6" s="35">
        <f>IFERROR(__xludf.DUMMYFUNCTION("""COMPUTED_VALUE"""),21.1)</f>
        <v>21.1</v>
      </c>
      <c r="I6" s="4">
        <f t="shared" si="1"/>
        <v>29.63333333</v>
      </c>
    </row>
    <row r="7">
      <c r="A7" s="30">
        <f>VLOOKUP(B7,map!B:C,2,false)</f>
        <v>2</v>
      </c>
      <c r="B7" s="31" t="str">
        <f>IFERROR(__xludf.DUMMYFUNCTION("""COMPUTED_VALUE"""),"Kansas City")</f>
        <v>Kansas City</v>
      </c>
      <c r="C7" s="35">
        <f>IFERROR(__xludf.DUMMYFUNCTION("""COMPUTED_VALUE"""),31.1)</f>
        <v>31.1</v>
      </c>
      <c r="D7" s="35">
        <f>IFERROR(__xludf.DUMMYFUNCTION("""COMPUTED_VALUE"""),35.7)</f>
        <v>35.7</v>
      </c>
      <c r="E7" s="35">
        <f>IFERROR(__xludf.DUMMYFUNCTION("""COMPUTED_VALUE"""),29.0)</f>
        <v>29</v>
      </c>
      <c r="F7" s="35">
        <f>IFERROR(__xludf.DUMMYFUNCTION("""COMPUTED_VALUE"""),30.3)</f>
        <v>30.3</v>
      </c>
      <c r="G7" s="35">
        <f>IFERROR(__xludf.DUMMYFUNCTION("""COMPUTED_VALUE"""),31.8)</f>
        <v>31.8</v>
      </c>
      <c r="H7" s="35">
        <f>IFERROR(__xludf.DUMMYFUNCTION("""COMPUTED_VALUE"""),25.6)</f>
        <v>25.6</v>
      </c>
      <c r="I7" s="4">
        <f t="shared" si="1"/>
        <v>30.58333333</v>
      </c>
    </row>
    <row r="8">
      <c r="A8" s="30">
        <f>VLOOKUP(B8,map!B:C,2,false)</f>
        <v>25</v>
      </c>
      <c r="B8" s="31" t="str">
        <f>IFERROR(__xludf.DUMMYFUNCTION("""COMPUTED_VALUE"""),"San Francisco")</f>
        <v>San Francisco</v>
      </c>
      <c r="C8" s="35">
        <f>IFERROR(__xludf.DUMMYFUNCTION("""COMPUTED_VALUE"""),31.0)</f>
        <v>31</v>
      </c>
      <c r="D8" s="35">
        <f>IFERROR(__xludf.DUMMYFUNCTION("""COMPUTED_VALUE"""),31.0)</f>
        <v>31</v>
      </c>
      <c r="E8" s="35">
        <f>IFERROR(__xludf.DUMMYFUNCTION("""COMPUTED_VALUE"""),36.0)</f>
        <v>36</v>
      </c>
      <c r="F8" s="35">
        <f>IFERROR(__xludf.DUMMYFUNCTION("""COMPUTED_VALUE"""),31.2)</f>
        <v>31.2</v>
      </c>
      <c r="G8" s="35">
        <f>IFERROR(__xludf.DUMMYFUNCTION("""COMPUTED_VALUE"""),30.7)</f>
        <v>30.7</v>
      </c>
      <c r="H8" s="35">
        <f>IFERROR(__xludf.DUMMYFUNCTION("""COMPUTED_VALUE"""),29.4)</f>
        <v>29.4</v>
      </c>
      <c r="I8" s="4">
        <f t="shared" si="1"/>
        <v>31.55</v>
      </c>
    </row>
    <row r="9">
      <c r="A9" s="30">
        <f>VLOOKUP(B9,map!B:C,2,false)</f>
        <v>5</v>
      </c>
      <c r="B9" s="31" t="str">
        <f>IFERROR(__xludf.DUMMYFUNCTION("""COMPUTED_VALUE"""),"Detroit")</f>
        <v>Detroit</v>
      </c>
      <c r="C9" s="35">
        <f>IFERROR(__xludf.DUMMYFUNCTION("""COMPUTED_VALUE"""),30.9)</f>
        <v>30.9</v>
      </c>
      <c r="D9" s="35">
        <f>IFERROR(__xludf.DUMMYFUNCTION("""COMPUTED_VALUE"""),29.0)</f>
        <v>29</v>
      </c>
      <c r="E9" s="35">
        <f>IFERROR(__xludf.DUMMYFUNCTION("""COMPUTED_VALUE"""),24.0)</f>
        <v>24</v>
      </c>
      <c r="F9" s="35">
        <f>IFERROR(__xludf.DUMMYFUNCTION("""COMPUTED_VALUE"""),27.5)</f>
        <v>27.5</v>
      </c>
      <c r="G9" s="35">
        <f>IFERROR(__xludf.DUMMYFUNCTION("""COMPUTED_VALUE"""),35.3)</f>
        <v>35.3</v>
      </c>
      <c r="H9" s="35">
        <f>IFERROR(__xludf.DUMMYFUNCTION("""COMPUTED_VALUE"""),29.0)</f>
        <v>29</v>
      </c>
      <c r="I9" s="4">
        <f t="shared" si="1"/>
        <v>29.28333333</v>
      </c>
    </row>
    <row r="10">
      <c r="A10" s="30">
        <f>VLOOKUP(B10,map!B:C,2,false)</f>
        <v>10</v>
      </c>
      <c r="B10" s="31" t="str">
        <f>IFERROR(__xludf.DUMMYFUNCTION("""COMPUTED_VALUE"""),"Miami")</f>
        <v>Miami</v>
      </c>
      <c r="C10" s="35">
        <f>IFERROR(__xludf.DUMMYFUNCTION("""COMPUTED_VALUE"""),30.4)</f>
        <v>30.4</v>
      </c>
      <c r="D10" s="35">
        <f>IFERROR(__xludf.DUMMYFUNCTION("""COMPUTED_VALUE"""),35.3)</f>
        <v>35.3</v>
      </c>
      <c r="E10" s="35">
        <f>IFERROR(__xludf.DUMMYFUNCTION("""COMPUTED_VALUE"""),25.0)</f>
        <v>25</v>
      </c>
      <c r="F10" s="35">
        <f>IFERROR(__xludf.DUMMYFUNCTION("""COMPUTED_VALUE"""),28.5)</f>
        <v>28.5</v>
      </c>
      <c r="G10" s="35">
        <f>IFERROR(__xludf.DUMMYFUNCTION("""COMPUTED_VALUE"""),33.0)</f>
        <v>33</v>
      </c>
      <c r="H10" s="35">
        <f>IFERROR(__xludf.DUMMYFUNCTION("""COMPUTED_VALUE"""),26.3)</f>
        <v>26.3</v>
      </c>
      <c r="I10" s="4">
        <f t="shared" si="1"/>
        <v>29.75</v>
      </c>
    </row>
    <row r="11">
      <c r="A11" s="30">
        <f>VLOOKUP(B11,map!B:C,2,false)</f>
        <v>7</v>
      </c>
      <c r="B11" s="31" t="str">
        <f>IFERROR(__xludf.DUMMYFUNCTION("""COMPUTED_VALUE"""),"LA Chargers")</f>
        <v>LA Chargers</v>
      </c>
      <c r="C11" s="35">
        <f>IFERROR(__xludf.DUMMYFUNCTION("""COMPUTED_VALUE"""),29.1)</f>
        <v>29.1</v>
      </c>
      <c r="D11" s="35">
        <f>IFERROR(__xludf.DUMMYFUNCTION("""COMPUTED_VALUE"""),29.7)</f>
        <v>29.7</v>
      </c>
      <c r="E11" s="35">
        <f>IFERROR(__xludf.DUMMYFUNCTION("""COMPUTED_VALUE"""),29.0)</f>
        <v>29</v>
      </c>
      <c r="F11" s="35">
        <f>IFERROR(__xludf.DUMMYFUNCTION("""COMPUTED_VALUE"""),26.7)</f>
        <v>26.7</v>
      </c>
      <c r="G11" s="35">
        <f>IFERROR(__xludf.DUMMYFUNCTION("""COMPUTED_VALUE"""),31.0)</f>
        <v>31</v>
      </c>
      <c r="H11" s="35">
        <f>IFERROR(__xludf.DUMMYFUNCTION("""COMPUTED_VALUE"""),25.4)</f>
        <v>25.4</v>
      </c>
      <c r="I11" s="4">
        <f t="shared" si="1"/>
        <v>28.48333333</v>
      </c>
    </row>
    <row r="12">
      <c r="A12" s="30">
        <f>VLOOKUP(B12,map!B:C,2,false)</f>
        <v>31</v>
      </c>
      <c r="B12" s="31" t="str">
        <f>IFERROR(__xludf.DUMMYFUNCTION("""COMPUTED_VALUE"""),"Chicago")</f>
        <v>Chicago</v>
      </c>
      <c r="C12" s="35">
        <f>IFERROR(__xludf.DUMMYFUNCTION("""COMPUTED_VALUE"""),28.9)</f>
        <v>28.9</v>
      </c>
      <c r="D12" s="35">
        <f>IFERROR(__xludf.DUMMYFUNCTION("""COMPUTED_VALUE"""),34.0)</f>
        <v>34</v>
      </c>
      <c r="E12" s="35">
        <f>IFERROR(__xludf.DUMMYFUNCTION("""COMPUTED_VALUE"""),34.0)</f>
        <v>34</v>
      </c>
      <c r="F12" s="35">
        <f>IFERROR(__xludf.DUMMYFUNCTION("""COMPUTED_VALUE"""),29.7)</f>
        <v>29.7</v>
      </c>
      <c r="G12" s="35">
        <f>IFERROR(__xludf.DUMMYFUNCTION("""COMPUTED_VALUE"""),28.3)</f>
        <v>28.3</v>
      </c>
      <c r="H12" s="35">
        <f>IFERROR(__xludf.DUMMYFUNCTION("""COMPUTED_VALUE"""),31.4)</f>
        <v>31.4</v>
      </c>
      <c r="I12" s="4">
        <f t="shared" si="1"/>
        <v>31.05</v>
      </c>
    </row>
    <row r="13">
      <c r="A13" s="30">
        <f>VLOOKUP(B13,map!B:C,2,false)</f>
        <v>11</v>
      </c>
      <c r="B13" s="31" t="str">
        <f>IFERROR(__xludf.DUMMYFUNCTION("""COMPUTED_VALUE"""),"Buffalo")</f>
        <v>Buffalo</v>
      </c>
      <c r="C13" s="35">
        <f>IFERROR(__xludf.DUMMYFUNCTION("""COMPUTED_VALUE"""),28.3)</f>
        <v>28.3</v>
      </c>
      <c r="D13" s="35">
        <f>IFERROR(__xludf.DUMMYFUNCTION("""COMPUTED_VALUE"""),29.0)</f>
        <v>29</v>
      </c>
      <c r="E13" s="35">
        <f>IFERROR(__xludf.DUMMYFUNCTION("""COMPUTED_VALUE"""),34.0)</f>
        <v>34</v>
      </c>
      <c r="F13" s="35">
        <f>IFERROR(__xludf.DUMMYFUNCTION("""COMPUTED_VALUE"""),27.3)</f>
        <v>27.3</v>
      </c>
      <c r="G13" s="35">
        <f>IFERROR(__xludf.DUMMYFUNCTION("""COMPUTED_VALUE"""),28.8)</f>
        <v>28.8</v>
      </c>
      <c r="H13" s="35">
        <f>IFERROR(__xludf.DUMMYFUNCTION("""COMPUTED_VALUE"""),30.8)</f>
        <v>30.8</v>
      </c>
      <c r="I13" s="4">
        <f t="shared" si="1"/>
        <v>29.7</v>
      </c>
    </row>
    <row r="14">
      <c r="A14" s="30">
        <f>VLOOKUP(B14,map!B:C,2,false)</f>
        <v>17</v>
      </c>
      <c r="B14" s="31" t="str">
        <f>IFERROR(__xludf.DUMMYFUNCTION("""COMPUTED_VALUE"""),"Houston")</f>
        <v>Houston</v>
      </c>
      <c r="C14" s="35">
        <f>IFERROR(__xludf.DUMMYFUNCTION("""COMPUTED_VALUE"""),27.5)</f>
        <v>27.5</v>
      </c>
      <c r="D14" s="35">
        <f>IFERROR(__xludf.DUMMYFUNCTION("""COMPUTED_VALUE"""),30.0)</f>
        <v>30</v>
      </c>
      <c r="E14" s="35">
        <f>IFERROR(__xludf.DUMMYFUNCTION("""COMPUTED_VALUE"""),29.0)</f>
        <v>29</v>
      </c>
      <c r="F14" s="35">
        <f>IFERROR(__xludf.DUMMYFUNCTION("""COMPUTED_VALUE"""),26.3)</f>
        <v>26.3</v>
      </c>
      <c r="G14" s="35">
        <f>IFERROR(__xludf.DUMMYFUNCTION("""COMPUTED_VALUE"""),28.8)</f>
        <v>28.8</v>
      </c>
      <c r="H14" s="35">
        <f>IFERROR(__xludf.DUMMYFUNCTION("""COMPUTED_VALUE"""),25.3)</f>
        <v>25.3</v>
      </c>
      <c r="I14" s="4">
        <f t="shared" si="1"/>
        <v>27.81666667</v>
      </c>
    </row>
    <row r="15">
      <c r="A15" s="30">
        <f>VLOOKUP(B15,map!B:C,2,false)</f>
        <v>21</v>
      </c>
      <c r="B15" s="31" t="str">
        <f>IFERROR(__xludf.DUMMYFUNCTION("""COMPUTED_VALUE"""),"Arizona")</f>
        <v>Arizona</v>
      </c>
      <c r="C15" s="35">
        <f>IFERROR(__xludf.DUMMYFUNCTION("""COMPUTED_VALUE"""),27.4)</f>
        <v>27.4</v>
      </c>
      <c r="D15" s="35">
        <f>IFERROR(__xludf.DUMMYFUNCTION("""COMPUTED_VALUE"""),26.0)</f>
        <v>26</v>
      </c>
      <c r="E15" s="35">
        <f>IFERROR(__xludf.DUMMYFUNCTION("""COMPUTED_VALUE"""),26.0)</f>
        <v>26</v>
      </c>
      <c r="F15" s="35">
        <f>IFERROR(__xludf.DUMMYFUNCTION("""COMPUTED_VALUE"""),29.8)</f>
        <v>29.8</v>
      </c>
      <c r="G15" s="35">
        <f>IFERROR(__xludf.DUMMYFUNCTION("""COMPUTED_VALUE"""),25.0)</f>
        <v>25</v>
      </c>
      <c r="H15" s="35">
        <f>IFERROR(__xludf.DUMMYFUNCTION("""COMPUTED_VALUE"""),27.7)</f>
        <v>27.7</v>
      </c>
      <c r="I15" s="4">
        <f t="shared" si="1"/>
        <v>26.98333333</v>
      </c>
    </row>
    <row r="16">
      <c r="A16" s="30">
        <f>VLOOKUP(B16,map!B:C,2,false)</f>
        <v>20</v>
      </c>
      <c r="B16" s="31" t="str">
        <f>IFERROR(__xludf.DUMMYFUNCTION("""COMPUTED_VALUE"""),"Indianapolis")</f>
        <v>Indianapolis</v>
      </c>
      <c r="C16" s="35">
        <f>IFERROR(__xludf.DUMMYFUNCTION("""COMPUTED_VALUE"""),27.0)</f>
        <v>27</v>
      </c>
      <c r="D16" s="35">
        <f>IFERROR(__xludf.DUMMYFUNCTION("""COMPUTED_VALUE"""),30.3)</f>
        <v>30.3</v>
      </c>
      <c r="E16" s="35">
        <f>IFERROR(__xludf.DUMMYFUNCTION("""COMPUTED_VALUE"""),26.0)</f>
        <v>26</v>
      </c>
      <c r="F16" s="35">
        <f>IFERROR(__xludf.DUMMYFUNCTION("""COMPUTED_VALUE"""),31.0)</f>
        <v>31</v>
      </c>
      <c r="G16" s="35">
        <f>IFERROR(__xludf.DUMMYFUNCTION("""COMPUTED_VALUE"""),23.0)</f>
        <v>23</v>
      </c>
      <c r="H16" s="35">
        <f>IFERROR(__xludf.DUMMYFUNCTION("""COMPUTED_VALUE"""),28.2)</f>
        <v>28.2</v>
      </c>
      <c r="I16" s="4">
        <f t="shared" si="1"/>
        <v>27.58333333</v>
      </c>
    </row>
    <row r="17">
      <c r="A17" s="30">
        <f>VLOOKUP(B17,map!B:C,2,false)</f>
        <v>9</v>
      </c>
      <c r="B17" s="31" t="str">
        <f>IFERROR(__xludf.DUMMYFUNCTION("""COMPUTED_VALUE"""),"New Orleans")</f>
        <v>New Orleans</v>
      </c>
      <c r="C17" s="35">
        <f>IFERROR(__xludf.DUMMYFUNCTION("""COMPUTED_VALUE"""),27.0)</f>
        <v>27</v>
      </c>
      <c r="D17" s="35">
        <f>IFERROR(__xludf.DUMMYFUNCTION("""COMPUTED_VALUE"""),21.0)</f>
        <v>21</v>
      </c>
      <c r="E17" s="35">
        <f>IFERROR(__xludf.DUMMYFUNCTION("""COMPUTED_VALUE"""),21.0)</f>
        <v>21</v>
      </c>
      <c r="F17" s="35">
        <f>IFERROR(__xludf.DUMMYFUNCTION("""COMPUTED_VALUE"""),27.0)</f>
        <v>27</v>
      </c>
      <c r="G17" s="35">
        <f>IFERROR(__xludf.DUMMYFUNCTION("""COMPUTED_VALUE"""),27.0)</f>
        <v>27</v>
      </c>
      <c r="H17" s="35">
        <f>IFERROR(__xludf.DUMMYFUNCTION("""COMPUTED_VALUE"""),28.2)</f>
        <v>28.2</v>
      </c>
      <c r="I17" s="4">
        <f t="shared" si="1"/>
        <v>25.2</v>
      </c>
    </row>
    <row r="18">
      <c r="A18" s="30">
        <f>VLOOKUP(B18,map!B:C,2,false)</f>
        <v>32</v>
      </c>
      <c r="B18" s="31" t="str">
        <f>IFERROR(__xludf.DUMMYFUNCTION("""COMPUTED_VALUE"""),"Tennessee")</f>
        <v>Tennessee</v>
      </c>
      <c r="C18" s="35">
        <f>IFERROR(__xludf.DUMMYFUNCTION("""COMPUTED_VALUE"""),27.0)</f>
        <v>27</v>
      </c>
      <c r="D18" s="35">
        <f>IFERROR(__xludf.DUMMYFUNCTION("""COMPUTED_VALUE"""),28.0)</f>
        <v>28</v>
      </c>
      <c r="E18" s="35">
        <f>IFERROR(__xludf.DUMMYFUNCTION("""COMPUTED_VALUE"""),32.0)</f>
        <v>32</v>
      </c>
      <c r="F18" s="35">
        <f>IFERROR(__xludf.DUMMYFUNCTION("""COMPUTED_VALUE"""),22.3)</f>
        <v>22.3</v>
      </c>
      <c r="G18" s="35">
        <f>IFERROR(__xludf.DUMMYFUNCTION("""COMPUTED_VALUE"""),30.5)</f>
        <v>30.5</v>
      </c>
      <c r="H18" s="35">
        <f>IFERROR(__xludf.DUMMYFUNCTION("""COMPUTED_VALUE"""),26.1)</f>
        <v>26.1</v>
      </c>
      <c r="I18" s="4">
        <f t="shared" si="1"/>
        <v>27.65</v>
      </c>
    </row>
    <row r="19">
      <c r="A19" s="30">
        <f>VLOOKUP(B19,map!B:C,2,false)</f>
        <v>27</v>
      </c>
      <c r="B19" s="31" t="str">
        <f>IFERROR(__xludf.DUMMYFUNCTION("""COMPUTED_VALUE"""),"Denver")</f>
        <v>Denver</v>
      </c>
      <c r="C19" s="35">
        <f>IFERROR(__xludf.DUMMYFUNCTION("""COMPUTED_VALUE"""),27.0)</f>
        <v>27</v>
      </c>
      <c r="D19" s="35">
        <f>IFERROR(__xludf.DUMMYFUNCTION("""COMPUTED_VALUE"""),28.3)</f>
        <v>28.3</v>
      </c>
      <c r="E19" s="35">
        <f>IFERROR(__xludf.DUMMYFUNCTION("""COMPUTED_VALUE"""),32.0)</f>
        <v>32</v>
      </c>
      <c r="F19" s="35">
        <f>IFERROR(__xludf.DUMMYFUNCTION("""COMPUTED_VALUE"""),24.3)</f>
        <v>24.3</v>
      </c>
      <c r="G19" s="35">
        <f>IFERROR(__xludf.DUMMYFUNCTION("""COMPUTED_VALUE"""),29.8)</f>
        <v>29.8</v>
      </c>
      <c r="H19" s="35">
        <f>IFERROR(__xludf.DUMMYFUNCTION("""COMPUTED_VALUE"""),26.5)</f>
        <v>26.5</v>
      </c>
      <c r="I19" s="4">
        <f t="shared" si="1"/>
        <v>27.98333333</v>
      </c>
    </row>
    <row r="20">
      <c r="A20" s="30">
        <f>VLOOKUP(B20,map!B:C,2,false)</f>
        <v>3</v>
      </c>
      <c r="B20" s="31" t="str">
        <f>IFERROR(__xludf.DUMMYFUNCTION("""COMPUTED_VALUE"""),"Minnesota")</f>
        <v>Minnesota</v>
      </c>
      <c r="C20" s="35">
        <f>IFERROR(__xludf.DUMMYFUNCTION("""COMPUTED_VALUE"""),26.4)</f>
        <v>26.4</v>
      </c>
      <c r="D20" s="35">
        <f>IFERROR(__xludf.DUMMYFUNCTION("""COMPUTED_VALUE"""),24.3)</f>
        <v>24.3</v>
      </c>
      <c r="E20" s="35">
        <f>IFERROR(__xludf.DUMMYFUNCTION("""COMPUTED_VALUE"""),22.0)</f>
        <v>22</v>
      </c>
      <c r="F20" s="35">
        <f>IFERROR(__xludf.DUMMYFUNCTION("""COMPUTED_VALUE"""),24.3)</f>
        <v>24.3</v>
      </c>
      <c r="G20" s="35">
        <f>IFERROR(__xludf.DUMMYFUNCTION("""COMPUTED_VALUE"""),28.0)</f>
        <v>28</v>
      </c>
      <c r="H20" s="35">
        <f>IFERROR(__xludf.DUMMYFUNCTION("""COMPUTED_VALUE"""),23.1)</f>
        <v>23.1</v>
      </c>
      <c r="I20" s="4">
        <f t="shared" si="1"/>
        <v>24.68333333</v>
      </c>
    </row>
    <row r="21">
      <c r="A21" s="30">
        <f>VLOOKUP(B21,map!B:C,2,false)</f>
        <v>18</v>
      </c>
      <c r="B21" s="31" t="str">
        <f>IFERROR(__xludf.DUMMYFUNCTION("""COMPUTED_VALUE"""),"LA Rams")</f>
        <v>LA Rams</v>
      </c>
      <c r="C21" s="35">
        <f>IFERROR(__xludf.DUMMYFUNCTION("""COMPUTED_VALUE"""),26.1)</f>
        <v>26.1</v>
      </c>
      <c r="D21" s="35">
        <f>IFERROR(__xludf.DUMMYFUNCTION("""COMPUTED_VALUE"""),29.3)</f>
        <v>29.3</v>
      </c>
      <c r="E21" s="35">
        <f>IFERROR(__xludf.DUMMYFUNCTION("""COMPUTED_VALUE"""),32.0)</f>
        <v>32</v>
      </c>
      <c r="F21" s="35">
        <f>IFERROR(__xludf.DUMMYFUNCTION("""COMPUTED_VALUE"""),28.5)</f>
        <v>28.5</v>
      </c>
      <c r="G21" s="35">
        <f>IFERROR(__xludf.DUMMYFUNCTION("""COMPUTED_VALUE"""),23.0)</f>
        <v>23</v>
      </c>
      <c r="H21" s="35">
        <f>IFERROR(__xludf.DUMMYFUNCTION("""COMPUTED_VALUE"""),27.4)</f>
        <v>27.4</v>
      </c>
      <c r="I21" s="4">
        <f t="shared" si="1"/>
        <v>27.71666667</v>
      </c>
    </row>
    <row r="22">
      <c r="A22" s="30">
        <f>VLOOKUP(B22,map!B:C,2,false)</f>
        <v>26</v>
      </c>
      <c r="B22" s="31" t="str">
        <f>IFERROR(__xludf.DUMMYFUNCTION("""COMPUTED_VALUE"""),"NY Giants")</f>
        <v>NY Giants</v>
      </c>
      <c r="C22" s="35">
        <f>IFERROR(__xludf.DUMMYFUNCTION("""COMPUTED_VALUE"""),26.0)</f>
        <v>26</v>
      </c>
      <c r="D22" s="35">
        <f>IFERROR(__xludf.DUMMYFUNCTION("""COMPUTED_VALUE"""),27.7)</f>
        <v>27.7</v>
      </c>
      <c r="E22" s="35">
        <f>IFERROR(__xludf.DUMMYFUNCTION("""COMPUTED_VALUE"""),18.0)</f>
        <v>18</v>
      </c>
      <c r="F22" s="35">
        <f>IFERROR(__xludf.DUMMYFUNCTION("""COMPUTED_VALUE"""),23.5)</f>
        <v>23.5</v>
      </c>
      <c r="G22" s="35">
        <f>IFERROR(__xludf.DUMMYFUNCTION("""COMPUTED_VALUE"""),29.3)</f>
        <v>29.3</v>
      </c>
      <c r="H22" s="35">
        <f>IFERROR(__xludf.DUMMYFUNCTION("""COMPUTED_VALUE"""),26.7)</f>
        <v>26.7</v>
      </c>
      <c r="I22" s="4">
        <f t="shared" si="1"/>
        <v>25.2</v>
      </c>
    </row>
    <row r="23">
      <c r="A23" s="30">
        <f>VLOOKUP(B23,map!B:C,2,false)</f>
        <v>28</v>
      </c>
      <c r="B23" s="31" t="str">
        <f>IFERROR(__xludf.DUMMYFUNCTION("""COMPUTED_VALUE"""),"Atlanta")</f>
        <v>Atlanta</v>
      </c>
      <c r="C23" s="35">
        <f>IFERROR(__xludf.DUMMYFUNCTION("""COMPUTED_VALUE"""),25.9)</f>
        <v>25.9</v>
      </c>
      <c r="D23" s="35">
        <f>IFERROR(__xludf.DUMMYFUNCTION("""COMPUTED_VALUE"""),33.0)</f>
        <v>33</v>
      </c>
      <c r="E23" s="35">
        <f>IFERROR(__xludf.DUMMYFUNCTION("""COMPUTED_VALUE"""),29.0)</f>
        <v>29</v>
      </c>
      <c r="F23" s="35">
        <f>IFERROR(__xludf.DUMMYFUNCTION("""COMPUTED_VALUE"""),22.4)</f>
        <v>22.4</v>
      </c>
      <c r="G23" s="35">
        <f>IFERROR(__xludf.DUMMYFUNCTION("""COMPUTED_VALUE"""),31.7)</f>
        <v>31.7</v>
      </c>
      <c r="H23" s="35">
        <f>IFERROR(__xludf.DUMMYFUNCTION("""COMPUTED_VALUE"""),30.7)</f>
        <v>30.7</v>
      </c>
      <c r="I23" s="4">
        <f t="shared" si="1"/>
        <v>28.78333333</v>
      </c>
    </row>
    <row r="24">
      <c r="A24" s="30">
        <f>VLOOKUP(B24,map!B:C,2,false)</f>
        <v>14</v>
      </c>
      <c r="B24" s="31" t="str">
        <f>IFERROR(__xludf.DUMMYFUNCTION("""COMPUTED_VALUE"""),"Tampa Bay")</f>
        <v>Tampa Bay</v>
      </c>
      <c r="C24" s="35">
        <f>IFERROR(__xludf.DUMMYFUNCTION("""COMPUTED_VALUE"""),25.9)</f>
        <v>25.9</v>
      </c>
      <c r="D24" s="35">
        <f>IFERROR(__xludf.DUMMYFUNCTION("""COMPUTED_VALUE"""),29.0)</f>
        <v>29</v>
      </c>
      <c r="E24" s="35">
        <f>IFERROR(__xludf.DUMMYFUNCTION("""COMPUTED_VALUE"""),22.0)</f>
        <v>22</v>
      </c>
      <c r="F24" s="35">
        <f>IFERROR(__xludf.DUMMYFUNCTION("""COMPUTED_VALUE"""),24.6)</f>
        <v>24.6</v>
      </c>
      <c r="G24" s="35">
        <f>IFERROR(__xludf.DUMMYFUNCTION("""COMPUTED_VALUE"""),28.0)</f>
        <v>28</v>
      </c>
      <c r="H24" s="35">
        <f>IFERROR(__xludf.DUMMYFUNCTION("""COMPUTED_VALUE"""),25.4)</f>
        <v>25.4</v>
      </c>
      <c r="I24" s="4">
        <f t="shared" si="1"/>
        <v>25.81666667</v>
      </c>
    </row>
    <row r="25">
      <c r="A25" s="30">
        <f>VLOOKUP(B25,map!B:C,2,false)</f>
        <v>22</v>
      </c>
      <c r="B25" s="31" t="str">
        <f>IFERROR(__xludf.DUMMYFUNCTION("""COMPUTED_VALUE"""),"New England")</f>
        <v>New England</v>
      </c>
      <c r="C25" s="35">
        <f>IFERROR(__xludf.DUMMYFUNCTION("""COMPUTED_VALUE"""),25.6)</f>
        <v>25.6</v>
      </c>
      <c r="D25" s="35">
        <f>IFERROR(__xludf.DUMMYFUNCTION("""COMPUTED_VALUE"""),24.0)</f>
        <v>24</v>
      </c>
      <c r="E25" s="35">
        <f>IFERROR(__xludf.DUMMYFUNCTION("""COMPUTED_VALUE"""),31.0)</f>
        <v>31</v>
      </c>
      <c r="F25" s="35">
        <f>IFERROR(__xludf.DUMMYFUNCTION("""COMPUTED_VALUE"""),28.0)</f>
        <v>28</v>
      </c>
      <c r="G25" s="35">
        <f>IFERROR(__xludf.DUMMYFUNCTION("""COMPUTED_VALUE"""),23.3)</f>
        <v>23.3</v>
      </c>
      <c r="H25" s="35">
        <f>IFERROR(__xludf.DUMMYFUNCTION("""COMPUTED_VALUE"""),24.4)</f>
        <v>24.4</v>
      </c>
      <c r="I25" s="4">
        <f t="shared" si="1"/>
        <v>26.05</v>
      </c>
    </row>
    <row r="26">
      <c r="A26" s="30">
        <f>VLOOKUP(B26,map!B:C,2,false)</f>
        <v>6</v>
      </c>
      <c r="B26" s="31" t="str">
        <f>IFERROR(__xludf.DUMMYFUNCTION("""COMPUTED_VALUE"""),"Jacksonville")</f>
        <v>Jacksonville</v>
      </c>
      <c r="C26" s="35">
        <f>IFERROR(__xludf.DUMMYFUNCTION("""COMPUTED_VALUE"""),24.1)</f>
        <v>24.1</v>
      </c>
      <c r="D26" s="35">
        <f>IFERROR(__xludf.DUMMYFUNCTION("""COMPUTED_VALUE"""),27.3)</f>
        <v>27.3</v>
      </c>
      <c r="E26" s="35">
        <f>IFERROR(__xludf.DUMMYFUNCTION("""COMPUTED_VALUE"""),23.0)</f>
        <v>23</v>
      </c>
      <c r="F26" s="35">
        <f>IFERROR(__xludf.DUMMYFUNCTION("""COMPUTED_VALUE"""),22.3)</f>
        <v>22.3</v>
      </c>
      <c r="G26" s="35">
        <f>IFERROR(__xludf.DUMMYFUNCTION("""COMPUTED_VALUE"""),25.2)</f>
        <v>25.2</v>
      </c>
      <c r="H26" s="35">
        <f>IFERROR(__xludf.DUMMYFUNCTION("""COMPUTED_VALUE"""),26.6)</f>
        <v>26.6</v>
      </c>
      <c r="I26" s="4">
        <f t="shared" si="1"/>
        <v>24.75</v>
      </c>
    </row>
    <row r="27">
      <c r="A27" s="30">
        <f>VLOOKUP(B27,map!B:C,2,false)</f>
        <v>23</v>
      </c>
      <c r="B27" s="31" t="str">
        <f>IFERROR(__xludf.DUMMYFUNCTION("""COMPUTED_VALUE"""),"Carolina")</f>
        <v>Carolina</v>
      </c>
      <c r="C27" s="35">
        <f>IFERROR(__xludf.DUMMYFUNCTION("""COMPUTED_VALUE"""),23.0)</f>
        <v>23</v>
      </c>
      <c r="D27" s="35">
        <f>IFERROR(__xludf.DUMMYFUNCTION("""COMPUTED_VALUE"""),22.3)</f>
        <v>22.3</v>
      </c>
      <c r="E27" s="35">
        <f>IFERROR(__xludf.DUMMYFUNCTION("""COMPUTED_VALUE"""),20.0)</f>
        <v>20</v>
      </c>
      <c r="F27" s="35">
        <f>IFERROR(__xludf.DUMMYFUNCTION("""COMPUTED_VALUE"""),23.7)</f>
        <v>23.7</v>
      </c>
      <c r="G27" s="35">
        <f>IFERROR(__xludf.DUMMYFUNCTION("""COMPUTED_VALUE"""),22.6)</f>
        <v>22.6</v>
      </c>
      <c r="H27" s="35">
        <f>IFERROR(__xludf.DUMMYFUNCTION("""COMPUTED_VALUE"""),26.2)</f>
        <v>26.2</v>
      </c>
      <c r="I27" s="4">
        <f t="shared" si="1"/>
        <v>22.96666667</v>
      </c>
    </row>
    <row r="28">
      <c r="A28" s="30">
        <f>VLOOKUP(B28,map!B:C,2,false)</f>
        <v>16</v>
      </c>
      <c r="B28" s="31" t="str">
        <f>IFERROR(__xludf.DUMMYFUNCTION("""COMPUTED_VALUE"""),"Cleveland")</f>
        <v>Cleveland</v>
      </c>
      <c r="C28" s="35">
        <f>IFERROR(__xludf.DUMMYFUNCTION("""COMPUTED_VALUE"""),22.5)</f>
        <v>22.5</v>
      </c>
      <c r="D28" s="35">
        <f>IFERROR(__xludf.DUMMYFUNCTION("""COMPUTED_VALUE"""),23.0)</f>
        <v>23</v>
      </c>
      <c r="E28" s="35">
        <f>IFERROR(__xludf.DUMMYFUNCTION("""COMPUTED_VALUE"""),23.0)</f>
        <v>23</v>
      </c>
      <c r="F28" s="35">
        <f>IFERROR(__xludf.DUMMYFUNCTION("""COMPUTED_VALUE"""),20.3)</f>
        <v>20.3</v>
      </c>
      <c r="G28" s="35">
        <f>IFERROR(__xludf.DUMMYFUNCTION("""COMPUTED_VALUE"""),24.8)</f>
        <v>24.8</v>
      </c>
      <c r="H28" s="35">
        <f>IFERROR(__xludf.DUMMYFUNCTION("""COMPUTED_VALUE"""),29.9)</f>
        <v>29.9</v>
      </c>
      <c r="I28" s="4">
        <f t="shared" si="1"/>
        <v>23.91666667</v>
      </c>
    </row>
    <row r="29">
      <c r="A29" s="30">
        <f>VLOOKUP(B29,map!B:C,2,false)</f>
        <v>24</v>
      </c>
      <c r="B29" s="31" t="str">
        <f>IFERROR(__xludf.DUMMYFUNCTION("""COMPUTED_VALUE"""),"Las Vegas")</f>
        <v>Las Vegas</v>
      </c>
      <c r="C29" s="35">
        <f>IFERROR(__xludf.DUMMYFUNCTION("""COMPUTED_VALUE"""),22.3)</f>
        <v>22.3</v>
      </c>
      <c r="D29" s="35">
        <f>IFERROR(__xludf.DUMMYFUNCTION("""COMPUTED_VALUE"""),23.0)</f>
        <v>23</v>
      </c>
      <c r="E29" s="35">
        <f>IFERROR(__xludf.DUMMYFUNCTION("""COMPUTED_VALUE"""),21.0)</f>
        <v>21</v>
      </c>
      <c r="F29" s="35">
        <f>IFERROR(__xludf.DUMMYFUNCTION("""COMPUTED_VALUE"""),21.3)</f>
        <v>21.3</v>
      </c>
      <c r="G29" s="35">
        <f>IFERROR(__xludf.DUMMYFUNCTION("""COMPUTED_VALUE"""),23.3)</f>
        <v>23.3</v>
      </c>
      <c r="H29" s="35">
        <f>IFERROR(__xludf.DUMMYFUNCTION("""COMPUTED_VALUE"""),24.3)</f>
        <v>24.3</v>
      </c>
      <c r="I29" s="4">
        <f t="shared" si="1"/>
        <v>22.53333333</v>
      </c>
    </row>
    <row r="30">
      <c r="A30" s="30">
        <f>VLOOKUP(B30,map!B:C,2,false)</f>
        <v>4</v>
      </c>
      <c r="B30" s="31" t="str">
        <f>IFERROR(__xludf.DUMMYFUNCTION("""COMPUTED_VALUE"""),"Cincinnati")</f>
        <v>Cincinnati</v>
      </c>
      <c r="C30" s="35">
        <f>IFERROR(__xludf.DUMMYFUNCTION("""COMPUTED_VALUE"""),22.1)</f>
        <v>22.1</v>
      </c>
      <c r="D30" s="35">
        <f>IFERROR(__xludf.DUMMYFUNCTION("""COMPUTED_VALUE"""),21.7)</f>
        <v>21.7</v>
      </c>
      <c r="E30" s="35">
        <f>IFERROR(__xludf.DUMMYFUNCTION("""COMPUTED_VALUE"""),20.0)</f>
        <v>20</v>
      </c>
      <c r="F30" s="35">
        <f>IFERROR(__xludf.DUMMYFUNCTION("""COMPUTED_VALUE"""),19.8)</f>
        <v>19.8</v>
      </c>
      <c r="G30" s="35">
        <f>IFERROR(__xludf.DUMMYFUNCTION("""COMPUTED_VALUE"""),24.5)</f>
        <v>24.5</v>
      </c>
      <c r="H30" s="35">
        <f>IFERROR(__xludf.DUMMYFUNCTION("""COMPUTED_VALUE"""),22.5)</f>
        <v>22.5</v>
      </c>
      <c r="I30" s="4">
        <f t="shared" si="1"/>
        <v>21.76666667</v>
      </c>
    </row>
    <row r="31">
      <c r="A31" s="30">
        <f>VLOOKUP(B31,map!B:C,2,false)</f>
        <v>19</v>
      </c>
      <c r="B31" s="31" t="str">
        <f>IFERROR(__xludf.DUMMYFUNCTION("""COMPUTED_VALUE"""),"NY Jets")</f>
        <v>NY Jets</v>
      </c>
      <c r="C31" s="35">
        <f>IFERROR(__xludf.DUMMYFUNCTION("""COMPUTED_VALUE"""),22.1)</f>
        <v>22.1</v>
      </c>
      <c r="D31" s="35">
        <f>IFERROR(__xludf.DUMMYFUNCTION("""COMPUTED_VALUE"""),21.3)</f>
        <v>21.3</v>
      </c>
      <c r="E31" s="35">
        <f>IFERROR(__xludf.DUMMYFUNCTION("""COMPUTED_VALUE"""),28.0)</f>
        <v>28</v>
      </c>
      <c r="F31" s="35">
        <f>IFERROR(__xludf.DUMMYFUNCTION("""COMPUTED_VALUE"""),25.7)</f>
        <v>25.7</v>
      </c>
      <c r="G31" s="35">
        <f>IFERROR(__xludf.DUMMYFUNCTION("""COMPUTED_VALUE"""),20.0)</f>
        <v>20</v>
      </c>
      <c r="H31" s="35">
        <f>IFERROR(__xludf.DUMMYFUNCTION("""COMPUTED_VALUE"""),22.8)</f>
        <v>22.8</v>
      </c>
      <c r="I31" s="4">
        <f t="shared" si="1"/>
        <v>23.31666667</v>
      </c>
    </row>
    <row r="32">
      <c r="A32" s="30">
        <f>VLOOKUP(B32,map!B:C,2,false)</f>
        <v>1</v>
      </c>
      <c r="B32" s="31" t="str">
        <f>IFERROR(__xludf.DUMMYFUNCTION("""COMPUTED_VALUE"""),"Dallas")</f>
        <v>Dallas</v>
      </c>
      <c r="C32" s="35">
        <f>IFERROR(__xludf.DUMMYFUNCTION("""COMPUTED_VALUE"""),21.7)</f>
        <v>21.7</v>
      </c>
      <c r="D32" s="35">
        <f>IFERROR(__xludf.DUMMYFUNCTION("""COMPUTED_VALUE"""),22.3)</f>
        <v>22.3</v>
      </c>
      <c r="E32" s="35">
        <f>IFERROR(__xludf.DUMMYFUNCTION("""COMPUTED_VALUE"""),19.0)</f>
        <v>19</v>
      </c>
      <c r="F32" s="35">
        <f>IFERROR(__xludf.DUMMYFUNCTION("""COMPUTED_VALUE"""),18.0)</f>
        <v>18</v>
      </c>
      <c r="G32" s="35">
        <f>IFERROR(__xludf.DUMMYFUNCTION("""COMPUTED_VALUE"""),24.5)</f>
        <v>24.5</v>
      </c>
      <c r="H32" s="35">
        <f>IFERROR(__xludf.DUMMYFUNCTION("""COMPUTED_VALUE"""),27.4)</f>
        <v>27.4</v>
      </c>
      <c r="I32" s="4">
        <f t="shared" si="1"/>
        <v>22.15</v>
      </c>
    </row>
    <row r="33">
      <c r="A33" s="30">
        <f>VLOOKUP(B33,map!B:C,2,false)</f>
        <v>13</v>
      </c>
      <c r="B33" s="31" t="str">
        <f>IFERROR(__xludf.DUMMYFUNCTION("""COMPUTED_VALUE"""),"Seattle")</f>
        <v>Seattle</v>
      </c>
      <c r="C33" s="35">
        <f>IFERROR(__xludf.DUMMYFUNCTION("""COMPUTED_VALUE"""),21.0)</f>
        <v>21</v>
      </c>
      <c r="D33" s="35">
        <f>IFERROR(__xludf.DUMMYFUNCTION("""COMPUTED_VALUE"""),21.0)</f>
        <v>21</v>
      </c>
      <c r="E33" s="35">
        <f>IFERROR(__xludf.DUMMYFUNCTION("""COMPUTED_VALUE"""),17.0)</f>
        <v>17</v>
      </c>
      <c r="F33" s="35">
        <f>IFERROR(__xludf.DUMMYFUNCTION("""COMPUTED_VALUE"""),20.8)</f>
        <v>20.8</v>
      </c>
      <c r="G33" s="35">
        <f>IFERROR(__xludf.DUMMYFUNCTION("""COMPUTED_VALUE"""),21.3)</f>
        <v>21.3</v>
      </c>
      <c r="H33" s="35">
        <f>IFERROR(__xludf.DUMMYFUNCTION("""COMPUTED_VALUE"""),22.5)</f>
        <v>22.5</v>
      </c>
      <c r="I33" s="4">
        <f t="shared" si="1"/>
        <v>20.6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IFERROR(__xludf.DUMMYFUNCTION("QUERY(IMPORTHTML(""https://www.teamrankings.com/nfl/stat/pass-attempts-per-game?date=""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1</v>
      </c>
      <c r="B2" s="31" t="str">
        <f>IFERROR(__xludf.DUMMYFUNCTION("""COMPUTED_VALUE"""),"Dallas")</f>
        <v>Dallas</v>
      </c>
      <c r="C2" s="35">
        <f>IFERROR(__xludf.DUMMYFUNCTION("""COMPUTED_VALUE"""),39.4)</f>
        <v>39.4</v>
      </c>
      <c r="D2" s="35">
        <f>IFERROR(__xludf.DUMMYFUNCTION("""COMPUTED_VALUE"""),41.3)</f>
        <v>41.3</v>
      </c>
      <c r="E2" s="35">
        <f>IFERROR(__xludf.DUMMYFUNCTION("""COMPUTED_VALUE"""),38.0)</f>
        <v>38</v>
      </c>
      <c r="F2" s="35">
        <f>IFERROR(__xludf.DUMMYFUNCTION("""COMPUTED_VALUE"""),45.7)</f>
        <v>45.7</v>
      </c>
      <c r="G2" s="35">
        <f>IFERROR(__xludf.DUMMYFUNCTION("""COMPUTED_VALUE"""),34.8)</f>
        <v>34.8</v>
      </c>
      <c r="H2" s="35">
        <f>IFERROR(__xludf.DUMMYFUNCTION("""COMPUTED_VALUE"""),37.4)</f>
        <v>37.4</v>
      </c>
      <c r="I2" s="4">
        <f t="shared" ref="I2:I33" si="1">AVERAGE(C2:H2)</f>
        <v>39.43333333</v>
      </c>
    </row>
    <row r="3">
      <c r="A3" s="30">
        <f>VLOOKUP(B3,map!B:C,2,false)</f>
        <v>13</v>
      </c>
      <c r="B3" s="31" t="str">
        <f>IFERROR(__xludf.DUMMYFUNCTION("""COMPUTED_VALUE"""),"Seattle")</f>
        <v>Seattle</v>
      </c>
      <c r="C3" s="35">
        <f>IFERROR(__xludf.DUMMYFUNCTION("""COMPUTED_VALUE"""),38.6)</f>
        <v>38.6</v>
      </c>
      <c r="D3" s="35">
        <f>IFERROR(__xludf.DUMMYFUNCTION("""COMPUTED_VALUE"""),36.7)</f>
        <v>36.7</v>
      </c>
      <c r="E3" s="35">
        <f>IFERROR(__xludf.DUMMYFUNCTION("""COMPUTED_VALUE"""),29.0)</f>
        <v>29</v>
      </c>
      <c r="F3" s="35">
        <f>IFERROR(__xludf.DUMMYFUNCTION("""COMPUTED_VALUE"""),36.0)</f>
        <v>36</v>
      </c>
      <c r="G3" s="35">
        <f>IFERROR(__xludf.DUMMYFUNCTION("""COMPUTED_VALUE"""),43.0)</f>
        <v>43</v>
      </c>
      <c r="H3" s="35">
        <f>IFERROR(__xludf.DUMMYFUNCTION("""COMPUTED_VALUE"""),33.8)</f>
        <v>33.8</v>
      </c>
      <c r="I3" s="4">
        <f t="shared" si="1"/>
        <v>36.18333333</v>
      </c>
    </row>
    <row r="4">
      <c r="A4" s="30">
        <f>VLOOKUP(B4,map!B:C,2,false)</f>
        <v>16</v>
      </c>
      <c r="B4" s="31" t="str">
        <f>IFERROR(__xludf.DUMMYFUNCTION("""COMPUTED_VALUE"""),"Cleveland")</f>
        <v>Cleveland</v>
      </c>
      <c r="C4" s="35">
        <f>IFERROR(__xludf.DUMMYFUNCTION("""COMPUTED_VALUE"""),36.6)</f>
        <v>36.6</v>
      </c>
      <c r="D4" s="35">
        <f>IFERROR(__xludf.DUMMYFUNCTION("""COMPUTED_VALUE"""),38.7)</f>
        <v>38.7</v>
      </c>
      <c r="E4" s="35">
        <f>IFERROR(__xludf.DUMMYFUNCTION("""COMPUTED_VALUE"""),41.0)</f>
        <v>41</v>
      </c>
      <c r="F4" s="35">
        <f>IFERROR(__xludf.DUMMYFUNCTION("""COMPUTED_VALUE"""),43.8)</f>
        <v>43.8</v>
      </c>
      <c r="G4" s="35">
        <f>IFERROR(__xludf.DUMMYFUNCTION("""COMPUTED_VALUE"""),29.5)</f>
        <v>29.5</v>
      </c>
      <c r="H4" s="35">
        <f>IFERROR(__xludf.DUMMYFUNCTION("""COMPUTED_VALUE"""),37.2)</f>
        <v>37.2</v>
      </c>
      <c r="I4" s="4">
        <f t="shared" si="1"/>
        <v>37.8</v>
      </c>
    </row>
    <row r="5">
      <c r="A5" s="30">
        <f>VLOOKUP(B5,map!B:C,2,false)</f>
        <v>19</v>
      </c>
      <c r="B5" s="31" t="str">
        <f>IFERROR(__xludf.DUMMYFUNCTION("""COMPUTED_VALUE"""),"NY Jets")</f>
        <v>NY Jets</v>
      </c>
      <c r="C5" s="35">
        <f>IFERROR(__xludf.DUMMYFUNCTION("""COMPUTED_VALUE"""),36.5)</f>
        <v>36.5</v>
      </c>
      <c r="D5" s="35">
        <f>IFERROR(__xludf.DUMMYFUNCTION("""COMPUTED_VALUE"""),34.0)</f>
        <v>34</v>
      </c>
      <c r="E5" s="35">
        <f>IFERROR(__xludf.DUMMYFUNCTION("""COMPUTED_VALUE"""),28.0)</f>
        <v>28</v>
      </c>
      <c r="F5" s="35">
        <f>IFERROR(__xludf.DUMMYFUNCTION("""COMPUTED_VALUE"""),37.3)</f>
        <v>37.3</v>
      </c>
      <c r="G5" s="35">
        <f>IFERROR(__xludf.DUMMYFUNCTION("""COMPUTED_VALUE"""),36.0)</f>
        <v>36</v>
      </c>
      <c r="H5" s="35">
        <f>IFERROR(__xludf.DUMMYFUNCTION("""COMPUTED_VALUE"""),35.4)</f>
        <v>35.4</v>
      </c>
      <c r="I5" s="4">
        <f t="shared" si="1"/>
        <v>34.53333333</v>
      </c>
    </row>
    <row r="6">
      <c r="A6" s="30">
        <f>VLOOKUP(B6,map!B:C,2,false)</f>
        <v>24</v>
      </c>
      <c r="B6" s="31" t="str">
        <f>IFERROR(__xludf.DUMMYFUNCTION("""COMPUTED_VALUE"""),"Las Vegas")</f>
        <v>Las Vegas</v>
      </c>
      <c r="C6" s="35">
        <f>IFERROR(__xludf.DUMMYFUNCTION("""COMPUTED_VALUE"""),35.8)</f>
        <v>35.8</v>
      </c>
      <c r="D6" s="35">
        <f>IFERROR(__xludf.DUMMYFUNCTION("""COMPUTED_VALUE"""),38.0)</f>
        <v>38</v>
      </c>
      <c r="E6" s="35">
        <f>IFERROR(__xludf.DUMMYFUNCTION("""COMPUTED_VALUE"""),30.0)</f>
        <v>30</v>
      </c>
      <c r="F6" s="35">
        <f>IFERROR(__xludf.DUMMYFUNCTION("""COMPUTED_VALUE"""),33.5)</f>
        <v>33.5</v>
      </c>
      <c r="G6" s="35">
        <f>IFERROR(__xludf.DUMMYFUNCTION("""COMPUTED_VALUE"""),38.0)</f>
        <v>38</v>
      </c>
      <c r="H6" s="35">
        <f>IFERROR(__xludf.DUMMYFUNCTION("""COMPUTED_VALUE"""),32.8)</f>
        <v>32.8</v>
      </c>
      <c r="I6" s="4">
        <f t="shared" si="1"/>
        <v>34.68333333</v>
      </c>
    </row>
    <row r="7">
      <c r="A7" s="30">
        <f>VLOOKUP(B7,map!B:C,2,false)</f>
        <v>26</v>
      </c>
      <c r="B7" s="31" t="str">
        <f>IFERROR(__xludf.DUMMYFUNCTION("""COMPUTED_VALUE"""),"NY Giants")</f>
        <v>NY Giants</v>
      </c>
      <c r="C7" s="35">
        <f>IFERROR(__xludf.DUMMYFUNCTION("""COMPUTED_VALUE"""),35.6)</f>
        <v>35.6</v>
      </c>
      <c r="D7" s="35">
        <f>IFERROR(__xludf.DUMMYFUNCTION("""COMPUTED_VALUE"""),34.7)</f>
        <v>34.7</v>
      </c>
      <c r="E7" s="35">
        <f>IFERROR(__xludf.DUMMYFUNCTION("""COMPUTED_VALUE"""),29.0)</f>
        <v>29</v>
      </c>
      <c r="F7" s="35">
        <f>IFERROR(__xludf.DUMMYFUNCTION("""COMPUTED_VALUE"""),38.0)</f>
        <v>38</v>
      </c>
      <c r="G7" s="35">
        <f>IFERROR(__xludf.DUMMYFUNCTION("""COMPUTED_VALUE"""),32.3)</f>
        <v>32.3</v>
      </c>
      <c r="H7" s="35">
        <f>IFERROR(__xludf.DUMMYFUNCTION("""COMPUTED_VALUE"""),30.5)</f>
        <v>30.5</v>
      </c>
      <c r="I7" s="4">
        <f t="shared" si="1"/>
        <v>33.35</v>
      </c>
    </row>
    <row r="8">
      <c r="A8" s="30">
        <f>VLOOKUP(B8,map!B:C,2,false)</f>
        <v>14</v>
      </c>
      <c r="B8" s="31" t="str">
        <f>IFERROR(__xludf.DUMMYFUNCTION("""COMPUTED_VALUE"""),"Tampa Bay")</f>
        <v>Tampa Bay</v>
      </c>
      <c r="C8" s="35">
        <f>IFERROR(__xludf.DUMMYFUNCTION("""COMPUTED_VALUE"""),35.5)</f>
        <v>35.5</v>
      </c>
      <c r="D8" s="35">
        <f>IFERROR(__xludf.DUMMYFUNCTION("""COMPUTED_VALUE"""),43.7)</f>
        <v>43.7</v>
      </c>
      <c r="E8" s="35">
        <f>IFERROR(__xludf.DUMMYFUNCTION("""COMPUTED_VALUE"""),50.0)</f>
        <v>50</v>
      </c>
      <c r="F8" s="35">
        <f>IFERROR(__xludf.DUMMYFUNCTION("""COMPUTED_VALUE"""),41.0)</f>
        <v>41</v>
      </c>
      <c r="G8" s="35">
        <f>IFERROR(__xludf.DUMMYFUNCTION("""COMPUTED_VALUE"""),26.3)</f>
        <v>26.3</v>
      </c>
      <c r="H8" s="35">
        <f>IFERROR(__xludf.DUMMYFUNCTION("""COMPUTED_VALUE"""),33.9)</f>
        <v>33.9</v>
      </c>
      <c r="I8" s="4">
        <f t="shared" si="1"/>
        <v>38.4</v>
      </c>
    </row>
    <row r="9">
      <c r="A9" s="30">
        <f>VLOOKUP(B9,map!B:C,2,false)</f>
        <v>17</v>
      </c>
      <c r="B9" s="31" t="str">
        <f>IFERROR(__xludf.DUMMYFUNCTION("""COMPUTED_VALUE"""),"Houston")</f>
        <v>Houston</v>
      </c>
      <c r="C9" s="35">
        <f>IFERROR(__xludf.DUMMYFUNCTION("""COMPUTED_VALUE"""),35.0)</f>
        <v>35</v>
      </c>
      <c r="D9" s="35">
        <f>IFERROR(__xludf.DUMMYFUNCTION("""COMPUTED_VALUE"""),30.0)</f>
        <v>30</v>
      </c>
      <c r="E9" s="35">
        <f>IFERROR(__xludf.DUMMYFUNCTION("""COMPUTED_VALUE"""),37.0)</f>
        <v>37</v>
      </c>
      <c r="F9" s="35">
        <f>IFERROR(__xludf.DUMMYFUNCTION("""COMPUTED_VALUE"""),37.8)</f>
        <v>37.8</v>
      </c>
      <c r="G9" s="35">
        <f>IFERROR(__xludf.DUMMYFUNCTION("""COMPUTED_VALUE"""),32.3)</f>
        <v>32.3</v>
      </c>
      <c r="H9" s="35">
        <f>IFERROR(__xludf.DUMMYFUNCTION("""COMPUTED_VALUE"""),34.1)</f>
        <v>34.1</v>
      </c>
      <c r="I9" s="4">
        <f t="shared" si="1"/>
        <v>34.36666667</v>
      </c>
    </row>
    <row r="10">
      <c r="A10" s="30">
        <f>VLOOKUP(B10,map!B:C,2,false)</f>
        <v>28</v>
      </c>
      <c r="B10" s="31" t="str">
        <f>IFERROR(__xludf.DUMMYFUNCTION("""COMPUTED_VALUE"""),"Atlanta")</f>
        <v>Atlanta</v>
      </c>
      <c r="C10" s="35">
        <f>IFERROR(__xludf.DUMMYFUNCTION("""COMPUTED_VALUE"""),34.1)</f>
        <v>34.1</v>
      </c>
      <c r="D10" s="35">
        <f>IFERROR(__xludf.DUMMYFUNCTION("""COMPUTED_VALUE"""),31.7)</f>
        <v>31.7</v>
      </c>
      <c r="E10" s="35">
        <f>IFERROR(__xludf.DUMMYFUNCTION("""COMPUTED_VALUE"""),29.0)</f>
        <v>29</v>
      </c>
      <c r="F10" s="35">
        <f>IFERROR(__xludf.DUMMYFUNCTION("""COMPUTED_VALUE"""),37.0)</f>
        <v>37</v>
      </c>
      <c r="G10" s="35">
        <f>IFERROR(__xludf.DUMMYFUNCTION("""COMPUTED_VALUE"""),29.3)</f>
        <v>29.3</v>
      </c>
      <c r="H10" s="35">
        <f>IFERROR(__xludf.DUMMYFUNCTION("""COMPUTED_VALUE"""),31.2)</f>
        <v>31.2</v>
      </c>
      <c r="I10" s="4">
        <f t="shared" si="1"/>
        <v>32.05</v>
      </c>
    </row>
    <row r="11">
      <c r="A11" s="30">
        <f>VLOOKUP(B11,map!B:C,2,false)</f>
        <v>18</v>
      </c>
      <c r="B11" s="31" t="str">
        <f>IFERROR(__xludf.DUMMYFUNCTION("""COMPUTED_VALUE"""),"LA Rams")</f>
        <v>LA Rams</v>
      </c>
      <c r="C11" s="35">
        <f>IFERROR(__xludf.DUMMYFUNCTION("""COMPUTED_VALUE"""),33.3)</f>
        <v>33.3</v>
      </c>
      <c r="D11" s="35">
        <f>IFERROR(__xludf.DUMMYFUNCTION("""COMPUTED_VALUE"""),34.0)</f>
        <v>34</v>
      </c>
      <c r="E11" s="35">
        <f>IFERROR(__xludf.DUMMYFUNCTION("""COMPUTED_VALUE"""),34.0)</f>
        <v>34</v>
      </c>
      <c r="F11" s="35">
        <f>IFERROR(__xludf.DUMMYFUNCTION("""COMPUTED_VALUE"""),32.0)</f>
        <v>32</v>
      </c>
      <c r="G11" s="35">
        <f>IFERROR(__xludf.DUMMYFUNCTION("""COMPUTED_VALUE"""),35.0)</f>
        <v>35</v>
      </c>
      <c r="H11" s="35">
        <f>IFERROR(__xludf.DUMMYFUNCTION("""COMPUTED_VALUE"""),34.4)</f>
        <v>34.4</v>
      </c>
      <c r="I11" s="4">
        <f t="shared" si="1"/>
        <v>33.78333333</v>
      </c>
    </row>
    <row r="12">
      <c r="A12" s="30">
        <f>VLOOKUP(B12,map!B:C,2,false)</f>
        <v>23</v>
      </c>
      <c r="B12" s="31" t="str">
        <f>IFERROR(__xludf.DUMMYFUNCTION("""COMPUTED_VALUE"""),"Carolina")</f>
        <v>Carolina</v>
      </c>
      <c r="C12" s="35">
        <f>IFERROR(__xludf.DUMMYFUNCTION("""COMPUTED_VALUE"""),33.0)</f>
        <v>33</v>
      </c>
      <c r="D12" s="35">
        <f>IFERROR(__xludf.DUMMYFUNCTION("""COMPUTED_VALUE"""),31.3)</f>
        <v>31.3</v>
      </c>
      <c r="E12" s="35">
        <f>IFERROR(__xludf.DUMMYFUNCTION("""COMPUTED_VALUE"""),38.0)</f>
        <v>38</v>
      </c>
      <c r="F12" s="35">
        <f>IFERROR(__xludf.DUMMYFUNCTION("""COMPUTED_VALUE"""),35.0)</f>
        <v>35</v>
      </c>
      <c r="G12" s="35">
        <f>IFERROR(__xludf.DUMMYFUNCTION("""COMPUTED_VALUE"""),31.8)</f>
        <v>31.8</v>
      </c>
      <c r="H12" s="35">
        <f>IFERROR(__xludf.DUMMYFUNCTION("""COMPUTED_VALUE"""),34.5)</f>
        <v>34.5</v>
      </c>
      <c r="I12" s="4">
        <f t="shared" si="1"/>
        <v>33.93333333</v>
      </c>
    </row>
    <row r="13">
      <c r="A13" s="30">
        <f>VLOOKUP(B13,map!B:C,2,false)</f>
        <v>27</v>
      </c>
      <c r="B13" s="31" t="str">
        <f>IFERROR(__xludf.DUMMYFUNCTION("""COMPUTED_VALUE"""),"Denver")</f>
        <v>Denver</v>
      </c>
      <c r="C13" s="35">
        <f>IFERROR(__xludf.DUMMYFUNCTION("""COMPUTED_VALUE"""),32.9)</f>
        <v>32.9</v>
      </c>
      <c r="D13" s="35">
        <f>IFERROR(__xludf.DUMMYFUNCTION("""COMPUTED_VALUE"""),32.7)</f>
        <v>32.7</v>
      </c>
      <c r="E13" s="35">
        <f>IFERROR(__xludf.DUMMYFUNCTION("""COMPUTED_VALUE"""),39.0)</f>
        <v>39</v>
      </c>
      <c r="F13" s="35">
        <f>IFERROR(__xludf.DUMMYFUNCTION("""COMPUTED_VALUE"""),33.5)</f>
        <v>33.5</v>
      </c>
      <c r="G13" s="35">
        <f>IFERROR(__xludf.DUMMYFUNCTION("""COMPUTED_VALUE"""),32.3)</f>
        <v>32.3</v>
      </c>
      <c r="H13" s="35">
        <f>IFERROR(__xludf.DUMMYFUNCTION("""COMPUTED_VALUE"""),30.2)</f>
        <v>30.2</v>
      </c>
      <c r="I13" s="4">
        <f t="shared" si="1"/>
        <v>33.43333333</v>
      </c>
    </row>
    <row r="14">
      <c r="A14" s="30">
        <f>VLOOKUP(B14,map!B:C,2,false)</f>
        <v>4</v>
      </c>
      <c r="B14" s="31" t="str">
        <f>IFERROR(__xludf.DUMMYFUNCTION("""COMPUTED_VALUE"""),"Cincinnati")</f>
        <v>Cincinnati</v>
      </c>
      <c r="C14" s="35">
        <f>IFERROR(__xludf.DUMMYFUNCTION("""COMPUTED_VALUE"""),32.9)</f>
        <v>32.9</v>
      </c>
      <c r="D14" s="35">
        <f>IFERROR(__xludf.DUMMYFUNCTION("""COMPUTED_VALUE"""),30.0)</f>
        <v>30</v>
      </c>
      <c r="E14" s="35">
        <f>IFERROR(__xludf.DUMMYFUNCTION("""COMPUTED_VALUE"""),37.0)</f>
        <v>37</v>
      </c>
      <c r="F14" s="35">
        <f>IFERROR(__xludf.DUMMYFUNCTION("""COMPUTED_VALUE"""),35.8)</f>
        <v>35.8</v>
      </c>
      <c r="G14" s="35">
        <f>IFERROR(__xludf.DUMMYFUNCTION("""COMPUTED_VALUE"""),30.0)</f>
        <v>30</v>
      </c>
      <c r="H14" s="35">
        <f>IFERROR(__xludf.DUMMYFUNCTION("""COMPUTED_VALUE"""),36.2)</f>
        <v>36.2</v>
      </c>
      <c r="I14" s="4">
        <f t="shared" si="1"/>
        <v>33.65</v>
      </c>
    </row>
    <row r="15">
      <c r="A15" s="30">
        <f>VLOOKUP(B15,map!B:C,2,false)</f>
        <v>10</v>
      </c>
      <c r="B15" s="31" t="str">
        <f>IFERROR(__xludf.DUMMYFUNCTION("""COMPUTED_VALUE"""),"Miami")</f>
        <v>Miami</v>
      </c>
      <c r="C15" s="35">
        <f>IFERROR(__xludf.DUMMYFUNCTION("""COMPUTED_VALUE"""),32.1)</f>
        <v>32.1</v>
      </c>
      <c r="D15" s="35">
        <f>IFERROR(__xludf.DUMMYFUNCTION("""COMPUTED_VALUE"""),31.7)</f>
        <v>31.7</v>
      </c>
      <c r="E15" s="35">
        <f>IFERROR(__xludf.DUMMYFUNCTION("""COMPUTED_VALUE"""),38.0)</f>
        <v>38</v>
      </c>
      <c r="F15" s="35">
        <f>IFERROR(__xludf.DUMMYFUNCTION("""COMPUTED_VALUE"""),34.0)</f>
        <v>34</v>
      </c>
      <c r="G15" s="35">
        <f>IFERROR(__xludf.DUMMYFUNCTION("""COMPUTED_VALUE"""),29.7)</f>
        <v>29.7</v>
      </c>
      <c r="H15" s="35">
        <f>IFERROR(__xludf.DUMMYFUNCTION("""COMPUTED_VALUE"""),33.6)</f>
        <v>33.6</v>
      </c>
      <c r="I15" s="4">
        <f t="shared" si="1"/>
        <v>33.18333333</v>
      </c>
    </row>
    <row r="16">
      <c r="A16" s="30">
        <f>VLOOKUP(B16,map!B:C,2,false)</f>
        <v>2</v>
      </c>
      <c r="B16" s="31" t="str">
        <f>IFERROR(__xludf.DUMMYFUNCTION("""COMPUTED_VALUE"""),"Kansas City")</f>
        <v>Kansas City</v>
      </c>
      <c r="C16" s="35">
        <f>IFERROR(__xludf.DUMMYFUNCTION("""COMPUTED_VALUE"""),32.1)</f>
        <v>32.1</v>
      </c>
      <c r="D16" s="35">
        <f>IFERROR(__xludf.DUMMYFUNCTION("""COMPUTED_VALUE"""),34.7)</f>
        <v>34.7</v>
      </c>
      <c r="E16" s="35">
        <f>IFERROR(__xludf.DUMMYFUNCTION("""COMPUTED_VALUE"""),38.0)</f>
        <v>38</v>
      </c>
      <c r="F16" s="35">
        <f>IFERROR(__xludf.DUMMYFUNCTION("""COMPUTED_VALUE"""),30.7)</f>
        <v>30.7</v>
      </c>
      <c r="G16" s="35">
        <f>IFERROR(__xludf.DUMMYFUNCTION("""COMPUTED_VALUE"""),33.3)</f>
        <v>33.3</v>
      </c>
      <c r="H16" s="35">
        <f>IFERROR(__xludf.DUMMYFUNCTION("""COMPUTED_VALUE"""),37.3)</f>
        <v>37.3</v>
      </c>
      <c r="I16" s="4">
        <f t="shared" si="1"/>
        <v>34.35</v>
      </c>
    </row>
    <row r="17">
      <c r="A17" s="30">
        <f>VLOOKUP(B17,map!B:C,2,false)</f>
        <v>9</v>
      </c>
      <c r="B17" s="31" t="str">
        <f>IFERROR(__xludf.DUMMYFUNCTION("""COMPUTED_VALUE"""),"New Orleans")</f>
        <v>New Orleans</v>
      </c>
      <c r="C17" s="35">
        <f>IFERROR(__xludf.DUMMYFUNCTION("""COMPUTED_VALUE"""),32.1)</f>
        <v>32.1</v>
      </c>
      <c r="D17" s="35">
        <f>IFERROR(__xludf.DUMMYFUNCTION("""COMPUTED_VALUE"""),40.3)</f>
        <v>40.3</v>
      </c>
      <c r="E17" s="35">
        <f>IFERROR(__xludf.DUMMYFUNCTION("""COMPUTED_VALUE"""),42.0)</f>
        <v>42</v>
      </c>
      <c r="F17" s="35">
        <f>IFERROR(__xludf.DUMMYFUNCTION("""COMPUTED_VALUE"""),32.0)</f>
        <v>32</v>
      </c>
      <c r="G17" s="35">
        <f>IFERROR(__xludf.DUMMYFUNCTION("""COMPUTED_VALUE"""),32.3)</f>
        <v>32.3</v>
      </c>
      <c r="H17" s="35">
        <f>IFERROR(__xludf.DUMMYFUNCTION("""COMPUTED_VALUE"""),35.6)</f>
        <v>35.6</v>
      </c>
      <c r="I17" s="4">
        <f t="shared" si="1"/>
        <v>35.71666667</v>
      </c>
    </row>
    <row r="18">
      <c r="A18" s="30">
        <f>VLOOKUP(B18,map!B:C,2,false)</f>
        <v>31</v>
      </c>
      <c r="B18" s="31" t="str">
        <f>IFERROR(__xludf.DUMMYFUNCTION("""COMPUTED_VALUE"""),"Chicago")</f>
        <v>Chicago</v>
      </c>
      <c r="C18" s="35">
        <f>IFERROR(__xludf.DUMMYFUNCTION("""COMPUTED_VALUE"""),31.9)</f>
        <v>31.9</v>
      </c>
      <c r="D18" s="35">
        <f>IFERROR(__xludf.DUMMYFUNCTION("""COMPUTED_VALUE"""),27.3)</f>
        <v>27.3</v>
      </c>
      <c r="E18" s="35">
        <f>IFERROR(__xludf.DUMMYFUNCTION("""COMPUTED_VALUE"""),24.0)</f>
        <v>24</v>
      </c>
      <c r="F18" s="35">
        <f>IFERROR(__xludf.DUMMYFUNCTION("""COMPUTED_VALUE"""),27.0)</f>
        <v>27</v>
      </c>
      <c r="G18" s="35">
        <f>IFERROR(__xludf.DUMMYFUNCTION("""COMPUTED_VALUE"""),35.5)</f>
        <v>35.5</v>
      </c>
      <c r="H18" s="35">
        <f>IFERROR(__xludf.DUMMYFUNCTION("""COMPUTED_VALUE"""),30.2)</f>
        <v>30.2</v>
      </c>
      <c r="I18" s="4">
        <f t="shared" si="1"/>
        <v>29.31666667</v>
      </c>
    </row>
    <row r="19">
      <c r="A19" s="30">
        <f>VLOOKUP(B19,map!B:C,2,false)</f>
        <v>6</v>
      </c>
      <c r="B19" s="31" t="str">
        <f>IFERROR(__xludf.DUMMYFUNCTION("""COMPUTED_VALUE"""),"Jacksonville")</f>
        <v>Jacksonville</v>
      </c>
      <c r="C19" s="35">
        <f>IFERROR(__xludf.DUMMYFUNCTION("""COMPUTED_VALUE"""),31.5)</f>
        <v>31.5</v>
      </c>
      <c r="D19" s="35">
        <f>IFERROR(__xludf.DUMMYFUNCTION("""COMPUTED_VALUE"""),29.3)</f>
        <v>29.3</v>
      </c>
      <c r="E19" s="35">
        <f>IFERROR(__xludf.DUMMYFUNCTION("""COMPUTED_VALUE"""),32.0)</f>
        <v>32</v>
      </c>
      <c r="F19" s="35">
        <f>IFERROR(__xludf.DUMMYFUNCTION("""COMPUTED_VALUE"""),32.0)</f>
        <v>32</v>
      </c>
      <c r="G19" s="35">
        <f>IFERROR(__xludf.DUMMYFUNCTION("""COMPUTED_VALUE"""),31.2)</f>
        <v>31.2</v>
      </c>
      <c r="H19" s="35">
        <f>IFERROR(__xludf.DUMMYFUNCTION("""COMPUTED_VALUE"""),36.5)</f>
        <v>36.5</v>
      </c>
      <c r="I19" s="4">
        <f t="shared" si="1"/>
        <v>32.08333333</v>
      </c>
    </row>
    <row r="20">
      <c r="A20" s="30">
        <f>VLOOKUP(B20,map!B:C,2,false)</f>
        <v>32</v>
      </c>
      <c r="B20" s="31" t="str">
        <f>IFERROR(__xludf.DUMMYFUNCTION("""COMPUTED_VALUE"""),"Tennessee")</f>
        <v>Tennessee</v>
      </c>
      <c r="C20" s="35">
        <f>IFERROR(__xludf.DUMMYFUNCTION("""COMPUTED_VALUE"""),31.4)</f>
        <v>31.4</v>
      </c>
      <c r="D20" s="35">
        <f>IFERROR(__xludf.DUMMYFUNCTION("""COMPUTED_VALUE"""),35.0)</f>
        <v>35</v>
      </c>
      <c r="E20" s="35">
        <f>IFERROR(__xludf.DUMMYFUNCTION("""COMPUTED_VALUE"""),38.0)</f>
        <v>38</v>
      </c>
      <c r="F20" s="35">
        <f>IFERROR(__xludf.DUMMYFUNCTION("""COMPUTED_VALUE"""),29.7)</f>
        <v>29.7</v>
      </c>
      <c r="G20" s="35">
        <f>IFERROR(__xludf.DUMMYFUNCTION("""COMPUTED_VALUE"""),32.8)</f>
        <v>32.8</v>
      </c>
      <c r="H20" s="35">
        <f>IFERROR(__xludf.DUMMYFUNCTION("""COMPUTED_VALUE"""),29.1)</f>
        <v>29.1</v>
      </c>
      <c r="I20" s="4">
        <f t="shared" si="1"/>
        <v>32.66666667</v>
      </c>
    </row>
    <row r="21">
      <c r="A21" s="30">
        <f>VLOOKUP(B21,map!B:C,2,false)</f>
        <v>22</v>
      </c>
      <c r="B21" s="31" t="str">
        <f>IFERROR(__xludf.DUMMYFUNCTION("""COMPUTED_VALUE"""),"New England")</f>
        <v>New England</v>
      </c>
      <c r="C21" s="35">
        <f>IFERROR(__xludf.DUMMYFUNCTION("""COMPUTED_VALUE"""),30.4)</f>
        <v>30.4</v>
      </c>
      <c r="D21" s="35">
        <f>IFERROR(__xludf.DUMMYFUNCTION("""COMPUTED_VALUE"""),33.3)</f>
        <v>33.3</v>
      </c>
      <c r="E21" s="35">
        <f>IFERROR(__xludf.DUMMYFUNCTION("""COMPUTED_VALUE"""),30.0)</f>
        <v>30</v>
      </c>
      <c r="F21" s="35">
        <f>IFERROR(__xludf.DUMMYFUNCTION("""COMPUTED_VALUE"""),31.0)</f>
        <v>31</v>
      </c>
      <c r="G21" s="35">
        <f>IFERROR(__xludf.DUMMYFUNCTION("""COMPUTED_VALUE"""),29.8)</f>
        <v>29.8</v>
      </c>
      <c r="H21" s="35">
        <f>IFERROR(__xludf.DUMMYFUNCTION("""COMPUTED_VALUE"""),32.8)</f>
        <v>32.8</v>
      </c>
      <c r="I21" s="4">
        <f t="shared" si="1"/>
        <v>31.21666667</v>
      </c>
    </row>
    <row r="22">
      <c r="A22" s="30">
        <f>VLOOKUP(B22,map!B:C,2,false)</f>
        <v>25</v>
      </c>
      <c r="B22" s="31" t="str">
        <f>IFERROR(__xludf.DUMMYFUNCTION("""COMPUTED_VALUE"""),"San Francisco")</f>
        <v>San Francisco</v>
      </c>
      <c r="C22" s="35">
        <f>IFERROR(__xludf.DUMMYFUNCTION("""COMPUTED_VALUE"""),30.3)</f>
        <v>30.3</v>
      </c>
      <c r="D22" s="35">
        <f>IFERROR(__xludf.DUMMYFUNCTION("""COMPUTED_VALUE"""),28.3)</f>
        <v>28.3</v>
      </c>
      <c r="E22" s="35">
        <f>IFERROR(__xludf.DUMMYFUNCTION("""COMPUTED_VALUE"""),26.0)</f>
        <v>26</v>
      </c>
      <c r="F22" s="35">
        <f>IFERROR(__xludf.DUMMYFUNCTION("""COMPUTED_VALUE"""),29.6)</f>
        <v>29.6</v>
      </c>
      <c r="G22" s="35">
        <f>IFERROR(__xludf.DUMMYFUNCTION("""COMPUTED_VALUE"""),31.3)</f>
        <v>31.3</v>
      </c>
      <c r="H22" s="35">
        <f>IFERROR(__xludf.DUMMYFUNCTION("""COMPUTED_VALUE"""),30.0)</f>
        <v>30</v>
      </c>
      <c r="I22" s="4">
        <f t="shared" si="1"/>
        <v>29.25</v>
      </c>
    </row>
    <row r="23">
      <c r="A23" s="30">
        <f>VLOOKUP(B23,map!B:C,2,false)</f>
        <v>20</v>
      </c>
      <c r="B23" s="31" t="str">
        <f>IFERROR(__xludf.DUMMYFUNCTION("""COMPUTED_VALUE"""),"Indianapolis")</f>
        <v>Indianapolis</v>
      </c>
      <c r="C23" s="35">
        <f>IFERROR(__xludf.DUMMYFUNCTION("""COMPUTED_VALUE"""),30.3)</f>
        <v>30.3</v>
      </c>
      <c r="D23" s="35">
        <f>IFERROR(__xludf.DUMMYFUNCTION("""COMPUTED_VALUE"""),31.3)</f>
        <v>31.3</v>
      </c>
      <c r="E23" s="35">
        <f>IFERROR(__xludf.DUMMYFUNCTION("""COMPUTED_VALUE"""),32.0)</f>
        <v>32</v>
      </c>
      <c r="F23" s="35">
        <f>IFERROR(__xludf.DUMMYFUNCTION("""COMPUTED_VALUE"""),23.3)</f>
        <v>23.3</v>
      </c>
      <c r="G23" s="35">
        <f>IFERROR(__xludf.DUMMYFUNCTION("""COMPUTED_VALUE"""),37.3)</f>
        <v>37.3</v>
      </c>
      <c r="H23" s="35">
        <f>IFERROR(__xludf.DUMMYFUNCTION("""COMPUTED_VALUE"""),33.8)</f>
        <v>33.8</v>
      </c>
      <c r="I23" s="4">
        <f t="shared" si="1"/>
        <v>31.33333333</v>
      </c>
    </row>
    <row r="24">
      <c r="A24" s="30">
        <f>VLOOKUP(B24,map!B:C,2,false)</f>
        <v>15</v>
      </c>
      <c r="B24" s="31" t="str">
        <f>IFERROR(__xludf.DUMMYFUNCTION("""COMPUTED_VALUE"""),"Green Bay")</f>
        <v>Green Bay</v>
      </c>
      <c r="C24" s="35">
        <f>IFERROR(__xludf.DUMMYFUNCTION("""COMPUTED_VALUE"""),30.0)</f>
        <v>30</v>
      </c>
      <c r="D24" s="35">
        <f>IFERROR(__xludf.DUMMYFUNCTION("""COMPUTED_VALUE"""),30.7)</f>
        <v>30.7</v>
      </c>
      <c r="E24" s="35">
        <f>IFERROR(__xludf.DUMMYFUNCTION("""COMPUTED_VALUE"""),27.0)</f>
        <v>27</v>
      </c>
      <c r="F24" s="35">
        <f>IFERROR(__xludf.DUMMYFUNCTION("""COMPUTED_VALUE"""),33.3)</f>
        <v>33.3</v>
      </c>
      <c r="G24" s="35">
        <f>IFERROR(__xludf.DUMMYFUNCTION("""COMPUTED_VALUE"""),26.8)</f>
        <v>26.8</v>
      </c>
      <c r="H24" s="35">
        <f>IFERROR(__xludf.DUMMYFUNCTION("""COMPUTED_VALUE"""),33.5)</f>
        <v>33.5</v>
      </c>
      <c r="I24" s="4">
        <f t="shared" si="1"/>
        <v>30.21666667</v>
      </c>
    </row>
    <row r="25">
      <c r="A25" s="30">
        <f>VLOOKUP(B25,map!B:C,2,false)</f>
        <v>30</v>
      </c>
      <c r="B25" s="31" t="str">
        <f>IFERROR(__xludf.DUMMYFUNCTION("""COMPUTED_VALUE"""),"Baltimore")</f>
        <v>Baltimore</v>
      </c>
      <c r="C25" s="35">
        <f>IFERROR(__xludf.DUMMYFUNCTION("""COMPUTED_VALUE"""),29.6)</f>
        <v>29.6</v>
      </c>
      <c r="D25" s="35">
        <f>IFERROR(__xludf.DUMMYFUNCTION("""COMPUTED_VALUE"""),28.7)</f>
        <v>28.7</v>
      </c>
      <c r="E25" s="35">
        <f>IFERROR(__xludf.DUMMYFUNCTION("""COMPUTED_VALUE"""),38.0)</f>
        <v>38</v>
      </c>
      <c r="F25" s="35">
        <f>IFERROR(__xludf.DUMMYFUNCTION("""COMPUTED_VALUE"""),26.3)</f>
        <v>26.3</v>
      </c>
      <c r="G25" s="35">
        <f>IFERROR(__xludf.DUMMYFUNCTION("""COMPUTED_VALUE"""),31.6)</f>
        <v>31.6</v>
      </c>
      <c r="H25" s="35">
        <f>IFERROR(__xludf.DUMMYFUNCTION("""COMPUTED_VALUE"""),29.1)</f>
        <v>29.1</v>
      </c>
      <c r="I25" s="4">
        <f t="shared" si="1"/>
        <v>30.55</v>
      </c>
    </row>
    <row r="26">
      <c r="A26" s="30">
        <f>VLOOKUP(B26,map!B:C,2,false)</f>
        <v>21</v>
      </c>
      <c r="B26" s="31" t="str">
        <f>IFERROR(__xludf.DUMMYFUNCTION("""COMPUTED_VALUE"""),"Arizona")</f>
        <v>Arizona</v>
      </c>
      <c r="C26" s="35">
        <f>IFERROR(__xludf.DUMMYFUNCTION("""COMPUTED_VALUE"""),29.0)</f>
        <v>29</v>
      </c>
      <c r="D26" s="35">
        <f>IFERROR(__xludf.DUMMYFUNCTION("""COMPUTED_VALUE"""),31.3)</f>
        <v>31.3</v>
      </c>
      <c r="E26" s="35">
        <f>IFERROR(__xludf.DUMMYFUNCTION("""COMPUTED_VALUE"""),36.0)</f>
        <v>36</v>
      </c>
      <c r="F26" s="35">
        <f>IFERROR(__xludf.DUMMYFUNCTION("""COMPUTED_VALUE"""),25.8)</f>
        <v>25.8</v>
      </c>
      <c r="G26" s="35">
        <f>IFERROR(__xludf.DUMMYFUNCTION("""COMPUTED_VALUE"""),32.3)</f>
        <v>32.3</v>
      </c>
      <c r="H26" s="35">
        <f>IFERROR(__xludf.DUMMYFUNCTION("""COMPUTED_VALUE"""),32.6)</f>
        <v>32.6</v>
      </c>
      <c r="I26" s="4">
        <f t="shared" si="1"/>
        <v>31.16666667</v>
      </c>
    </row>
    <row r="27">
      <c r="A27" s="30">
        <f>VLOOKUP(B27,map!B:C,2,false)</f>
        <v>8</v>
      </c>
      <c r="B27" s="31" t="str">
        <f>IFERROR(__xludf.DUMMYFUNCTION("""COMPUTED_VALUE"""),"Washington")</f>
        <v>Washington</v>
      </c>
      <c r="C27" s="35">
        <f>IFERROR(__xludf.DUMMYFUNCTION("""COMPUTED_VALUE"""),29.0)</f>
        <v>29</v>
      </c>
      <c r="D27" s="35">
        <f>IFERROR(__xludf.DUMMYFUNCTION("""COMPUTED_VALUE"""),32.7)</f>
        <v>32.7</v>
      </c>
      <c r="E27" s="35">
        <f>IFERROR(__xludf.DUMMYFUNCTION("""COMPUTED_VALUE"""),38.0)</f>
        <v>38</v>
      </c>
      <c r="F27" s="35">
        <f>IFERROR(__xludf.DUMMYFUNCTION("""COMPUTED_VALUE"""),30.0)</f>
        <v>30</v>
      </c>
      <c r="G27" s="35">
        <f>IFERROR(__xludf.DUMMYFUNCTION("""COMPUTED_VALUE"""),28.0)</f>
        <v>28</v>
      </c>
      <c r="H27" s="35">
        <f>IFERROR(__xludf.DUMMYFUNCTION("""COMPUTED_VALUE"""),37.4)</f>
        <v>37.4</v>
      </c>
      <c r="I27" s="4">
        <f t="shared" si="1"/>
        <v>32.51666667</v>
      </c>
    </row>
    <row r="28">
      <c r="A28" s="30">
        <f>VLOOKUP(B28,map!B:C,2,false)</f>
        <v>7</v>
      </c>
      <c r="B28" s="31" t="str">
        <f>IFERROR(__xludf.DUMMYFUNCTION("""COMPUTED_VALUE"""),"LA Chargers")</f>
        <v>LA Chargers</v>
      </c>
      <c r="C28" s="35">
        <f>IFERROR(__xludf.DUMMYFUNCTION("""COMPUTED_VALUE"""),28.3)</f>
        <v>28.3</v>
      </c>
      <c r="D28" s="35">
        <f>IFERROR(__xludf.DUMMYFUNCTION("""COMPUTED_VALUE"""),35.0)</f>
        <v>35</v>
      </c>
      <c r="E28" s="35">
        <f>IFERROR(__xludf.DUMMYFUNCTION("""COMPUTED_VALUE"""),32.0)</f>
        <v>32</v>
      </c>
      <c r="F28" s="35">
        <f>IFERROR(__xludf.DUMMYFUNCTION("""COMPUTED_VALUE"""),28.3)</f>
        <v>28.3</v>
      </c>
      <c r="G28" s="35">
        <f>IFERROR(__xludf.DUMMYFUNCTION("""COMPUTED_VALUE"""),28.3)</f>
        <v>28.3</v>
      </c>
      <c r="H28" s="35">
        <f>IFERROR(__xludf.DUMMYFUNCTION("""COMPUTED_VALUE"""),37.2)</f>
        <v>37.2</v>
      </c>
      <c r="I28" s="4">
        <f t="shared" si="1"/>
        <v>31.51666667</v>
      </c>
    </row>
    <row r="29">
      <c r="A29" s="30">
        <f>VLOOKUP(B29,map!B:C,2,false)</f>
        <v>11</v>
      </c>
      <c r="B29" s="31" t="str">
        <f>IFERROR(__xludf.DUMMYFUNCTION("""COMPUTED_VALUE"""),"Buffalo")</f>
        <v>Buffalo</v>
      </c>
      <c r="C29" s="35">
        <f>IFERROR(__xludf.DUMMYFUNCTION("""COMPUTED_VALUE"""),28.3)</f>
        <v>28.3</v>
      </c>
      <c r="D29" s="35">
        <f>IFERROR(__xludf.DUMMYFUNCTION("""COMPUTED_VALUE"""),30.7)</f>
        <v>30.7</v>
      </c>
      <c r="E29" s="35">
        <f>IFERROR(__xludf.DUMMYFUNCTION("""COMPUTED_VALUE"""),34.0)</f>
        <v>34</v>
      </c>
      <c r="F29" s="35">
        <f>IFERROR(__xludf.DUMMYFUNCTION("""COMPUTED_VALUE"""),29.0)</f>
        <v>29</v>
      </c>
      <c r="G29" s="35">
        <f>IFERROR(__xludf.DUMMYFUNCTION("""COMPUTED_VALUE"""),27.8)</f>
        <v>27.8</v>
      </c>
      <c r="H29" s="35">
        <f>IFERROR(__xludf.DUMMYFUNCTION("""COMPUTED_VALUE"""),34.1)</f>
        <v>34.1</v>
      </c>
      <c r="I29" s="4">
        <f t="shared" si="1"/>
        <v>30.65</v>
      </c>
    </row>
    <row r="30">
      <c r="A30" s="30">
        <f>VLOOKUP(B30,map!B:C,2,false)</f>
        <v>5</v>
      </c>
      <c r="B30" s="31" t="str">
        <f>IFERROR(__xludf.DUMMYFUNCTION("""COMPUTED_VALUE"""),"Detroit")</f>
        <v>Detroit</v>
      </c>
      <c r="C30" s="35">
        <f>IFERROR(__xludf.DUMMYFUNCTION("""COMPUTED_VALUE"""),28.1)</f>
        <v>28.1</v>
      </c>
      <c r="D30" s="35">
        <f>IFERROR(__xludf.DUMMYFUNCTION("""COMPUTED_VALUE"""),23.7)</f>
        <v>23.7</v>
      </c>
      <c r="E30" s="35">
        <f>IFERROR(__xludf.DUMMYFUNCTION("""COMPUTED_VALUE"""),19.0)</f>
        <v>19</v>
      </c>
      <c r="F30" s="35">
        <f>IFERROR(__xludf.DUMMYFUNCTION("""COMPUTED_VALUE"""),30.5)</f>
        <v>30.5</v>
      </c>
      <c r="G30" s="35">
        <f>IFERROR(__xludf.DUMMYFUNCTION("""COMPUTED_VALUE"""),25.0)</f>
        <v>25</v>
      </c>
      <c r="H30" s="35">
        <f>IFERROR(__xludf.DUMMYFUNCTION("""COMPUTED_VALUE"""),35.9)</f>
        <v>35.9</v>
      </c>
      <c r="I30" s="4">
        <f t="shared" si="1"/>
        <v>27.03333333</v>
      </c>
    </row>
    <row r="31">
      <c r="A31" s="30">
        <f>VLOOKUP(B31,map!B:C,2,false)</f>
        <v>12</v>
      </c>
      <c r="B31" s="31" t="str">
        <f>IFERROR(__xludf.DUMMYFUNCTION("""COMPUTED_VALUE"""),"Philadelphia")</f>
        <v>Philadelphia</v>
      </c>
      <c r="C31" s="35">
        <f>IFERROR(__xludf.DUMMYFUNCTION("""COMPUTED_VALUE"""),27.4)</f>
        <v>27.4</v>
      </c>
      <c r="D31" s="35">
        <f>IFERROR(__xludf.DUMMYFUNCTION("""COMPUTED_VALUE"""),20.0)</f>
        <v>20</v>
      </c>
      <c r="E31" s="35">
        <f>IFERROR(__xludf.DUMMYFUNCTION("""COMPUTED_VALUE"""),20.0)</f>
        <v>20</v>
      </c>
      <c r="F31" s="35">
        <f>IFERROR(__xludf.DUMMYFUNCTION("""COMPUTED_VALUE"""),27.5)</f>
        <v>27.5</v>
      </c>
      <c r="G31" s="35">
        <f>IFERROR(__xludf.DUMMYFUNCTION("""COMPUTED_VALUE"""),27.4)</f>
        <v>27.4</v>
      </c>
      <c r="H31" s="35">
        <f>IFERROR(__xludf.DUMMYFUNCTION("""COMPUTED_VALUE"""),33.2)</f>
        <v>33.2</v>
      </c>
      <c r="I31" s="4">
        <f t="shared" si="1"/>
        <v>25.91666667</v>
      </c>
    </row>
    <row r="32">
      <c r="A32" s="30">
        <f>VLOOKUP(B32,map!B:C,2,false)</f>
        <v>3</v>
      </c>
      <c r="B32" s="31" t="str">
        <f>IFERROR(__xludf.DUMMYFUNCTION("""COMPUTED_VALUE"""),"Minnesota")</f>
        <v>Minnesota</v>
      </c>
      <c r="C32" s="35">
        <f>IFERROR(__xludf.DUMMYFUNCTION("""COMPUTED_VALUE"""),27.1)</f>
        <v>27.1</v>
      </c>
      <c r="D32" s="35">
        <f>IFERROR(__xludf.DUMMYFUNCTION("""COMPUTED_VALUE"""),28.0)</f>
        <v>28</v>
      </c>
      <c r="E32" s="35">
        <f>IFERROR(__xludf.DUMMYFUNCTION("""COMPUTED_VALUE"""),25.0)</f>
        <v>25</v>
      </c>
      <c r="F32" s="35">
        <f>IFERROR(__xludf.DUMMYFUNCTION("""COMPUTED_VALUE"""),27.0)</f>
        <v>27</v>
      </c>
      <c r="G32" s="35">
        <f>IFERROR(__xludf.DUMMYFUNCTION("""COMPUTED_VALUE"""),27.3)</f>
        <v>27.3</v>
      </c>
      <c r="H32" s="35">
        <f>IFERROR(__xludf.DUMMYFUNCTION("""COMPUTED_VALUE"""),37.1)</f>
        <v>37.1</v>
      </c>
      <c r="I32" s="4">
        <f t="shared" si="1"/>
        <v>28.58333333</v>
      </c>
    </row>
    <row r="33">
      <c r="A33" s="30">
        <f>VLOOKUP(B33,map!B:C,2,false)</f>
        <v>29</v>
      </c>
      <c r="B33" s="31" t="str">
        <f>IFERROR(__xludf.DUMMYFUNCTION("""COMPUTED_VALUE"""),"Pittsburgh")</f>
        <v>Pittsburgh</v>
      </c>
      <c r="C33" s="35">
        <f>IFERROR(__xludf.DUMMYFUNCTION("""COMPUTED_VALUE"""),27.1)</f>
        <v>27.1</v>
      </c>
      <c r="D33" s="35">
        <f>IFERROR(__xludf.DUMMYFUNCTION("""COMPUTED_VALUE"""),27.0)</f>
        <v>27</v>
      </c>
      <c r="E33" s="35">
        <f>IFERROR(__xludf.DUMMYFUNCTION("""COMPUTED_VALUE"""),29.0)</f>
        <v>29</v>
      </c>
      <c r="F33" s="35">
        <f>IFERROR(__xludf.DUMMYFUNCTION("""COMPUTED_VALUE"""),29.7)</f>
        <v>29.7</v>
      </c>
      <c r="G33" s="35">
        <f>IFERROR(__xludf.DUMMYFUNCTION("""COMPUTED_VALUE"""),25.3)</f>
        <v>25.3</v>
      </c>
      <c r="H33" s="35">
        <f>IFERROR(__xludf.DUMMYFUNCTION("""COMPUTED_VALUE"""),30.3)</f>
        <v>30.3</v>
      </c>
      <c r="I33" s="4">
        <f t="shared" si="1"/>
        <v>28.06666667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IFERROR(__xludf.DUMMYFUNCTION("QUERY(IMPORTHTML(""https://www.teamrankings.com/nfl/stat/yards-per-play?date=""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30</v>
      </c>
      <c r="B2" s="31" t="str">
        <f>IFERROR(__xludf.DUMMYFUNCTION("""COMPUTED_VALUE"""),"Baltimore")</f>
        <v>Baltimore</v>
      </c>
      <c r="C2" s="35">
        <f>IFERROR(__xludf.DUMMYFUNCTION("""COMPUTED_VALUE"""),7.1)</f>
        <v>7.1</v>
      </c>
      <c r="D2" s="35">
        <f>IFERROR(__xludf.DUMMYFUNCTION("""COMPUTED_VALUE"""),7.6)</f>
        <v>7.6</v>
      </c>
      <c r="E2" s="35">
        <f>IFERROR(__xludf.DUMMYFUNCTION("""COMPUTED_VALUE"""),6.2)</f>
        <v>6.2</v>
      </c>
      <c r="F2" s="35">
        <f>IFERROR(__xludf.DUMMYFUNCTION("""COMPUTED_VALUE"""),7.1)</f>
        <v>7.1</v>
      </c>
      <c r="G2" s="35">
        <f>IFERROR(__xludf.DUMMYFUNCTION("""COMPUTED_VALUE"""),7.1)</f>
        <v>7.1</v>
      </c>
      <c r="H2" s="35">
        <f>IFERROR(__xludf.DUMMYFUNCTION("""COMPUTED_VALUE"""),5.8)</f>
        <v>5.8</v>
      </c>
      <c r="I2" s="4">
        <f t="shared" ref="I2:I33" si="1">AVERAGE(C2:H2)</f>
        <v>6.816666667</v>
      </c>
    </row>
    <row r="3">
      <c r="A3" s="30">
        <f>VLOOKUP(B3,map!B:C,2,false)</f>
        <v>25</v>
      </c>
      <c r="B3" s="31" t="str">
        <f>IFERROR(__xludf.DUMMYFUNCTION("""COMPUTED_VALUE"""),"San Francisco")</f>
        <v>San Francisco</v>
      </c>
      <c r="C3" s="35">
        <f>IFERROR(__xludf.DUMMYFUNCTION("""COMPUTED_VALUE"""),6.5)</f>
        <v>6.5</v>
      </c>
      <c r="D3" s="35">
        <f>IFERROR(__xludf.DUMMYFUNCTION("""COMPUTED_VALUE"""),7.0)</f>
        <v>7</v>
      </c>
      <c r="E3" s="35">
        <f>IFERROR(__xludf.DUMMYFUNCTION("""COMPUTED_VALUE"""),7.3)</f>
        <v>7.3</v>
      </c>
      <c r="F3" s="35">
        <f>IFERROR(__xludf.DUMMYFUNCTION("""COMPUTED_VALUE"""),6.4)</f>
        <v>6.4</v>
      </c>
      <c r="G3" s="35">
        <f>IFERROR(__xludf.DUMMYFUNCTION("""COMPUTED_VALUE"""),6.8)</f>
        <v>6.8</v>
      </c>
      <c r="H3" s="35">
        <f>IFERROR(__xludf.DUMMYFUNCTION("""COMPUTED_VALUE"""),6.5)</f>
        <v>6.5</v>
      </c>
      <c r="I3" s="4">
        <f t="shared" si="1"/>
        <v>6.75</v>
      </c>
    </row>
    <row r="4">
      <c r="A4" s="30">
        <f>VLOOKUP(B4,map!B:C,2,false)</f>
        <v>8</v>
      </c>
      <c r="B4" s="31" t="str">
        <f>IFERROR(__xludf.DUMMYFUNCTION("""COMPUTED_VALUE"""),"Washington")</f>
        <v>Washington</v>
      </c>
      <c r="C4" s="35">
        <f>IFERROR(__xludf.DUMMYFUNCTION("""COMPUTED_VALUE"""),6.3)</f>
        <v>6.3</v>
      </c>
      <c r="D4" s="35">
        <f>IFERROR(__xludf.DUMMYFUNCTION("""COMPUTED_VALUE"""),6.3)</f>
        <v>6.3</v>
      </c>
      <c r="E4" s="35">
        <f>IFERROR(__xludf.DUMMYFUNCTION("""COMPUTED_VALUE"""),6.7)</f>
        <v>6.7</v>
      </c>
      <c r="F4" s="35">
        <f>IFERROR(__xludf.DUMMYFUNCTION("""COMPUTED_VALUE"""),6.5)</f>
        <v>6.5</v>
      </c>
      <c r="G4" s="35">
        <f>IFERROR(__xludf.DUMMYFUNCTION("""COMPUTED_VALUE"""),6.0)</f>
        <v>6</v>
      </c>
      <c r="H4" s="35">
        <f>IFERROR(__xludf.DUMMYFUNCTION("""COMPUTED_VALUE"""),5.0)</f>
        <v>5</v>
      </c>
      <c r="I4" s="4">
        <f t="shared" si="1"/>
        <v>6.133333333</v>
      </c>
    </row>
    <row r="5">
      <c r="A5" s="30">
        <f>VLOOKUP(B5,map!B:C,2,false)</f>
        <v>5</v>
      </c>
      <c r="B5" s="31" t="str">
        <f>IFERROR(__xludf.DUMMYFUNCTION("""COMPUTED_VALUE"""),"Detroit")</f>
        <v>Detroit</v>
      </c>
      <c r="C5" s="35">
        <f>IFERROR(__xludf.DUMMYFUNCTION("""COMPUTED_VALUE"""),6.3)</f>
        <v>6.3</v>
      </c>
      <c r="D5" s="35">
        <f>IFERROR(__xludf.DUMMYFUNCTION("""COMPUTED_VALUE"""),6.6)</f>
        <v>6.6</v>
      </c>
      <c r="E5" s="35">
        <f>IFERROR(__xludf.DUMMYFUNCTION("""COMPUTED_VALUE"""),4.8)</f>
        <v>4.8</v>
      </c>
      <c r="F5" s="35">
        <f>IFERROR(__xludf.DUMMYFUNCTION("""COMPUTED_VALUE"""),6.0)</f>
        <v>6</v>
      </c>
      <c r="G5" s="35">
        <f>IFERROR(__xludf.DUMMYFUNCTION("""COMPUTED_VALUE"""),6.6)</f>
        <v>6.6</v>
      </c>
      <c r="H5" s="35">
        <f>IFERROR(__xludf.DUMMYFUNCTION("""COMPUTED_VALUE"""),5.9)</f>
        <v>5.9</v>
      </c>
      <c r="I5" s="4">
        <f t="shared" si="1"/>
        <v>6.033333333</v>
      </c>
    </row>
    <row r="6">
      <c r="A6" s="30">
        <f>VLOOKUP(B6,map!B:C,2,false)</f>
        <v>14</v>
      </c>
      <c r="B6" s="31" t="str">
        <f>IFERROR(__xludf.DUMMYFUNCTION("""COMPUTED_VALUE"""),"Tampa Bay")</f>
        <v>Tampa Bay</v>
      </c>
      <c r="C6" s="35">
        <f>IFERROR(__xludf.DUMMYFUNCTION("""COMPUTED_VALUE"""),6.1)</f>
        <v>6.1</v>
      </c>
      <c r="D6" s="35">
        <f>IFERROR(__xludf.DUMMYFUNCTION("""COMPUTED_VALUE"""),6.8)</f>
        <v>6.8</v>
      </c>
      <c r="E6" s="35">
        <f>IFERROR(__xludf.DUMMYFUNCTION("""COMPUTED_VALUE"""),6.0)</f>
        <v>6</v>
      </c>
      <c r="F6" s="35">
        <f>IFERROR(__xludf.DUMMYFUNCTION("""COMPUTED_VALUE"""),5.8)</f>
        <v>5.8</v>
      </c>
      <c r="G6" s="35">
        <f>IFERROR(__xludf.DUMMYFUNCTION("""COMPUTED_VALUE"""),6.7)</f>
        <v>6.7</v>
      </c>
      <c r="H6" s="35">
        <f>IFERROR(__xludf.DUMMYFUNCTION("""COMPUTED_VALUE"""),5.2)</f>
        <v>5.2</v>
      </c>
      <c r="I6" s="4">
        <f t="shared" si="1"/>
        <v>6.1</v>
      </c>
    </row>
    <row r="7">
      <c r="A7" s="30">
        <f>VLOOKUP(B7,map!B:C,2,false)</f>
        <v>15</v>
      </c>
      <c r="B7" s="31" t="str">
        <f>IFERROR(__xludf.DUMMYFUNCTION("""COMPUTED_VALUE"""),"Green Bay")</f>
        <v>Green Bay</v>
      </c>
      <c r="C7" s="35">
        <f>IFERROR(__xludf.DUMMYFUNCTION("""COMPUTED_VALUE"""),6.1)</f>
        <v>6.1</v>
      </c>
      <c r="D7" s="35">
        <f>IFERROR(__xludf.DUMMYFUNCTION("""COMPUTED_VALUE"""),5.9)</f>
        <v>5.9</v>
      </c>
      <c r="E7" s="35">
        <f>IFERROR(__xludf.DUMMYFUNCTION("""COMPUTED_VALUE"""),6.3)</f>
        <v>6.3</v>
      </c>
      <c r="F7" s="35">
        <f>IFERROR(__xludf.DUMMYFUNCTION("""COMPUTED_VALUE"""),5.9)</f>
        <v>5.9</v>
      </c>
      <c r="G7" s="35">
        <f>IFERROR(__xludf.DUMMYFUNCTION("""COMPUTED_VALUE"""),6.4)</f>
        <v>6.4</v>
      </c>
      <c r="H7" s="35">
        <f>IFERROR(__xludf.DUMMYFUNCTION("""COMPUTED_VALUE"""),5.7)</f>
        <v>5.7</v>
      </c>
      <c r="I7" s="4">
        <f t="shared" si="1"/>
        <v>6.05</v>
      </c>
    </row>
    <row r="8">
      <c r="A8" s="30">
        <f>VLOOKUP(B8,map!B:C,2,false)</f>
        <v>28</v>
      </c>
      <c r="B8" s="31" t="str">
        <f>IFERROR(__xludf.DUMMYFUNCTION("""COMPUTED_VALUE"""),"Atlanta")</f>
        <v>Atlanta</v>
      </c>
      <c r="C8" s="35">
        <f>IFERROR(__xludf.DUMMYFUNCTION("""COMPUTED_VALUE"""),6.0)</f>
        <v>6</v>
      </c>
      <c r="D8" s="35">
        <f>IFERROR(__xludf.DUMMYFUNCTION("""COMPUTED_VALUE"""),6.0)</f>
        <v>6</v>
      </c>
      <c r="E8" s="35">
        <f>IFERROR(__xludf.DUMMYFUNCTION("""COMPUTED_VALUE"""),6.6)</f>
        <v>6.6</v>
      </c>
      <c r="F8" s="35">
        <f>IFERROR(__xludf.DUMMYFUNCTION("""COMPUTED_VALUE"""),5.7)</f>
        <v>5.7</v>
      </c>
      <c r="G8" s="35">
        <f>IFERROR(__xludf.DUMMYFUNCTION("""COMPUTED_VALUE"""),6.5)</f>
        <v>6.5</v>
      </c>
      <c r="H8" s="35">
        <f>IFERROR(__xludf.DUMMYFUNCTION("""COMPUTED_VALUE"""),5.2)</f>
        <v>5.2</v>
      </c>
      <c r="I8" s="4">
        <f t="shared" si="1"/>
        <v>6</v>
      </c>
    </row>
    <row r="9">
      <c r="A9" s="30">
        <f>VLOOKUP(B9,map!B:C,2,false)</f>
        <v>21</v>
      </c>
      <c r="B9" s="31" t="str">
        <f>IFERROR(__xludf.DUMMYFUNCTION("""COMPUTED_VALUE"""),"Arizona")</f>
        <v>Arizona</v>
      </c>
      <c r="C9" s="35">
        <f>IFERROR(__xludf.DUMMYFUNCTION("""COMPUTED_VALUE"""),5.9)</f>
        <v>5.9</v>
      </c>
      <c r="D9" s="35">
        <f>IFERROR(__xludf.DUMMYFUNCTION("""COMPUTED_VALUE"""),5.9)</f>
        <v>5.9</v>
      </c>
      <c r="E9" s="35">
        <f>IFERROR(__xludf.DUMMYFUNCTION("""COMPUTED_VALUE"""),6.3)</f>
        <v>6.3</v>
      </c>
      <c r="F9" s="35">
        <f>IFERROR(__xludf.DUMMYFUNCTION("""COMPUTED_VALUE"""),6.1)</f>
        <v>6.1</v>
      </c>
      <c r="G9" s="35">
        <f>IFERROR(__xludf.DUMMYFUNCTION("""COMPUTED_VALUE"""),5.6)</f>
        <v>5.6</v>
      </c>
      <c r="H9" s="35">
        <f>IFERROR(__xludf.DUMMYFUNCTION("""COMPUTED_VALUE"""),5.2)</f>
        <v>5.2</v>
      </c>
      <c r="I9" s="4">
        <f t="shared" si="1"/>
        <v>5.833333333</v>
      </c>
    </row>
    <row r="10">
      <c r="A10" s="30">
        <f>VLOOKUP(B10,map!B:C,2,false)</f>
        <v>11</v>
      </c>
      <c r="B10" s="31" t="str">
        <f>IFERROR(__xludf.DUMMYFUNCTION("""COMPUTED_VALUE"""),"Buffalo")</f>
        <v>Buffalo</v>
      </c>
      <c r="C10" s="35">
        <f>IFERROR(__xludf.DUMMYFUNCTION("""COMPUTED_VALUE"""),5.8)</f>
        <v>5.8</v>
      </c>
      <c r="D10" s="35">
        <f>IFERROR(__xludf.DUMMYFUNCTION("""COMPUTED_VALUE"""),6.5)</f>
        <v>6.5</v>
      </c>
      <c r="E10" s="35">
        <f>IFERROR(__xludf.DUMMYFUNCTION("""COMPUTED_VALUE"""),6.4)</f>
        <v>6.4</v>
      </c>
      <c r="F10" s="35">
        <f>IFERROR(__xludf.DUMMYFUNCTION("""COMPUTED_VALUE"""),6.6)</f>
        <v>6.6</v>
      </c>
      <c r="G10" s="35">
        <f>IFERROR(__xludf.DUMMYFUNCTION("""COMPUTED_VALUE"""),5.4)</f>
        <v>5.4</v>
      </c>
      <c r="H10" s="35">
        <f>IFERROR(__xludf.DUMMYFUNCTION("""COMPUTED_VALUE"""),5.6)</f>
        <v>5.6</v>
      </c>
      <c r="I10" s="4">
        <f t="shared" si="1"/>
        <v>6.05</v>
      </c>
    </row>
    <row r="11">
      <c r="A11" s="30">
        <f>VLOOKUP(B11,map!B:C,2,false)</f>
        <v>6</v>
      </c>
      <c r="B11" s="31" t="str">
        <f>IFERROR(__xludf.DUMMYFUNCTION("""COMPUTED_VALUE"""),"Jacksonville")</f>
        <v>Jacksonville</v>
      </c>
      <c r="C11" s="35">
        <f>IFERROR(__xludf.DUMMYFUNCTION("""COMPUTED_VALUE"""),5.8)</f>
        <v>5.8</v>
      </c>
      <c r="D11" s="35">
        <f>IFERROR(__xludf.DUMMYFUNCTION("""COMPUTED_VALUE"""),5.9)</f>
        <v>5.9</v>
      </c>
      <c r="E11" s="35">
        <f>IFERROR(__xludf.DUMMYFUNCTION("""COMPUTED_VALUE"""),7.0)</f>
        <v>7</v>
      </c>
      <c r="F11" s="35">
        <f>IFERROR(__xludf.DUMMYFUNCTION("""COMPUTED_VALUE"""),7.2)</f>
        <v>7.2</v>
      </c>
      <c r="G11" s="35">
        <f>IFERROR(__xludf.DUMMYFUNCTION("""COMPUTED_VALUE"""),5.0)</f>
        <v>5</v>
      </c>
      <c r="H11" s="35">
        <f>IFERROR(__xludf.DUMMYFUNCTION("""COMPUTED_VALUE"""),5.2)</f>
        <v>5.2</v>
      </c>
      <c r="I11" s="4">
        <f t="shared" si="1"/>
        <v>6.016666667</v>
      </c>
    </row>
    <row r="12">
      <c r="A12" s="30">
        <f>VLOOKUP(B12,map!B:C,2,false)</f>
        <v>3</v>
      </c>
      <c r="B12" s="31" t="str">
        <f>IFERROR(__xludf.DUMMYFUNCTION("""COMPUTED_VALUE"""),"Minnesota")</f>
        <v>Minnesota</v>
      </c>
      <c r="C12" s="35">
        <f>IFERROR(__xludf.DUMMYFUNCTION("""COMPUTED_VALUE"""),5.7)</f>
        <v>5.7</v>
      </c>
      <c r="D12" s="35">
        <f>IFERROR(__xludf.DUMMYFUNCTION("""COMPUTED_VALUE"""),5.4)</f>
        <v>5.4</v>
      </c>
      <c r="E12" s="35">
        <f>IFERROR(__xludf.DUMMYFUNCTION("""COMPUTED_VALUE"""),5.5)</f>
        <v>5.5</v>
      </c>
      <c r="F12" s="35">
        <f>IFERROR(__xludf.DUMMYFUNCTION("""COMPUTED_VALUE"""),6.4)</f>
        <v>6.4</v>
      </c>
      <c r="G12" s="35">
        <f>IFERROR(__xludf.DUMMYFUNCTION("""COMPUTED_VALUE"""),5.3)</f>
        <v>5.3</v>
      </c>
      <c r="H12" s="35">
        <f>IFERROR(__xludf.DUMMYFUNCTION("""COMPUTED_VALUE"""),5.5)</f>
        <v>5.5</v>
      </c>
      <c r="I12" s="4">
        <f t="shared" si="1"/>
        <v>5.633333333</v>
      </c>
    </row>
    <row r="13">
      <c r="A13" s="30">
        <f>VLOOKUP(B13,map!B:C,2,false)</f>
        <v>12</v>
      </c>
      <c r="B13" s="31" t="str">
        <f>IFERROR(__xludf.DUMMYFUNCTION("""COMPUTED_VALUE"""),"Philadelphia")</f>
        <v>Philadelphia</v>
      </c>
      <c r="C13" s="35">
        <f>IFERROR(__xludf.DUMMYFUNCTION("""COMPUTED_VALUE"""),5.7)</f>
        <v>5.7</v>
      </c>
      <c r="D13" s="35">
        <f>IFERROR(__xludf.DUMMYFUNCTION("""COMPUTED_VALUE"""),6.0)</f>
        <v>6</v>
      </c>
      <c r="E13" s="35">
        <f>IFERROR(__xludf.DUMMYFUNCTION("""COMPUTED_VALUE"""),6.7)</f>
        <v>6.7</v>
      </c>
      <c r="F13" s="35">
        <f>IFERROR(__xludf.DUMMYFUNCTION("""COMPUTED_VALUE"""),5.7)</f>
        <v>5.7</v>
      </c>
      <c r="G13" s="35">
        <f>IFERROR(__xludf.DUMMYFUNCTION("""COMPUTED_VALUE"""),5.7)</f>
        <v>5.7</v>
      </c>
      <c r="H13" s="35">
        <f>IFERROR(__xludf.DUMMYFUNCTION("""COMPUTED_VALUE"""),5.4)</f>
        <v>5.4</v>
      </c>
      <c r="I13" s="4">
        <f t="shared" si="1"/>
        <v>5.866666667</v>
      </c>
    </row>
    <row r="14">
      <c r="A14" s="30">
        <f>VLOOKUP(B14,map!B:C,2,false)</f>
        <v>4</v>
      </c>
      <c r="B14" s="31" t="str">
        <f>IFERROR(__xludf.DUMMYFUNCTION("""COMPUTED_VALUE"""),"Cincinnati")</f>
        <v>Cincinnati</v>
      </c>
      <c r="C14" s="35">
        <f>IFERROR(__xludf.DUMMYFUNCTION("""COMPUTED_VALUE"""),5.7)</f>
        <v>5.7</v>
      </c>
      <c r="D14" s="35">
        <f>IFERROR(__xludf.DUMMYFUNCTION("""COMPUTED_VALUE"""),5.0)</f>
        <v>5</v>
      </c>
      <c r="E14" s="35">
        <f>IFERROR(__xludf.DUMMYFUNCTION("""COMPUTED_VALUE"""),4.8)</f>
        <v>4.8</v>
      </c>
      <c r="F14" s="35">
        <f>IFERROR(__xludf.DUMMYFUNCTION("""COMPUTED_VALUE"""),6.0)</f>
        <v>6</v>
      </c>
      <c r="G14" s="35">
        <f>IFERROR(__xludf.DUMMYFUNCTION("""COMPUTED_VALUE"""),5.4)</f>
        <v>5.4</v>
      </c>
      <c r="H14" s="35">
        <f>IFERROR(__xludf.DUMMYFUNCTION("""COMPUTED_VALUE"""),5.2)</f>
        <v>5.2</v>
      </c>
      <c r="I14" s="4">
        <f t="shared" si="1"/>
        <v>5.35</v>
      </c>
    </row>
    <row r="15">
      <c r="A15" s="30">
        <f>VLOOKUP(B15,map!B:C,2,false)</f>
        <v>13</v>
      </c>
      <c r="B15" s="31" t="str">
        <f>IFERROR(__xludf.DUMMYFUNCTION("""COMPUTED_VALUE"""),"Seattle")</f>
        <v>Seattle</v>
      </c>
      <c r="C15" s="35">
        <f>IFERROR(__xludf.DUMMYFUNCTION("""COMPUTED_VALUE"""),5.6)</f>
        <v>5.6</v>
      </c>
      <c r="D15" s="35">
        <f>IFERROR(__xludf.DUMMYFUNCTION("""COMPUTED_VALUE"""),5.3)</f>
        <v>5.3</v>
      </c>
      <c r="E15" s="35">
        <f>IFERROR(__xludf.DUMMYFUNCTION("""COMPUTED_VALUE"""),5.0)</f>
        <v>5</v>
      </c>
      <c r="F15" s="35">
        <f>IFERROR(__xludf.DUMMYFUNCTION("""COMPUTED_VALUE"""),5.4)</f>
        <v>5.4</v>
      </c>
      <c r="G15" s="35">
        <f>IFERROR(__xludf.DUMMYFUNCTION("""COMPUTED_VALUE"""),6.1)</f>
        <v>6.1</v>
      </c>
      <c r="H15" s="35">
        <f>IFERROR(__xludf.DUMMYFUNCTION("""COMPUTED_VALUE"""),5.5)</f>
        <v>5.5</v>
      </c>
      <c r="I15" s="4">
        <f t="shared" si="1"/>
        <v>5.483333333</v>
      </c>
    </row>
    <row r="16">
      <c r="A16" s="30">
        <f>VLOOKUP(B16,map!B:C,2,false)</f>
        <v>20</v>
      </c>
      <c r="B16" s="31" t="str">
        <f>IFERROR(__xludf.DUMMYFUNCTION("""COMPUTED_VALUE"""),"Indianapolis")</f>
        <v>Indianapolis</v>
      </c>
      <c r="C16" s="35">
        <f>IFERROR(__xludf.DUMMYFUNCTION("""COMPUTED_VALUE"""),5.5)</f>
        <v>5.5</v>
      </c>
      <c r="D16" s="35">
        <f>IFERROR(__xludf.DUMMYFUNCTION("""COMPUTED_VALUE"""),4.5)</f>
        <v>4.5</v>
      </c>
      <c r="E16" s="35">
        <f>IFERROR(__xludf.DUMMYFUNCTION("""COMPUTED_VALUE"""),4.8)</f>
        <v>4.8</v>
      </c>
      <c r="F16" s="35">
        <f>IFERROR(__xludf.DUMMYFUNCTION("""COMPUTED_VALUE"""),5.6)</f>
        <v>5.6</v>
      </c>
      <c r="G16" s="35">
        <f>IFERROR(__xludf.DUMMYFUNCTION("""COMPUTED_VALUE"""),5.4)</f>
        <v>5.4</v>
      </c>
      <c r="H16" s="35">
        <f>IFERROR(__xludf.DUMMYFUNCTION("""COMPUTED_VALUE"""),5.2)</f>
        <v>5.2</v>
      </c>
      <c r="I16" s="4">
        <f t="shared" si="1"/>
        <v>5.166666667</v>
      </c>
    </row>
    <row r="17">
      <c r="A17" s="30">
        <f>VLOOKUP(B17,map!B:C,2,false)</f>
        <v>17</v>
      </c>
      <c r="B17" s="31" t="str">
        <f>IFERROR(__xludf.DUMMYFUNCTION("""COMPUTED_VALUE"""),"Houston")</f>
        <v>Houston</v>
      </c>
      <c r="C17" s="35">
        <f>IFERROR(__xludf.DUMMYFUNCTION("""COMPUTED_VALUE"""),5.4)</f>
        <v>5.4</v>
      </c>
      <c r="D17" s="35">
        <f>IFERROR(__xludf.DUMMYFUNCTION("""COMPUTED_VALUE"""),4.9)</f>
        <v>4.9</v>
      </c>
      <c r="E17" s="35">
        <f>IFERROR(__xludf.DUMMYFUNCTION("""COMPUTED_VALUE"""),5.3)</f>
        <v>5.3</v>
      </c>
      <c r="F17" s="35">
        <f>IFERROR(__xludf.DUMMYFUNCTION("""COMPUTED_VALUE"""),5.8)</f>
        <v>5.8</v>
      </c>
      <c r="G17" s="35">
        <f>IFERROR(__xludf.DUMMYFUNCTION("""COMPUTED_VALUE"""),4.9)</f>
        <v>4.9</v>
      </c>
      <c r="H17" s="35">
        <f>IFERROR(__xludf.DUMMYFUNCTION("""COMPUTED_VALUE"""),5.4)</f>
        <v>5.4</v>
      </c>
      <c r="I17" s="4">
        <f t="shared" si="1"/>
        <v>5.283333333</v>
      </c>
    </row>
    <row r="18">
      <c r="A18" s="30">
        <f>VLOOKUP(B18,map!B:C,2,false)</f>
        <v>2</v>
      </c>
      <c r="B18" s="31" t="str">
        <f>IFERROR(__xludf.DUMMYFUNCTION("""COMPUTED_VALUE"""),"Kansas City")</f>
        <v>Kansas City</v>
      </c>
      <c r="C18" s="35">
        <f>IFERROR(__xludf.DUMMYFUNCTION("""COMPUTED_VALUE"""),5.4)</f>
        <v>5.4</v>
      </c>
      <c r="D18" s="35">
        <f>IFERROR(__xludf.DUMMYFUNCTION("""COMPUTED_VALUE"""),5.2)</f>
        <v>5.2</v>
      </c>
      <c r="E18" s="35">
        <f>IFERROR(__xludf.DUMMYFUNCTION("""COMPUTED_VALUE"""),4.9)</f>
        <v>4.9</v>
      </c>
      <c r="F18" s="35">
        <f>IFERROR(__xludf.DUMMYFUNCTION("""COMPUTED_VALUE"""),5.8)</f>
        <v>5.8</v>
      </c>
      <c r="G18" s="35">
        <f>IFERROR(__xludf.DUMMYFUNCTION("""COMPUTED_VALUE"""),5.0)</f>
        <v>5</v>
      </c>
      <c r="H18" s="35">
        <f>IFERROR(__xludf.DUMMYFUNCTION("""COMPUTED_VALUE"""),5.6)</f>
        <v>5.6</v>
      </c>
      <c r="I18" s="4">
        <f t="shared" si="1"/>
        <v>5.316666667</v>
      </c>
    </row>
    <row r="19">
      <c r="A19" s="30">
        <f>VLOOKUP(B19,map!B:C,2,false)</f>
        <v>18</v>
      </c>
      <c r="B19" s="31" t="str">
        <f>IFERROR(__xludf.DUMMYFUNCTION("""COMPUTED_VALUE"""),"LA Rams")</f>
        <v>LA Rams</v>
      </c>
      <c r="C19" s="35">
        <f>IFERROR(__xludf.DUMMYFUNCTION("""COMPUTED_VALUE"""),5.2)</f>
        <v>5.2</v>
      </c>
      <c r="D19" s="35">
        <f>IFERROR(__xludf.DUMMYFUNCTION("""COMPUTED_VALUE"""),5.2)</f>
        <v>5.2</v>
      </c>
      <c r="E19" s="35">
        <f>IFERROR(__xludf.DUMMYFUNCTION("""COMPUTED_VALUE"""),5.8)</f>
        <v>5.8</v>
      </c>
      <c r="F19" s="35">
        <f>IFERROR(__xludf.DUMMYFUNCTION("""COMPUTED_VALUE"""),5.3)</f>
        <v>5.3</v>
      </c>
      <c r="G19" s="35">
        <f>IFERROR(__xludf.DUMMYFUNCTION("""COMPUTED_VALUE"""),5.2)</f>
        <v>5.2</v>
      </c>
      <c r="H19" s="35">
        <f>IFERROR(__xludf.DUMMYFUNCTION("""COMPUTED_VALUE"""),5.7)</f>
        <v>5.7</v>
      </c>
      <c r="I19" s="4">
        <f t="shared" si="1"/>
        <v>5.4</v>
      </c>
    </row>
    <row r="20">
      <c r="A20" s="30">
        <f>VLOOKUP(B20,map!B:C,2,false)</f>
        <v>7</v>
      </c>
      <c r="B20" s="31" t="str">
        <f>IFERROR(__xludf.DUMMYFUNCTION("""COMPUTED_VALUE"""),"LA Chargers")</f>
        <v>LA Chargers</v>
      </c>
      <c r="C20" s="35">
        <f>IFERROR(__xludf.DUMMYFUNCTION("""COMPUTED_VALUE"""),5.2)</f>
        <v>5.2</v>
      </c>
      <c r="D20" s="35">
        <f>IFERROR(__xludf.DUMMYFUNCTION("""COMPUTED_VALUE"""),5.5)</f>
        <v>5.5</v>
      </c>
      <c r="E20" s="35">
        <f>IFERROR(__xludf.DUMMYFUNCTION("""COMPUTED_VALUE"""),5.9)</f>
        <v>5.9</v>
      </c>
      <c r="F20" s="35">
        <f>IFERROR(__xludf.DUMMYFUNCTION("""COMPUTED_VALUE"""),5.4)</f>
        <v>5.4</v>
      </c>
      <c r="G20" s="35">
        <f>IFERROR(__xludf.DUMMYFUNCTION("""COMPUTED_VALUE"""),5.1)</f>
        <v>5.1</v>
      </c>
      <c r="H20" s="35">
        <f>IFERROR(__xludf.DUMMYFUNCTION("""COMPUTED_VALUE"""),5.1)</f>
        <v>5.1</v>
      </c>
      <c r="I20" s="4">
        <f t="shared" si="1"/>
        <v>5.366666667</v>
      </c>
    </row>
    <row r="21">
      <c r="A21" s="30">
        <f>VLOOKUP(B21,map!B:C,2,false)</f>
        <v>1</v>
      </c>
      <c r="B21" s="31" t="str">
        <f>IFERROR(__xludf.DUMMYFUNCTION("""COMPUTED_VALUE"""),"Dallas")</f>
        <v>Dallas</v>
      </c>
      <c r="C21" s="35">
        <f>IFERROR(__xludf.DUMMYFUNCTION("""COMPUTED_VALUE"""),5.2)</f>
        <v>5.2</v>
      </c>
      <c r="D21" s="35">
        <f>IFERROR(__xludf.DUMMYFUNCTION("""COMPUTED_VALUE"""),5.0)</f>
        <v>5</v>
      </c>
      <c r="E21" s="35">
        <f>IFERROR(__xludf.DUMMYFUNCTION("""COMPUTED_VALUE"""),4.9)</f>
        <v>4.9</v>
      </c>
      <c r="F21" s="35">
        <f>IFERROR(__xludf.DUMMYFUNCTION("""COMPUTED_VALUE"""),5.1)</f>
        <v>5.1</v>
      </c>
      <c r="G21" s="35">
        <f>IFERROR(__xludf.DUMMYFUNCTION("""COMPUTED_VALUE"""),5.3)</f>
        <v>5.3</v>
      </c>
      <c r="H21" s="35">
        <f>IFERROR(__xludf.DUMMYFUNCTION("""COMPUTED_VALUE"""),5.6)</f>
        <v>5.6</v>
      </c>
      <c r="I21" s="4">
        <f t="shared" si="1"/>
        <v>5.183333333</v>
      </c>
    </row>
    <row r="22">
      <c r="A22" s="30">
        <f>VLOOKUP(B22,map!B:C,2,false)</f>
        <v>9</v>
      </c>
      <c r="B22" s="31" t="str">
        <f>IFERROR(__xludf.DUMMYFUNCTION("""COMPUTED_VALUE"""),"New Orleans")</f>
        <v>New Orleans</v>
      </c>
      <c r="C22" s="35">
        <f>IFERROR(__xludf.DUMMYFUNCTION("""COMPUTED_VALUE"""),5.2)</f>
        <v>5.2</v>
      </c>
      <c r="D22" s="35">
        <f>IFERROR(__xludf.DUMMYFUNCTION("""COMPUTED_VALUE"""),4.7)</f>
        <v>4.7</v>
      </c>
      <c r="E22" s="35">
        <f>IFERROR(__xludf.DUMMYFUNCTION("""COMPUTED_VALUE"""),5.4)</f>
        <v>5.4</v>
      </c>
      <c r="F22" s="35">
        <f>IFERROR(__xludf.DUMMYFUNCTION("""COMPUTED_VALUE"""),4.7)</f>
        <v>4.7</v>
      </c>
      <c r="G22" s="35">
        <f>IFERROR(__xludf.DUMMYFUNCTION("""COMPUTED_VALUE"""),5.6)</f>
        <v>5.6</v>
      </c>
      <c r="H22" s="35">
        <f>IFERROR(__xludf.DUMMYFUNCTION("""COMPUTED_VALUE"""),5.1)</f>
        <v>5.1</v>
      </c>
      <c r="I22" s="4">
        <f t="shared" si="1"/>
        <v>5.116666667</v>
      </c>
    </row>
    <row r="23">
      <c r="A23" s="30">
        <f>VLOOKUP(B23,map!B:C,2,false)</f>
        <v>19</v>
      </c>
      <c r="B23" s="31" t="str">
        <f>IFERROR(__xludf.DUMMYFUNCTION("""COMPUTED_VALUE"""),"NY Jets")</f>
        <v>NY Jets</v>
      </c>
      <c r="C23" s="35">
        <f>IFERROR(__xludf.DUMMYFUNCTION("""COMPUTED_VALUE"""),5.1)</f>
        <v>5.1</v>
      </c>
      <c r="D23" s="35">
        <f>IFERROR(__xludf.DUMMYFUNCTION("""COMPUTED_VALUE"""),6.2)</f>
        <v>6.2</v>
      </c>
      <c r="E23" s="35">
        <f>IFERROR(__xludf.DUMMYFUNCTION("""COMPUTED_VALUE"""),5.9)</f>
        <v>5.9</v>
      </c>
      <c r="F23" s="35">
        <f>IFERROR(__xludf.DUMMYFUNCTION("""COMPUTED_VALUE"""),5.2)</f>
        <v>5.2</v>
      </c>
      <c r="G23" s="35">
        <f>IFERROR(__xludf.DUMMYFUNCTION("""COMPUTED_VALUE"""),5.0)</f>
        <v>5</v>
      </c>
      <c r="H23" s="35">
        <f>IFERROR(__xludf.DUMMYFUNCTION("""COMPUTED_VALUE"""),4.3)</f>
        <v>4.3</v>
      </c>
      <c r="I23" s="4">
        <f t="shared" si="1"/>
        <v>5.283333333</v>
      </c>
    </row>
    <row r="24">
      <c r="A24" s="30">
        <f>VLOOKUP(B24,map!B:C,2,false)</f>
        <v>27</v>
      </c>
      <c r="B24" s="31" t="str">
        <f>IFERROR(__xludf.DUMMYFUNCTION("""COMPUTED_VALUE"""),"Denver")</f>
        <v>Denver</v>
      </c>
      <c r="C24" s="35">
        <f>IFERROR(__xludf.DUMMYFUNCTION("""COMPUTED_VALUE"""),5.0)</f>
        <v>5</v>
      </c>
      <c r="D24" s="35">
        <f>IFERROR(__xludf.DUMMYFUNCTION("""COMPUTED_VALUE"""),5.9)</f>
        <v>5.9</v>
      </c>
      <c r="E24" s="35">
        <f>IFERROR(__xludf.DUMMYFUNCTION("""COMPUTED_VALUE"""),5.5)</f>
        <v>5.5</v>
      </c>
      <c r="F24" s="35">
        <f>IFERROR(__xludf.DUMMYFUNCTION("""COMPUTED_VALUE"""),5.4)</f>
        <v>5.4</v>
      </c>
      <c r="G24" s="35">
        <f>IFERROR(__xludf.DUMMYFUNCTION("""COMPUTED_VALUE"""),4.6)</f>
        <v>4.6</v>
      </c>
      <c r="H24" s="35">
        <f>IFERROR(__xludf.DUMMYFUNCTION("""COMPUTED_VALUE"""),5.0)</f>
        <v>5</v>
      </c>
      <c r="I24" s="4">
        <f t="shared" si="1"/>
        <v>5.233333333</v>
      </c>
    </row>
    <row r="25">
      <c r="A25" s="30">
        <f>VLOOKUP(B25,map!B:C,2,false)</f>
        <v>29</v>
      </c>
      <c r="B25" s="31" t="str">
        <f>IFERROR(__xludf.DUMMYFUNCTION("""COMPUTED_VALUE"""),"Pittsburgh")</f>
        <v>Pittsburgh</v>
      </c>
      <c r="C25" s="35">
        <f>IFERROR(__xludf.DUMMYFUNCTION("""COMPUTED_VALUE"""),5.0)</f>
        <v>5</v>
      </c>
      <c r="D25" s="35">
        <f>IFERROR(__xludf.DUMMYFUNCTION("""COMPUTED_VALUE"""),5.0)</f>
        <v>5</v>
      </c>
      <c r="E25" s="35">
        <f>IFERROR(__xludf.DUMMYFUNCTION("""COMPUTED_VALUE"""),6.2)</f>
        <v>6.2</v>
      </c>
      <c r="F25" s="35">
        <f>IFERROR(__xludf.DUMMYFUNCTION("""COMPUTED_VALUE"""),5.2)</f>
        <v>5.2</v>
      </c>
      <c r="G25" s="35">
        <f>IFERROR(__xludf.DUMMYFUNCTION("""COMPUTED_VALUE"""),4.8)</f>
        <v>4.8</v>
      </c>
      <c r="H25" s="35">
        <f>IFERROR(__xludf.DUMMYFUNCTION("""COMPUTED_VALUE"""),5.0)</f>
        <v>5</v>
      </c>
      <c r="I25" s="4">
        <f t="shared" si="1"/>
        <v>5.2</v>
      </c>
    </row>
    <row r="26">
      <c r="A26" s="30">
        <f>VLOOKUP(B26,map!B:C,2,false)</f>
        <v>10</v>
      </c>
      <c r="B26" s="31" t="str">
        <f>IFERROR(__xludf.DUMMYFUNCTION("""COMPUTED_VALUE"""),"Miami")</f>
        <v>Miami</v>
      </c>
      <c r="C26" s="35">
        <f>IFERROR(__xludf.DUMMYFUNCTION("""COMPUTED_VALUE"""),4.9)</f>
        <v>4.9</v>
      </c>
      <c r="D26" s="35">
        <f>IFERROR(__xludf.DUMMYFUNCTION("""COMPUTED_VALUE"""),5.2)</f>
        <v>5.2</v>
      </c>
      <c r="E26" s="35">
        <f>IFERROR(__xludf.DUMMYFUNCTION("""COMPUTED_VALUE"""),5.9)</f>
        <v>5.9</v>
      </c>
      <c r="F26" s="35">
        <f>IFERROR(__xludf.DUMMYFUNCTION("""COMPUTED_VALUE"""),5.1)</f>
        <v>5.1</v>
      </c>
      <c r="G26" s="35">
        <f>IFERROR(__xludf.DUMMYFUNCTION("""COMPUTED_VALUE"""),4.6)</f>
        <v>4.6</v>
      </c>
      <c r="H26" s="35">
        <f>IFERROR(__xludf.DUMMYFUNCTION("""COMPUTED_VALUE"""),6.4)</f>
        <v>6.4</v>
      </c>
      <c r="I26" s="4">
        <f t="shared" si="1"/>
        <v>5.35</v>
      </c>
    </row>
    <row r="27">
      <c r="A27" s="30">
        <f>VLOOKUP(B27,map!B:C,2,false)</f>
        <v>23</v>
      </c>
      <c r="B27" s="31" t="str">
        <f>IFERROR(__xludf.DUMMYFUNCTION("""COMPUTED_VALUE"""),"Carolina")</f>
        <v>Carolina</v>
      </c>
      <c r="C27" s="35">
        <f>IFERROR(__xludf.DUMMYFUNCTION("""COMPUTED_VALUE"""),4.9)</f>
        <v>4.9</v>
      </c>
      <c r="D27" s="35">
        <f>IFERROR(__xludf.DUMMYFUNCTION("""COMPUTED_VALUE"""),4.8)</f>
        <v>4.8</v>
      </c>
      <c r="E27" s="35">
        <f>IFERROR(__xludf.DUMMYFUNCTION("""COMPUTED_VALUE"""),4.7)</f>
        <v>4.7</v>
      </c>
      <c r="F27" s="35">
        <f>IFERROR(__xludf.DUMMYFUNCTION("""COMPUTED_VALUE"""),4.9)</f>
        <v>4.9</v>
      </c>
      <c r="G27" s="35">
        <f>IFERROR(__xludf.DUMMYFUNCTION("""COMPUTED_VALUE"""),4.8)</f>
        <v>4.8</v>
      </c>
      <c r="H27" s="35">
        <f>IFERROR(__xludf.DUMMYFUNCTION("""COMPUTED_VALUE"""),4.1)</f>
        <v>4.1</v>
      </c>
      <c r="I27" s="4">
        <f t="shared" si="1"/>
        <v>4.7</v>
      </c>
    </row>
    <row r="28">
      <c r="A28" s="30">
        <f>VLOOKUP(B28,map!B:C,2,false)</f>
        <v>31</v>
      </c>
      <c r="B28" s="31" t="str">
        <f>IFERROR(__xludf.DUMMYFUNCTION("""COMPUTED_VALUE"""),"Chicago")</f>
        <v>Chicago</v>
      </c>
      <c r="C28" s="35">
        <f>IFERROR(__xludf.DUMMYFUNCTION("""COMPUTED_VALUE"""),4.7)</f>
        <v>4.7</v>
      </c>
      <c r="D28" s="35">
        <f>IFERROR(__xludf.DUMMYFUNCTION("""COMPUTED_VALUE"""),5.8)</f>
        <v>5.8</v>
      </c>
      <c r="E28" s="35">
        <f>IFERROR(__xludf.DUMMYFUNCTION("""COMPUTED_VALUE"""),5.1)</f>
        <v>5.1</v>
      </c>
      <c r="F28" s="35">
        <f>IFERROR(__xludf.DUMMYFUNCTION("""COMPUTED_VALUE"""),4.8)</f>
        <v>4.8</v>
      </c>
      <c r="G28" s="35">
        <f>IFERROR(__xludf.DUMMYFUNCTION("""COMPUTED_VALUE"""),4.7)</f>
        <v>4.7</v>
      </c>
      <c r="H28" s="35">
        <f>IFERROR(__xludf.DUMMYFUNCTION("""COMPUTED_VALUE"""),5.0)</f>
        <v>5</v>
      </c>
      <c r="I28" s="4">
        <f t="shared" si="1"/>
        <v>5.016666667</v>
      </c>
    </row>
    <row r="29">
      <c r="A29" s="30">
        <f>VLOOKUP(B29,map!B:C,2,false)</f>
        <v>24</v>
      </c>
      <c r="B29" s="31" t="str">
        <f>IFERROR(__xludf.DUMMYFUNCTION("""COMPUTED_VALUE"""),"Las Vegas")</f>
        <v>Las Vegas</v>
      </c>
      <c r="C29" s="35">
        <f>IFERROR(__xludf.DUMMYFUNCTION("""COMPUTED_VALUE"""),4.7)</f>
        <v>4.7</v>
      </c>
      <c r="D29" s="35">
        <f>IFERROR(__xludf.DUMMYFUNCTION("""COMPUTED_VALUE"""),4.3)</f>
        <v>4.3</v>
      </c>
      <c r="E29" s="35">
        <f>IFERROR(__xludf.DUMMYFUNCTION("""COMPUTED_VALUE"""),4.1)</f>
        <v>4.1</v>
      </c>
      <c r="F29" s="35">
        <f>IFERROR(__xludf.DUMMYFUNCTION("""COMPUTED_VALUE"""),4.8)</f>
        <v>4.8</v>
      </c>
      <c r="G29" s="35">
        <f>IFERROR(__xludf.DUMMYFUNCTION("""COMPUTED_VALUE"""),4.6)</f>
        <v>4.6</v>
      </c>
      <c r="H29" s="35">
        <f>IFERROR(__xludf.DUMMYFUNCTION("""COMPUTED_VALUE"""),4.9)</f>
        <v>4.9</v>
      </c>
      <c r="I29" s="4">
        <f t="shared" si="1"/>
        <v>4.566666667</v>
      </c>
    </row>
    <row r="30">
      <c r="A30" s="30">
        <f>VLOOKUP(B30,map!B:C,2,false)</f>
        <v>32</v>
      </c>
      <c r="B30" s="31" t="str">
        <f>IFERROR(__xludf.DUMMYFUNCTION("""COMPUTED_VALUE"""),"Tennessee")</f>
        <v>Tennessee</v>
      </c>
      <c r="C30" s="35">
        <f>IFERROR(__xludf.DUMMYFUNCTION("""COMPUTED_VALUE"""),4.6)</f>
        <v>4.6</v>
      </c>
      <c r="D30" s="35">
        <f>IFERROR(__xludf.DUMMYFUNCTION("""COMPUTED_VALUE"""),4.9)</f>
        <v>4.9</v>
      </c>
      <c r="E30" s="35">
        <f>IFERROR(__xludf.DUMMYFUNCTION("""COMPUTED_VALUE"""),5.9)</f>
        <v>5.9</v>
      </c>
      <c r="F30" s="35">
        <f>IFERROR(__xludf.DUMMYFUNCTION("""COMPUTED_VALUE"""),4.6)</f>
        <v>4.6</v>
      </c>
      <c r="G30" s="35">
        <f>IFERROR(__xludf.DUMMYFUNCTION("""COMPUTED_VALUE"""),4.6)</f>
        <v>4.6</v>
      </c>
      <c r="H30" s="35">
        <f>IFERROR(__xludf.DUMMYFUNCTION("""COMPUTED_VALUE"""),4.9)</f>
        <v>4.9</v>
      </c>
      <c r="I30" s="4">
        <f t="shared" si="1"/>
        <v>4.916666667</v>
      </c>
    </row>
    <row r="31">
      <c r="A31" s="30">
        <f>VLOOKUP(B31,map!B:C,2,false)</f>
        <v>26</v>
      </c>
      <c r="B31" s="31" t="str">
        <f>IFERROR(__xludf.DUMMYFUNCTION("""COMPUTED_VALUE"""),"NY Giants")</f>
        <v>NY Giants</v>
      </c>
      <c r="C31" s="35">
        <f>IFERROR(__xludf.DUMMYFUNCTION("""COMPUTED_VALUE"""),4.5)</f>
        <v>4.5</v>
      </c>
      <c r="D31" s="35">
        <f>IFERROR(__xludf.DUMMYFUNCTION("""COMPUTED_VALUE"""),4.2)</f>
        <v>4.2</v>
      </c>
      <c r="E31" s="35">
        <f>IFERROR(__xludf.DUMMYFUNCTION("""COMPUTED_VALUE"""),2.2)</f>
        <v>2.2</v>
      </c>
      <c r="F31" s="35">
        <f>IFERROR(__xludf.DUMMYFUNCTION("""COMPUTED_VALUE"""),3.7)</f>
        <v>3.7</v>
      </c>
      <c r="G31" s="35">
        <f>IFERROR(__xludf.DUMMYFUNCTION("""COMPUTED_VALUE"""),5.6)</f>
        <v>5.6</v>
      </c>
      <c r="H31" s="35">
        <f>IFERROR(__xludf.DUMMYFUNCTION("""COMPUTED_VALUE"""),4.5)</f>
        <v>4.5</v>
      </c>
      <c r="I31" s="4">
        <f t="shared" si="1"/>
        <v>4.116666667</v>
      </c>
    </row>
    <row r="32">
      <c r="A32" s="30">
        <f>VLOOKUP(B32,map!B:C,2,false)</f>
        <v>22</v>
      </c>
      <c r="B32" s="31" t="str">
        <f>IFERROR(__xludf.DUMMYFUNCTION("""COMPUTED_VALUE"""),"New England")</f>
        <v>New England</v>
      </c>
      <c r="C32" s="35">
        <f>IFERROR(__xludf.DUMMYFUNCTION("""COMPUTED_VALUE"""),4.4)</f>
        <v>4.4</v>
      </c>
      <c r="D32" s="35">
        <f>IFERROR(__xludf.DUMMYFUNCTION("""COMPUTED_VALUE"""),4.6)</f>
        <v>4.6</v>
      </c>
      <c r="E32" s="35">
        <f>IFERROR(__xludf.DUMMYFUNCTION("""COMPUTED_VALUE"""),3.9)</f>
        <v>3.9</v>
      </c>
      <c r="F32" s="35">
        <f>IFERROR(__xludf.DUMMYFUNCTION("""COMPUTED_VALUE"""),4.6)</f>
        <v>4.6</v>
      </c>
      <c r="G32" s="35">
        <f>IFERROR(__xludf.DUMMYFUNCTION("""COMPUTED_VALUE"""),4.1)</f>
        <v>4.1</v>
      </c>
      <c r="H32" s="35">
        <f>IFERROR(__xludf.DUMMYFUNCTION("""COMPUTED_VALUE"""),4.6)</f>
        <v>4.6</v>
      </c>
      <c r="I32" s="4">
        <f t="shared" si="1"/>
        <v>4.366666667</v>
      </c>
    </row>
    <row r="33">
      <c r="A33" s="30">
        <f>VLOOKUP(B33,map!B:C,2,false)</f>
        <v>16</v>
      </c>
      <c r="B33" s="31" t="str">
        <f>IFERROR(__xludf.DUMMYFUNCTION("""COMPUTED_VALUE"""),"Cleveland")</f>
        <v>Cleveland</v>
      </c>
      <c r="C33" s="35">
        <f>IFERROR(__xludf.DUMMYFUNCTION("""COMPUTED_VALUE"""),4.3)</f>
        <v>4.3</v>
      </c>
      <c r="D33" s="35">
        <f>IFERROR(__xludf.DUMMYFUNCTION("""COMPUTED_VALUE"""),5.0)</f>
        <v>5</v>
      </c>
      <c r="E33" s="35">
        <f>IFERROR(__xludf.DUMMYFUNCTION("""COMPUTED_VALUE"""),6.1)</f>
        <v>6.1</v>
      </c>
      <c r="F33" s="35">
        <f>IFERROR(__xludf.DUMMYFUNCTION("""COMPUTED_VALUE"""),4.3)</f>
        <v>4.3</v>
      </c>
      <c r="G33" s="35">
        <f>IFERROR(__xludf.DUMMYFUNCTION("""COMPUTED_VALUE"""),4.2)</f>
        <v>4.2</v>
      </c>
      <c r="H33" s="35">
        <f>IFERROR(__xludf.DUMMYFUNCTION("""COMPUTED_VALUE"""),4.8)</f>
        <v>4.8</v>
      </c>
      <c r="I33" s="4">
        <f t="shared" si="1"/>
        <v>4.783333333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IFERROR(__xludf.DUMMYFUNCTION("QUERY(IMPORTHTML(""https://www.teamrankings.com/nfl/stat/third-down-conversions-per-game?date=""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2</v>
      </c>
      <c r="B2" s="31" t="str">
        <f>IFERROR(__xludf.DUMMYFUNCTION("""COMPUTED_VALUE"""),"Kansas City")</f>
        <v>Kansas City</v>
      </c>
      <c r="C2" s="35">
        <f>IFERROR(__xludf.DUMMYFUNCTION("""COMPUTED_VALUE"""),6.6)</f>
        <v>6.6</v>
      </c>
      <c r="D2" s="35">
        <f>IFERROR(__xludf.DUMMYFUNCTION("""COMPUTED_VALUE"""),8.7)</f>
        <v>8.7</v>
      </c>
      <c r="E2" s="35">
        <f>IFERROR(__xludf.DUMMYFUNCTION("""COMPUTED_VALUE"""),12.0)</f>
        <v>12</v>
      </c>
      <c r="F2" s="35">
        <f>IFERROR(__xludf.DUMMYFUNCTION("""COMPUTED_VALUE"""),3.7)</f>
        <v>3.7</v>
      </c>
      <c r="G2" s="35">
        <f>IFERROR(__xludf.DUMMYFUNCTION("""COMPUTED_VALUE"""),8.8)</f>
        <v>8.8</v>
      </c>
      <c r="H2" s="35">
        <f>IFERROR(__xludf.DUMMYFUNCTION("""COMPUTED_VALUE"""),5.7)</f>
        <v>5.7</v>
      </c>
      <c r="I2" s="4">
        <f t="shared" ref="I2:I33" si="1">AVERAGE(C2:H2)</f>
        <v>7.583333333</v>
      </c>
    </row>
    <row r="3">
      <c r="A3" s="30">
        <f>VLOOKUP(B3,map!B:C,2,false)</f>
        <v>14</v>
      </c>
      <c r="B3" s="31" t="str">
        <f>IFERROR(__xludf.DUMMYFUNCTION("""COMPUTED_VALUE"""),"Tampa Bay")</f>
        <v>Tampa Bay</v>
      </c>
      <c r="C3" s="35">
        <f>IFERROR(__xludf.DUMMYFUNCTION("""COMPUTED_VALUE"""),6.5)</f>
        <v>6.5</v>
      </c>
      <c r="D3" s="35">
        <f>IFERROR(__xludf.DUMMYFUNCTION("""COMPUTED_VALUE"""),8.7)</f>
        <v>8.7</v>
      </c>
      <c r="E3" s="35">
        <f>IFERROR(__xludf.DUMMYFUNCTION("""COMPUTED_VALUE"""),9.0)</f>
        <v>9</v>
      </c>
      <c r="F3" s="35">
        <f>IFERROR(__xludf.DUMMYFUNCTION("""COMPUTED_VALUE"""),7.6)</f>
        <v>7.6</v>
      </c>
      <c r="G3" s="35">
        <f>IFERROR(__xludf.DUMMYFUNCTION("""COMPUTED_VALUE"""),4.7)</f>
        <v>4.7</v>
      </c>
      <c r="H3" s="35">
        <f>IFERROR(__xludf.DUMMYFUNCTION("""COMPUTED_VALUE"""),5.7)</f>
        <v>5.7</v>
      </c>
      <c r="I3" s="4">
        <f t="shared" si="1"/>
        <v>7.033333333</v>
      </c>
    </row>
    <row r="4">
      <c r="A4" s="30">
        <f>VLOOKUP(B4,map!B:C,2,false)</f>
        <v>7</v>
      </c>
      <c r="B4" s="31" t="str">
        <f>IFERROR(__xludf.DUMMYFUNCTION("""COMPUTED_VALUE"""),"LA Chargers")</f>
        <v>LA Chargers</v>
      </c>
      <c r="C4" s="35">
        <f>IFERROR(__xludf.DUMMYFUNCTION("""COMPUTED_VALUE"""),5.7)</f>
        <v>5.7</v>
      </c>
      <c r="D4" s="35">
        <f>IFERROR(__xludf.DUMMYFUNCTION("""COMPUTED_VALUE"""),6.7)</f>
        <v>6.7</v>
      </c>
      <c r="E4" s="35">
        <f>IFERROR(__xludf.DUMMYFUNCTION("""COMPUTED_VALUE"""),3.0)</f>
        <v>3</v>
      </c>
      <c r="F4" s="35">
        <f>IFERROR(__xludf.DUMMYFUNCTION("""COMPUTED_VALUE"""),3.7)</f>
        <v>3.7</v>
      </c>
      <c r="G4" s="35">
        <f>IFERROR(__xludf.DUMMYFUNCTION("""COMPUTED_VALUE"""),7.3)</f>
        <v>7.3</v>
      </c>
      <c r="H4" s="35">
        <f>IFERROR(__xludf.DUMMYFUNCTION("""COMPUTED_VALUE"""),5.4)</f>
        <v>5.4</v>
      </c>
      <c r="I4" s="4">
        <f t="shared" si="1"/>
        <v>5.3</v>
      </c>
    </row>
    <row r="5">
      <c r="A5" s="30">
        <f>VLOOKUP(B5,map!B:C,2,false)</f>
        <v>4</v>
      </c>
      <c r="B5" s="31" t="str">
        <f>IFERROR(__xludf.DUMMYFUNCTION("""COMPUTED_VALUE"""),"Cincinnati")</f>
        <v>Cincinnati</v>
      </c>
      <c r="C5" s="35">
        <f>IFERROR(__xludf.DUMMYFUNCTION("""COMPUTED_VALUE"""),5.6)</f>
        <v>5.6</v>
      </c>
      <c r="D5" s="35">
        <f>IFERROR(__xludf.DUMMYFUNCTION("""COMPUTED_VALUE"""),5.3)</f>
        <v>5.3</v>
      </c>
      <c r="E5" s="35">
        <f>IFERROR(__xludf.DUMMYFUNCTION("""COMPUTED_VALUE"""),10.0)</f>
        <v>10</v>
      </c>
      <c r="F5" s="35">
        <f>IFERROR(__xludf.DUMMYFUNCTION("""COMPUTED_VALUE"""),7.0)</f>
        <v>7</v>
      </c>
      <c r="G5" s="35">
        <f>IFERROR(__xludf.DUMMYFUNCTION("""COMPUTED_VALUE"""),4.3)</f>
        <v>4.3</v>
      </c>
      <c r="H5" s="35">
        <f>IFERROR(__xludf.DUMMYFUNCTION("""COMPUTED_VALUE"""),4.8)</f>
        <v>4.8</v>
      </c>
      <c r="I5" s="4">
        <f t="shared" si="1"/>
        <v>6.166666667</v>
      </c>
    </row>
    <row r="6">
      <c r="A6" s="30">
        <f>VLOOKUP(B6,map!B:C,2,false)</f>
        <v>8</v>
      </c>
      <c r="B6" s="31" t="str">
        <f>IFERROR(__xludf.DUMMYFUNCTION("""COMPUTED_VALUE"""),"Washington")</f>
        <v>Washington</v>
      </c>
      <c r="C6" s="35">
        <f>IFERROR(__xludf.DUMMYFUNCTION("""COMPUTED_VALUE"""),5.6)</f>
        <v>5.6</v>
      </c>
      <c r="D6" s="35">
        <f>IFERROR(__xludf.DUMMYFUNCTION("""COMPUTED_VALUE"""),4.7)</f>
        <v>4.7</v>
      </c>
      <c r="E6" s="35">
        <f>IFERROR(__xludf.DUMMYFUNCTION("""COMPUTED_VALUE"""),5.0)</f>
        <v>5</v>
      </c>
      <c r="F6" s="35">
        <f>IFERROR(__xludf.DUMMYFUNCTION("""COMPUTED_VALUE"""),6.3)</f>
        <v>6.3</v>
      </c>
      <c r="G6" s="35">
        <f>IFERROR(__xludf.DUMMYFUNCTION("""COMPUTED_VALUE"""),5.0)</f>
        <v>5</v>
      </c>
      <c r="H6" s="35">
        <f>IFERROR(__xludf.DUMMYFUNCTION("""COMPUTED_VALUE"""),4.5)</f>
        <v>4.5</v>
      </c>
      <c r="I6" s="4">
        <f t="shared" si="1"/>
        <v>5.183333333</v>
      </c>
    </row>
    <row r="7">
      <c r="A7" s="30">
        <f>VLOOKUP(B7,map!B:C,2,false)</f>
        <v>10</v>
      </c>
      <c r="B7" s="31" t="str">
        <f>IFERROR(__xludf.DUMMYFUNCTION("""COMPUTED_VALUE"""),"Miami")</f>
        <v>Miami</v>
      </c>
      <c r="C7" s="35">
        <f>IFERROR(__xludf.DUMMYFUNCTION("""COMPUTED_VALUE"""),5.3)</f>
        <v>5.3</v>
      </c>
      <c r="D7" s="35">
        <f>IFERROR(__xludf.DUMMYFUNCTION("""COMPUTED_VALUE"""),6.3)</f>
        <v>6.3</v>
      </c>
      <c r="E7" s="35">
        <f>IFERROR(__xludf.DUMMYFUNCTION("""COMPUTED_VALUE"""),11.0)</f>
        <v>11</v>
      </c>
      <c r="F7" s="35">
        <f>IFERROR(__xludf.DUMMYFUNCTION("""COMPUTED_VALUE"""),7.0)</f>
        <v>7</v>
      </c>
      <c r="G7" s="35">
        <f>IFERROR(__xludf.DUMMYFUNCTION("""COMPUTED_VALUE"""),3.0)</f>
        <v>3</v>
      </c>
      <c r="H7" s="35">
        <f>IFERROR(__xludf.DUMMYFUNCTION("""COMPUTED_VALUE"""),4.8)</f>
        <v>4.8</v>
      </c>
      <c r="I7" s="4">
        <f t="shared" si="1"/>
        <v>6.233333333</v>
      </c>
    </row>
    <row r="8">
      <c r="A8" s="30">
        <f>VLOOKUP(B8,map!B:C,2,false)</f>
        <v>29</v>
      </c>
      <c r="B8" s="31" t="str">
        <f>IFERROR(__xludf.DUMMYFUNCTION("""COMPUTED_VALUE"""),"Pittsburgh")</f>
        <v>Pittsburgh</v>
      </c>
      <c r="C8" s="35">
        <f>IFERROR(__xludf.DUMMYFUNCTION("""COMPUTED_VALUE"""),5.3)</f>
        <v>5.3</v>
      </c>
      <c r="D8" s="35">
        <f>IFERROR(__xludf.DUMMYFUNCTION("""COMPUTED_VALUE"""),4.0)</f>
        <v>4</v>
      </c>
      <c r="E8" s="35">
        <f>IFERROR(__xludf.DUMMYFUNCTION("""COMPUTED_VALUE"""),5.0)</f>
        <v>5</v>
      </c>
      <c r="F8" s="35">
        <f>IFERROR(__xludf.DUMMYFUNCTION("""COMPUTED_VALUE"""),5.0)</f>
        <v>5</v>
      </c>
      <c r="G8" s="35">
        <f>IFERROR(__xludf.DUMMYFUNCTION("""COMPUTED_VALUE"""),5.5)</f>
        <v>5.5</v>
      </c>
      <c r="H8" s="35">
        <f>IFERROR(__xludf.DUMMYFUNCTION("""COMPUTED_VALUE"""),5.0)</f>
        <v>5</v>
      </c>
      <c r="I8" s="4">
        <f t="shared" si="1"/>
        <v>4.966666667</v>
      </c>
    </row>
    <row r="9">
      <c r="A9" s="30">
        <f>VLOOKUP(B9,map!B:C,2,false)</f>
        <v>25</v>
      </c>
      <c r="B9" s="31" t="str">
        <f>IFERROR(__xludf.DUMMYFUNCTION("""COMPUTED_VALUE"""),"San Francisco")</f>
        <v>San Francisco</v>
      </c>
      <c r="C9" s="35">
        <f>IFERROR(__xludf.DUMMYFUNCTION("""COMPUTED_VALUE"""),5.3)</f>
        <v>5.3</v>
      </c>
      <c r="D9" s="35">
        <f>IFERROR(__xludf.DUMMYFUNCTION("""COMPUTED_VALUE"""),5.0)</f>
        <v>5</v>
      </c>
      <c r="E9" s="35">
        <f>IFERROR(__xludf.DUMMYFUNCTION("""COMPUTED_VALUE"""),8.0)</f>
        <v>8</v>
      </c>
      <c r="F9" s="35">
        <f>IFERROR(__xludf.DUMMYFUNCTION("""COMPUTED_VALUE"""),5.8)</f>
        <v>5.8</v>
      </c>
      <c r="G9" s="35">
        <f>IFERROR(__xludf.DUMMYFUNCTION("""COMPUTED_VALUE"""),4.3)</f>
        <v>4.3</v>
      </c>
      <c r="H9" s="35">
        <f>IFERROR(__xludf.DUMMYFUNCTION("""COMPUTED_VALUE"""),5.2)</f>
        <v>5.2</v>
      </c>
      <c r="I9" s="4">
        <f t="shared" si="1"/>
        <v>5.6</v>
      </c>
    </row>
    <row r="10">
      <c r="A10" s="30">
        <f>VLOOKUP(B10,map!B:C,2,false)</f>
        <v>17</v>
      </c>
      <c r="B10" s="31" t="str">
        <f>IFERROR(__xludf.DUMMYFUNCTION("""COMPUTED_VALUE"""),"Houston")</f>
        <v>Houston</v>
      </c>
      <c r="C10" s="35">
        <f>IFERROR(__xludf.DUMMYFUNCTION("""COMPUTED_VALUE"""),5.3)</f>
        <v>5.3</v>
      </c>
      <c r="D10" s="35">
        <f>IFERROR(__xludf.DUMMYFUNCTION("""COMPUTED_VALUE"""),4.0)</f>
        <v>4</v>
      </c>
      <c r="E10" s="35">
        <f>IFERROR(__xludf.DUMMYFUNCTION("""COMPUTED_VALUE"""),4.0)</f>
        <v>4</v>
      </c>
      <c r="F10" s="35">
        <f>IFERROR(__xludf.DUMMYFUNCTION("""COMPUTED_VALUE"""),5.8)</f>
        <v>5.8</v>
      </c>
      <c r="G10" s="35">
        <f>IFERROR(__xludf.DUMMYFUNCTION("""COMPUTED_VALUE"""),4.8)</f>
        <v>4.8</v>
      </c>
      <c r="H10" s="35">
        <f>IFERROR(__xludf.DUMMYFUNCTION("""COMPUTED_VALUE"""),4.9)</f>
        <v>4.9</v>
      </c>
      <c r="I10" s="4">
        <f t="shared" si="1"/>
        <v>4.8</v>
      </c>
    </row>
    <row r="11">
      <c r="A11" s="30">
        <f>VLOOKUP(B11,map!B:C,2,false)</f>
        <v>1</v>
      </c>
      <c r="B11" s="31" t="str">
        <f>IFERROR(__xludf.DUMMYFUNCTION("""COMPUTED_VALUE"""),"Dallas")</f>
        <v>Dallas</v>
      </c>
      <c r="C11" s="35">
        <f>IFERROR(__xludf.DUMMYFUNCTION("""COMPUTED_VALUE"""),5.1)</f>
        <v>5.1</v>
      </c>
      <c r="D11" s="35">
        <f>IFERROR(__xludf.DUMMYFUNCTION("""COMPUTED_VALUE"""),5.3)</f>
        <v>5.3</v>
      </c>
      <c r="E11" s="35">
        <f>IFERROR(__xludf.DUMMYFUNCTION("""COMPUTED_VALUE"""),4.0)</f>
        <v>4</v>
      </c>
      <c r="F11" s="35">
        <f>IFERROR(__xludf.DUMMYFUNCTION("""COMPUTED_VALUE"""),5.3)</f>
        <v>5.3</v>
      </c>
      <c r="G11" s="35">
        <f>IFERROR(__xludf.DUMMYFUNCTION("""COMPUTED_VALUE"""),5.0)</f>
        <v>5</v>
      </c>
      <c r="H11" s="35">
        <f>IFERROR(__xludf.DUMMYFUNCTION("""COMPUTED_VALUE"""),6.7)</f>
        <v>6.7</v>
      </c>
      <c r="I11" s="4">
        <f t="shared" si="1"/>
        <v>5.233333333</v>
      </c>
    </row>
    <row r="12">
      <c r="A12" s="30">
        <f>VLOOKUP(B12,map!B:C,2,false)</f>
        <v>19</v>
      </c>
      <c r="B12" s="31" t="str">
        <f>IFERROR(__xludf.DUMMYFUNCTION("""COMPUTED_VALUE"""),"NY Jets")</f>
        <v>NY Jets</v>
      </c>
      <c r="C12" s="35">
        <f>IFERROR(__xludf.DUMMYFUNCTION("""COMPUTED_VALUE"""),5.1)</f>
        <v>5.1</v>
      </c>
      <c r="D12" s="35">
        <f>IFERROR(__xludf.DUMMYFUNCTION("""COMPUTED_VALUE"""),3.7)</f>
        <v>3.7</v>
      </c>
      <c r="E12" s="35">
        <f>IFERROR(__xludf.DUMMYFUNCTION("""COMPUTED_VALUE"""),4.0)</f>
        <v>4</v>
      </c>
      <c r="F12" s="35">
        <f>IFERROR(__xludf.DUMMYFUNCTION("""COMPUTED_VALUE"""),6.0)</f>
        <v>6</v>
      </c>
      <c r="G12" s="35">
        <f>IFERROR(__xludf.DUMMYFUNCTION("""COMPUTED_VALUE"""),4.6)</f>
        <v>4.6</v>
      </c>
      <c r="H12" s="35">
        <f>IFERROR(__xludf.DUMMYFUNCTION("""COMPUTED_VALUE"""),3.6)</f>
        <v>3.6</v>
      </c>
      <c r="I12" s="4">
        <f t="shared" si="1"/>
        <v>4.5</v>
      </c>
    </row>
    <row r="13">
      <c r="A13" s="30">
        <f>VLOOKUP(B13,map!B:C,2,false)</f>
        <v>26</v>
      </c>
      <c r="B13" s="31" t="str">
        <f>IFERROR(__xludf.DUMMYFUNCTION("""COMPUTED_VALUE"""),"NY Giants")</f>
        <v>NY Giants</v>
      </c>
      <c r="C13" s="35">
        <f>IFERROR(__xludf.DUMMYFUNCTION("""COMPUTED_VALUE"""),5.0)</f>
        <v>5</v>
      </c>
      <c r="D13" s="35">
        <f>IFERROR(__xludf.DUMMYFUNCTION("""COMPUTED_VALUE"""),5.0)</f>
        <v>5</v>
      </c>
      <c r="E13" s="35">
        <f>IFERROR(__xludf.DUMMYFUNCTION("""COMPUTED_VALUE"""),3.0)</f>
        <v>3</v>
      </c>
      <c r="F13" s="35">
        <f>IFERROR(__xludf.DUMMYFUNCTION("""COMPUTED_VALUE"""),5.0)</f>
        <v>5</v>
      </c>
      <c r="G13" s="35">
        <f>IFERROR(__xludf.DUMMYFUNCTION("""COMPUTED_VALUE"""),5.0)</f>
        <v>5</v>
      </c>
      <c r="H13" s="35">
        <f>IFERROR(__xludf.DUMMYFUNCTION("""COMPUTED_VALUE"""),4.4)</f>
        <v>4.4</v>
      </c>
      <c r="I13" s="4">
        <f t="shared" si="1"/>
        <v>4.566666667</v>
      </c>
    </row>
    <row r="14">
      <c r="A14" s="30">
        <f>VLOOKUP(B14,map!B:C,2,false)</f>
        <v>30</v>
      </c>
      <c r="B14" s="31" t="str">
        <f>IFERROR(__xludf.DUMMYFUNCTION("""COMPUTED_VALUE"""),"Baltimore")</f>
        <v>Baltimore</v>
      </c>
      <c r="C14" s="35">
        <f>IFERROR(__xludf.DUMMYFUNCTION("""COMPUTED_VALUE"""),5.0)</f>
        <v>5</v>
      </c>
      <c r="D14" s="35">
        <f>IFERROR(__xludf.DUMMYFUNCTION("""COMPUTED_VALUE"""),3.7)</f>
        <v>3.7</v>
      </c>
      <c r="E14" s="35">
        <f>IFERROR(__xludf.DUMMYFUNCTION("""COMPUTED_VALUE"""),2.0)</f>
        <v>2</v>
      </c>
      <c r="F14" s="35">
        <f>IFERROR(__xludf.DUMMYFUNCTION("""COMPUTED_VALUE"""),4.7)</f>
        <v>4.7</v>
      </c>
      <c r="G14" s="35">
        <f>IFERROR(__xludf.DUMMYFUNCTION("""COMPUTED_VALUE"""),5.2)</f>
        <v>5.2</v>
      </c>
      <c r="H14" s="35">
        <f>IFERROR(__xludf.DUMMYFUNCTION("""COMPUTED_VALUE"""),4.9)</f>
        <v>4.9</v>
      </c>
      <c r="I14" s="4">
        <f t="shared" si="1"/>
        <v>4.25</v>
      </c>
    </row>
    <row r="15">
      <c r="A15" s="30">
        <f>VLOOKUP(B15,map!B:C,2,false)</f>
        <v>9</v>
      </c>
      <c r="B15" s="31" t="str">
        <f>IFERROR(__xludf.DUMMYFUNCTION("""COMPUTED_VALUE"""),"New Orleans")</f>
        <v>New Orleans</v>
      </c>
      <c r="C15" s="35">
        <f>IFERROR(__xludf.DUMMYFUNCTION("""COMPUTED_VALUE"""),5.0)</f>
        <v>5</v>
      </c>
      <c r="D15" s="35">
        <f>IFERROR(__xludf.DUMMYFUNCTION("""COMPUTED_VALUE"""),3.7)</f>
        <v>3.7</v>
      </c>
      <c r="E15" s="35">
        <f>IFERROR(__xludf.DUMMYFUNCTION("""COMPUTED_VALUE"""),2.0)</f>
        <v>2</v>
      </c>
      <c r="F15" s="35">
        <f>IFERROR(__xludf.DUMMYFUNCTION("""COMPUTED_VALUE"""),5.5)</f>
        <v>5.5</v>
      </c>
      <c r="G15" s="35">
        <f>IFERROR(__xludf.DUMMYFUNCTION("""COMPUTED_VALUE"""),4.5)</f>
        <v>4.5</v>
      </c>
      <c r="H15" s="35">
        <f>IFERROR(__xludf.DUMMYFUNCTION("""COMPUTED_VALUE"""),5.4)</f>
        <v>5.4</v>
      </c>
      <c r="I15" s="4">
        <f t="shared" si="1"/>
        <v>4.35</v>
      </c>
    </row>
    <row r="16">
      <c r="A16" s="30">
        <f>VLOOKUP(B16,map!B:C,2,false)</f>
        <v>22</v>
      </c>
      <c r="B16" s="31" t="str">
        <f>IFERROR(__xludf.DUMMYFUNCTION("""COMPUTED_VALUE"""),"New England")</f>
        <v>New England</v>
      </c>
      <c r="C16" s="35">
        <f>IFERROR(__xludf.DUMMYFUNCTION("""COMPUTED_VALUE"""),4.9)</f>
        <v>4.9</v>
      </c>
      <c r="D16" s="35">
        <f>IFERROR(__xludf.DUMMYFUNCTION("""COMPUTED_VALUE"""),5.3)</f>
        <v>5.3</v>
      </c>
      <c r="E16" s="35">
        <f>IFERROR(__xludf.DUMMYFUNCTION("""COMPUTED_VALUE"""),7.0)</f>
        <v>7</v>
      </c>
      <c r="F16" s="35">
        <f>IFERROR(__xludf.DUMMYFUNCTION("""COMPUTED_VALUE"""),5.0)</f>
        <v>5</v>
      </c>
      <c r="G16" s="35">
        <f>IFERROR(__xludf.DUMMYFUNCTION("""COMPUTED_VALUE"""),4.8)</f>
        <v>4.8</v>
      </c>
      <c r="H16" s="35">
        <f>IFERROR(__xludf.DUMMYFUNCTION("""COMPUTED_VALUE"""),3.9)</f>
        <v>3.9</v>
      </c>
      <c r="I16" s="4">
        <f t="shared" si="1"/>
        <v>5.15</v>
      </c>
    </row>
    <row r="17">
      <c r="A17" s="30">
        <f>VLOOKUP(B17,map!B:C,2,false)</f>
        <v>12</v>
      </c>
      <c r="B17" s="31" t="str">
        <f>IFERROR(__xludf.DUMMYFUNCTION("""COMPUTED_VALUE"""),"Philadelphia")</f>
        <v>Philadelphia</v>
      </c>
      <c r="C17" s="35">
        <f>IFERROR(__xludf.DUMMYFUNCTION("""COMPUTED_VALUE"""),4.9)</f>
        <v>4.9</v>
      </c>
      <c r="D17" s="35">
        <f>IFERROR(__xludf.DUMMYFUNCTION("""COMPUTED_VALUE"""),4.0)</f>
        <v>4</v>
      </c>
      <c r="E17" s="35">
        <f>IFERROR(__xludf.DUMMYFUNCTION("""COMPUTED_VALUE"""),6.0)</f>
        <v>6</v>
      </c>
      <c r="F17" s="35">
        <f>IFERROR(__xludf.DUMMYFUNCTION("""COMPUTED_VALUE"""),5.5)</f>
        <v>5.5</v>
      </c>
      <c r="G17" s="35">
        <f>IFERROR(__xludf.DUMMYFUNCTION("""COMPUTED_VALUE"""),4.6)</f>
        <v>4.6</v>
      </c>
      <c r="H17" s="35">
        <f>IFERROR(__xludf.DUMMYFUNCTION("""COMPUTED_VALUE"""),6.0)</f>
        <v>6</v>
      </c>
      <c r="I17" s="4">
        <f t="shared" si="1"/>
        <v>5.166666667</v>
      </c>
    </row>
    <row r="18">
      <c r="A18" s="30">
        <f>VLOOKUP(B18,map!B:C,2,false)</f>
        <v>20</v>
      </c>
      <c r="B18" s="31" t="str">
        <f>IFERROR(__xludf.DUMMYFUNCTION("""COMPUTED_VALUE"""),"Indianapolis")</f>
        <v>Indianapolis</v>
      </c>
      <c r="C18" s="35">
        <f>IFERROR(__xludf.DUMMYFUNCTION("""COMPUTED_VALUE"""),4.8)</f>
        <v>4.8</v>
      </c>
      <c r="D18" s="35">
        <f>IFERROR(__xludf.DUMMYFUNCTION("""COMPUTED_VALUE"""),4.3)</f>
        <v>4.3</v>
      </c>
      <c r="E18" s="35">
        <f>IFERROR(__xludf.DUMMYFUNCTION("""COMPUTED_VALUE"""),2.0)</f>
        <v>2</v>
      </c>
      <c r="F18" s="35">
        <f>IFERROR(__xludf.DUMMYFUNCTION("""COMPUTED_VALUE"""),5.0)</f>
        <v>5</v>
      </c>
      <c r="G18" s="35">
        <f>IFERROR(__xludf.DUMMYFUNCTION("""COMPUTED_VALUE"""),4.5)</f>
        <v>4.5</v>
      </c>
      <c r="H18" s="35">
        <f>IFERROR(__xludf.DUMMYFUNCTION("""COMPUTED_VALUE"""),4.8)</f>
        <v>4.8</v>
      </c>
      <c r="I18" s="4">
        <f t="shared" si="1"/>
        <v>4.233333333</v>
      </c>
    </row>
    <row r="19">
      <c r="A19" s="30">
        <f>VLOOKUP(B19,map!B:C,2,false)</f>
        <v>5</v>
      </c>
      <c r="B19" s="31" t="str">
        <f>IFERROR(__xludf.DUMMYFUNCTION("""COMPUTED_VALUE"""),"Detroit")</f>
        <v>Detroit</v>
      </c>
      <c r="C19" s="35">
        <f>IFERROR(__xludf.DUMMYFUNCTION("""COMPUTED_VALUE"""),4.7)</f>
        <v>4.7</v>
      </c>
      <c r="D19" s="35">
        <f>IFERROR(__xludf.DUMMYFUNCTION("""COMPUTED_VALUE"""),3.7)</f>
        <v>3.7</v>
      </c>
      <c r="E19" s="35">
        <f>IFERROR(__xludf.DUMMYFUNCTION("""COMPUTED_VALUE"""),3.0)</f>
        <v>3</v>
      </c>
      <c r="F19" s="35">
        <f>IFERROR(__xludf.DUMMYFUNCTION("""COMPUTED_VALUE"""),4.8)</f>
        <v>4.8</v>
      </c>
      <c r="G19" s="35">
        <f>IFERROR(__xludf.DUMMYFUNCTION("""COMPUTED_VALUE"""),4.7)</f>
        <v>4.7</v>
      </c>
      <c r="H19" s="35">
        <f>IFERROR(__xludf.DUMMYFUNCTION("""COMPUTED_VALUE"""),5.4)</f>
        <v>5.4</v>
      </c>
      <c r="I19" s="4">
        <f t="shared" si="1"/>
        <v>4.383333333</v>
      </c>
    </row>
    <row r="20">
      <c r="A20" s="30">
        <f>VLOOKUP(B20,map!B:C,2,false)</f>
        <v>15</v>
      </c>
      <c r="B20" s="31" t="str">
        <f>IFERROR(__xludf.DUMMYFUNCTION("""COMPUTED_VALUE"""),"Green Bay")</f>
        <v>Green Bay</v>
      </c>
      <c r="C20" s="35">
        <f>IFERROR(__xludf.DUMMYFUNCTION("""COMPUTED_VALUE"""),4.6)</f>
        <v>4.6</v>
      </c>
      <c r="D20" s="35">
        <f>IFERROR(__xludf.DUMMYFUNCTION("""COMPUTED_VALUE"""),4.7)</f>
        <v>4.7</v>
      </c>
      <c r="E20" s="35">
        <f>IFERROR(__xludf.DUMMYFUNCTION("""COMPUTED_VALUE"""),3.0)</f>
        <v>3</v>
      </c>
      <c r="F20" s="35">
        <f>IFERROR(__xludf.DUMMYFUNCTION("""COMPUTED_VALUE"""),6.3)</f>
        <v>6.3</v>
      </c>
      <c r="G20" s="35">
        <f>IFERROR(__xludf.DUMMYFUNCTION("""COMPUTED_VALUE"""),3.0)</f>
        <v>3</v>
      </c>
      <c r="H20" s="35">
        <f>IFERROR(__xludf.DUMMYFUNCTION("""COMPUTED_VALUE"""),6.2)</f>
        <v>6.2</v>
      </c>
      <c r="I20" s="4">
        <f t="shared" si="1"/>
        <v>4.633333333</v>
      </c>
    </row>
    <row r="21">
      <c r="A21" s="30">
        <f>VLOOKUP(B21,map!B:C,2,false)</f>
        <v>28</v>
      </c>
      <c r="B21" s="31" t="str">
        <f>IFERROR(__xludf.DUMMYFUNCTION("""COMPUTED_VALUE"""),"Atlanta")</f>
        <v>Atlanta</v>
      </c>
      <c r="C21" s="35">
        <f>IFERROR(__xludf.DUMMYFUNCTION("""COMPUTED_VALUE"""),4.5)</f>
        <v>4.5</v>
      </c>
      <c r="D21" s="35">
        <f>IFERROR(__xludf.DUMMYFUNCTION("""COMPUTED_VALUE"""),6.7)</f>
        <v>6.7</v>
      </c>
      <c r="E21" s="35">
        <f>IFERROR(__xludf.DUMMYFUNCTION("""COMPUTED_VALUE"""),6.0)</f>
        <v>6</v>
      </c>
      <c r="F21" s="35">
        <f>IFERROR(__xludf.DUMMYFUNCTION("""COMPUTED_VALUE"""),4.4)</f>
        <v>4.4</v>
      </c>
      <c r="G21" s="35">
        <f>IFERROR(__xludf.DUMMYFUNCTION("""COMPUTED_VALUE"""),4.7)</f>
        <v>4.7</v>
      </c>
      <c r="H21" s="35">
        <f>IFERROR(__xludf.DUMMYFUNCTION("""COMPUTED_VALUE"""),5.3)</f>
        <v>5.3</v>
      </c>
      <c r="I21" s="4">
        <f t="shared" si="1"/>
        <v>5.266666667</v>
      </c>
    </row>
    <row r="22">
      <c r="A22" s="30">
        <f>VLOOKUP(B22,map!B:C,2,false)</f>
        <v>31</v>
      </c>
      <c r="B22" s="31" t="str">
        <f>IFERROR(__xludf.DUMMYFUNCTION("""COMPUTED_VALUE"""),"Chicago")</f>
        <v>Chicago</v>
      </c>
      <c r="C22" s="35">
        <f>IFERROR(__xludf.DUMMYFUNCTION("""COMPUTED_VALUE"""),4.4)</f>
        <v>4.4</v>
      </c>
      <c r="D22" s="35">
        <f>IFERROR(__xludf.DUMMYFUNCTION("""COMPUTED_VALUE"""),3.7)</f>
        <v>3.7</v>
      </c>
      <c r="E22" s="35">
        <f>IFERROR(__xludf.DUMMYFUNCTION("""COMPUTED_VALUE"""),2.0)</f>
        <v>2</v>
      </c>
      <c r="F22" s="35">
        <f>IFERROR(__xludf.DUMMYFUNCTION("""COMPUTED_VALUE"""),3.0)</f>
        <v>3</v>
      </c>
      <c r="G22" s="35">
        <f>IFERROR(__xludf.DUMMYFUNCTION("""COMPUTED_VALUE"""),5.5)</f>
        <v>5.5</v>
      </c>
      <c r="H22" s="35">
        <f>IFERROR(__xludf.DUMMYFUNCTION("""COMPUTED_VALUE"""),5.8)</f>
        <v>5.8</v>
      </c>
      <c r="I22" s="4">
        <f t="shared" si="1"/>
        <v>4.066666667</v>
      </c>
    </row>
    <row r="23">
      <c r="A23" s="30">
        <f>VLOOKUP(B23,map!B:C,2,false)</f>
        <v>18</v>
      </c>
      <c r="B23" s="31" t="str">
        <f>IFERROR(__xludf.DUMMYFUNCTION("""COMPUTED_VALUE"""),"LA Rams")</f>
        <v>LA Rams</v>
      </c>
      <c r="C23" s="35">
        <f>IFERROR(__xludf.DUMMYFUNCTION("""COMPUTED_VALUE"""),4.4)</f>
        <v>4.4</v>
      </c>
      <c r="D23" s="35">
        <f>IFERROR(__xludf.DUMMYFUNCTION("""COMPUTED_VALUE"""),4.7)</f>
        <v>4.7</v>
      </c>
      <c r="E23" s="35">
        <f>IFERROR(__xludf.DUMMYFUNCTION("""COMPUTED_VALUE"""),4.0)</f>
        <v>4</v>
      </c>
      <c r="F23" s="35">
        <f>IFERROR(__xludf.DUMMYFUNCTION("""COMPUTED_VALUE"""),4.8)</f>
        <v>4.8</v>
      </c>
      <c r="G23" s="35">
        <f>IFERROR(__xludf.DUMMYFUNCTION("""COMPUTED_VALUE"""),4.0)</f>
        <v>4</v>
      </c>
      <c r="H23" s="35">
        <f>IFERROR(__xludf.DUMMYFUNCTION("""COMPUTED_VALUE"""),5.4)</f>
        <v>5.4</v>
      </c>
      <c r="I23" s="4">
        <f t="shared" si="1"/>
        <v>4.55</v>
      </c>
    </row>
    <row r="24">
      <c r="A24" s="30">
        <f>VLOOKUP(B24,map!B:C,2,false)</f>
        <v>21</v>
      </c>
      <c r="B24" s="31" t="str">
        <f>IFERROR(__xludf.DUMMYFUNCTION("""COMPUTED_VALUE"""),"Arizona")</f>
        <v>Arizona</v>
      </c>
      <c r="C24" s="35">
        <f>IFERROR(__xludf.DUMMYFUNCTION("""COMPUTED_VALUE"""),4.4)</f>
        <v>4.4</v>
      </c>
      <c r="D24" s="35">
        <f>IFERROR(__xludf.DUMMYFUNCTION("""COMPUTED_VALUE"""),4.3)</f>
        <v>4.3</v>
      </c>
      <c r="E24" s="35">
        <f>IFERROR(__xludf.DUMMYFUNCTION("""COMPUTED_VALUE"""),7.0)</f>
        <v>7</v>
      </c>
      <c r="F24" s="35">
        <f>IFERROR(__xludf.DUMMYFUNCTION("""COMPUTED_VALUE"""),3.5)</f>
        <v>3.5</v>
      </c>
      <c r="G24" s="35">
        <f>IFERROR(__xludf.DUMMYFUNCTION("""COMPUTED_VALUE"""),5.3)</f>
        <v>5.3</v>
      </c>
      <c r="H24" s="35">
        <f>IFERROR(__xludf.DUMMYFUNCTION("""COMPUTED_VALUE"""),5.2)</f>
        <v>5.2</v>
      </c>
      <c r="I24" s="4">
        <f t="shared" si="1"/>
        <v>4.95</v>
      </c>
    </row>
    <row r="25">
      <c r="A25" s="30">
        <f>VLOOKUP(B25,map!B:C,2,false)</f>
        <v>27</v>
      </c>
      <c r="B25" s="31" t="str">
        <f>IFERROR(__xludf.DUMMYFUNCTION("""COMPUTED_VALUE"""),"Denver")</f>
        <v>Denver</v>
      </c>
      <c r="C25" s="35">
        <f>IFERROR(__xludf.DUMMYFUNCTION("""COMPUTED_VALUE"""),4.4)</f>
        <v>4.4</v>
      </c>
      <c r="D25" s="35">
        <f>IFERROR(__xludf.DUMMYFUNCTION("""COMPUTED_VALUE"""),6.0)</f>
        <v>6</v>
      </c>
      <c r="E25" s="35">
        <f>IFERROR(__xludf.DUMMYFUNCTION("""COMPUTED_VALUE"""),11.0)</f>
        <v>11</v>
      </c>
      <c r="F25" s="35">
        <f>IFERROR(__xludf.DUMMYFUNCTION("""COMPUTED_VALUE"""),4.8)</f>
        <v>4.8</v>
      </c>
      <c r="G25" s="35">
        <f>IFERROR(__xludf.DUMMYFUNCTION("""COMPUTED_VALUE"""),4.0)</f>
        <v>4</v>
      </c>
      <c r="H25" s="35">
        <f>IFERROR(__xludf.DUMMYFUNCTION("""COMPUTED_VALUE"""),4.8)</f>
        <v>4.8</v>
      </c>
      <c r="I25" s="4">
        <f t="shared" si="1"/>
        <v>5.833333333</v>
      </c>
    </row>
    <row r="26">
      <c r="A26" s="30">
        <f>VLOOKUP(B26,map!B:C,2,false)</f>
        <v>3</v>
      </c>
      <c r="B26" s="31" t="str">
        <f>IFERROR(__xludf.DUMMYFUNCTION("""COMPUTED_VALUE"""),"Minnesota")</f>
        <v>Minnesota</v>
      </c>
      <c r="C26" s="35">
        <f>IFERROR(__xludf.DUMMYFUNCTION("""COMPUTED_VALUE"""),4.3)</f>
        <v>4.3</v>
      </c>
      <c r="D26" s="35">
        <f>IFERROR(__xludf.DUMMYFUNCTION("""COMPUTED_VALUE"""),3.3)</f>
        <v>3.3</v>
      </c>
      <c r="E26" s="35">
        <f>IFERROR(__xludf.DUMMYFUNCTION("""COMPUTED_VALUE"""),2.0)</f>
        <v>2</v>
      </c>
      <c r="F26" s="35">
        <f>IFERROR(__xludf.DUMMYFUNCTION("""COMPUTED_VALUE"""),5.7)</f>
        <v>5.7</v>
      </c>
      <c r="G26" s="35">
        <f>IFERROR(__xludf.DUMMYFUNCTION("""COMPUTED_VALUE"""),3.3)</f>
        <v>3.3</v>
      </c>
      <c r="H26" s="35">
        <f>IFERROR(__xludf.DUMMYFUNCTION("""COMPUTED_VALUE"""),5.0)</f>
        <v>5</v>
      </c>
      <c r="I26" s="4">
        <f t="shared" si="1"/>
        <v>3.933333333</v>
      </c>
    </row>
    <row r="27">
      <c r="A27" s="30">
        <f>VLOOKUP(B27,map!B:C,2,false)</f>
        <v>11</v>
      </c>
      <c r="B27" s="31" t="str">
        <f>IFERROR(__xludf.DUMMYFUNCTION("""COMPUTED_VALUE"""),"Buffalo")</f>
        <v>Buffalo</v>
      </c>
      <c r="C27" s="35">
        <f>IFERROR(__xludf.DUMMYFUNCTION("""COMPUTED_VALUE"""),4.3)</f>
        <v>4.3</v>
      </c>
      <c r="D27" s="35">
        <f>IFERROR(__xludf.DUMMYFUNCTION("""COMPUTED_VALUE"""),5.3)</f>
        <v>5.3</v>
      </c>
      <c r="E27" s="35">
        <f>IFERROR(__xludf.DUMMYFUNCTION("""COMPUTED_VALUE"""),8.0)</f>
        <v>8</v>
      </c>
      <c r="F27" s="35">
        <f>IFERROR(__xludf.DUMMYFUNCTION("""COMPUTED_VALUE"""),4.0)</f>
        <v>4</v>
      </c>
      <c r="G27" s="35">
        <f>IFERROR(__xludf.DUMMYFUNCTION("""COMPUTED_VALUE"""),4.4)</f>
        <v>4.4</v>
      </c>
      <c r="H27" s="35">
        <f>IFERROR(__xludf.DUMMYFUNCTION("""COMPUTED_VALUE"""),6.4)</f>
        <v>6.4</v>
      </c>
      <c r="I27" s="4">
        <f t="shared" si="1"/>
        <v>5.4</v>
      </c>
    </row>
    <row r="28">
      <c r="A28" s="30">
        <f>VLOOKUP(B28,map!B:C,2,false)</f>
        <v>13</v>
      </c>
      <c r="B28" s="31" t="str">
        <f>IFERROR(__xludf.DUMMYFUNCTION("""COMPUTED_VALUE"""),"Seattle")</f>
        <v>Seattle</v>
      </c>
      <c r="C28" s="35">
        <f>IFERROR(__xludf.DUMMYFUNCTION("""COMPUTED_VALUE"""),4.3)</f>
        <v>4.3</v>
      </c>
      <c r="D28" s="35">
        <f>IFERROR(__xludf.DUMMYFUNCTION("""COMPUTED_VALUE"""),4.0)</f>
        <v>4</v>
      </c>
      <c r="E28" s="35">
        <f>IFERROR(__xludf.DUMMYFUNCTION("""COMPUTED_VALUE"""),1.0)</f>
        <v>1</v>
      </c>
      <c r="F28" s="35">
        <f>IFERROR(__xludf.DUMMYFUNCTION("""COMPUTED_VALUE"""),3.6)</f>
        <v>3.6</v>
      </c>
      <c r="G28" s="35">
        <f>IFERROR(__xludf.DUMMYFUNCTION("""COMPUTED_VALUE"""),5.3)</f>
        <v>5.3</v>
      </c>
      <c r="H28" s="35">
        <f>IFERROR(__xludf.DUMMYFUNCTION("""COMPUTED_VALUE"""),4.4)</f>
        <v>4.4</v>
      </c>
      <c r="I28" s="4">
        <f t="shared" si="1"/>
        <v>3.766666667</v>
      </c>
    </row>
    <row r="29">
      <c r="A29" s="30">
        <f>VLOOKUP(B29,map!B:C,2,false)</f>
        <v>24</v>
      </c>
      <c r="B29" s="31" t="str">
        <f>IFERROR(__xludf.DUMMYFUNCTION("""COMPUTED_VALUE"""),"Las Vegas")</f>
        <v>Las Vegas</v>
      </c>
      <c r="C29" s="35">
        <f>IFERROR(__xludf.DUMMYFUNCTION("""COMPUTED_VALUE"""),4.3)</f>
        <v>4.3</v>
      </c>
      <c r="D29" s="35">
        <f>IFERROR(__xludf.DUMMYFUNCTION("""COMPUTED_VALUE"""),3.7)</f>
        <v>3.7</v>
      </c>
      <c r="E29" s="35">
        <f>IFERROR(__xludf.DUMMYFUNCTION("""COMPUTED_VALUE"""),6.0)</f>
        <v>6</v>
      </c>
      <c r="F29" s="35">
        <f>IFERROR(__xludf.DUMMYFUNCTION("""COMPUTED_VALUE"""),3.8)</f>
        <v>3.8</v>
      </c>
      <c r="G29" s="35">
        <f>IFERROR(__xludf.DUMMYFUNCTION("""COMPUTED_VALUE"""),4.8)</f>
        <v>4.8</v>
      </c>
      <c r="H29" s="35">
        <f>IFERROR(__xludf.DUMMYFUNCTION("""COMPUTED_VALUE"""),4.5)</f>
        <v>4.5</v>
      </c>
      <c r="I29" s="4">
        <f t="shared" si="1"/>
        <v>4.516666667</v>
      </c>
    </row>
    <row r="30">
      <c r="A30" s="30">
        <f>VLOOKUP(B30,map!B:C,2,false)</f>
        <v>16</v>
      </c>
      <c r="B30" s="31" t="str">
        <f>IFERROR(__xludf.DUMMYFUNCTION("""COMPUTED_VALUE"""),"Cleveland")</f>
        <v>Cleveland</v>
      </c>
      <c r="C30" s="35">
        <f>IFERROR(__xludf.DUMMYFUNCTION("""COMPUTED_VALUE"""),3.9)</f>
        <v>3.9</v>
      </c>
      <c r="D30" s="35">
        <f>IFERROR(__xludf.DUMMYFUNCTION("""COMPUTED_VALUE"""),6.3)</f>
        <v>6.3</v>
      </c>
      <c r="E30" s="35">
        <f>IFERROR(__xludf.DUMMYFUNCTION("""COMPUTED_VALUE"""),8.0)</f>
        <v>8</v>
      </c>
      <c r="F30" s="35">
        <f>IFERROR(__xludf.DUMMYFUNCTION("""COMPUTED_VALUE"""),5.5)</f>
        <v>5.5</v>
      </c>
      <c r="G30" s="35">
        <f>IFERROR(__xludf.DUMMYFUNCTION("""COMPUTED_VALUE"""),2.3)</f>
        <v>2.3</v>
      </c>
      <c r="H30" s="35">
        <f>IFERROR(__xludf.DUMMYFUNCTION("""COMPUTED_VALUE"""),4.8)</f>
        <v>4.8</v>
      </c>
      <c r="I30" s="4">
        <f t="shared" si="1"/>
        <v>5.133333333</v>
      </c>
    </row>
    <row r="31">
      <c r="A31" s="30">
        <f>VLOOKUP(B31,map!B:C,2,false)</f>
        <v>23</v>
      </c>
      <c r="B31" s="31" t="str">
        <f>IFERROR(__xludf.DUMMYFUNCTION("""COMPUTED_VALUE"""),"Carolina")</f>
        <v>Carolina</v>
      </c>
      <c r="C31" s="35">
        <f>IFERROR(__xludf.DUMMYFUNCTION("""COMPUTED_VALUE"""),3.8)</f>
        <v>3.8</v>
      </c>
      <c r="D31" s="35">
        <f>IFERROR(__xludf.DUMMYFUNCTION("""COMPUTED_VALUE"""),4.3)</f>
        <v>4.3</v>
      </c>
      <c r="E31" s="35">
        <f>IFERROR(__xludf.DUMMYFUNCTION("""COMPUTED_VALUE"""),5.0)</f>
        <v>5</v>
      </c>
      <c r="F31" s="35">
        <f>IFERROR(__xludf.DUMMYFUNCTION("""COMPUTED_VALUE"""),4.3)</f>
        <v>4.3</v>
      </c>
      <c r="G31" s="35">
        <f>IFERROR(__xludf.DUMMYFUNCTION("""COMPUTED_VALUE"""),3.4)</f>
        <v>3.4</v>
      </c>
      <c r="H31" s="35">
        <f>IFERROR(__xludf.DUMMYFUNCTION("""COMPUTED_VALUE"""),5.0)</f>
        <v>5</v>
      </c>
      <c r="I31" s="4">
        <f t="shared" si="1"/>
        <v>4.3</v>
      </c>
    </row>
    <row r="32">
      <c r="A32" s="30">
        <f>VLOOKUP(B32,map!B:C,2,false)</f>
        <v>32</v>
      </c>
      <c r="B32" s="31" t="str">
        <f>IFERROR(__xludf.DUMMYFUNCTION("""COMPUTED_VALUE"""),"Tennessee")</f>
        <v>Tennessee</v>
      </c>
      <c r="C32" s="35">
        <f>IFERROR(__xludf.DUMMYFUNCTION("""COMPUTED_VALUE"""),3.7)</f>
        <v>3.7</v>
      </c>
      <c r="D32" s="35">
        <f>IFERROR(__xludf.DUMMYFUNCTION("""COMPUTED_VALUE"""),4.3)</f>
        <v>4.3</v>
      </c>
      <c r="E32" s="35">
        <f>IFERROR(__xludf.DUMMYFUNCTION("""COMPUTED_VALUE"""),3.0)</f>
        <v>3</v>
      </c>
      <c r="F32" s="35">
        <f>IFERROR(__xludf.DUMMYFUNCTION("""COMPUTED_VALUE"""),4.0)</f>
        <v>4</v>
      </c>
      <c r="G32" s="35">
        <f>IFERROR(__xludf.DUMMYFUNCTION("""COMPUTED_VALUE"""),3.5)</f>
        <v>3.5</v>
      </c>
      <c r="H32" s="35">
        <f>IFERROR(__xludf.DUMMYFUNCTION("""COMPUTED_VALUE"""),4.2)</f>
        <v>4.2</v>
      </c>
      <c r="I32" s="4">
        <f t="shared" si="1"/>
        <v>3.783333333</v>
      </c>
    </row>
    <row r="33">
      <c r="A33" s="30">
        <f>VLOOKUP(B33,map!B:C,2,false)</f>
        <v>6</v>
      </c>
      <c r="B33" s="31" t="str">
        <f>IFERROR(__xludf.DUMMYFUNCTION("""COMPUTED_VALUE"""),"Jacksonville")</f>
        <v>Jacksonville</v>
      </c>
      <c r="C33" s="35">
        <f>IFERROR(__xludf.DUMMYFUNCTION("""COMPUTED_VALUE"""),3.5)</f>
        <v>3.5</v>
      </c>
      <c r="D33" s="35">
        <f>IFERROR(__xludf.DUMMYFUNCTION("""COMPUTED_VALUE"""),4.7)</f>
        <v>4.7</v>
      </c>
      <c r="E33" s="35">
        <f>IFERROR(__xludf.DUMMYFUNCTION("""COMPUTED_VALUE"""),1.0)</f>
        <v>1</v>
      </c>
      <c r="F33" s="35">
        <f>IFERROR(__xludf.DUMMYFUNCTION("""COMPUTED_VALUE"""),2.3)</f>
        <v>2.3</v>
      </c>
      <c r="G33" s="35">
        <f>IFERROR(__xludf.DUMMYFUNCTION("""COMPUTED_VALUE"""),4.2)</f>
        <v>4.2</v>
      </c>
      <c r="H33" s="35">
        <f>IFERROR(__xludf.DUMMYFUNCTION("""COMPUTED_VALUE"""),5.1)</f>
        <v>5.1</v>
      </c>
      <c r="I33" s="4">
        <f t="shared" si="1"/>
        <v>3.466666667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IFERROR(__xludf.DUMMYFUNCTION("QUERY(IMPORTHTML(""https://www.teamrankings.com/nfl/stat/fumbles-lost-per-game?date=""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8</v>
      </c>
      <c r="B2" s="31" t="str">
        <f>IFERROR(__xludf.DUMMYFUNCTION("""COMPUTED_VALUE"""),"Washington")</f>
        <v>Washington</v>
      </c>
      <c r="C2" s="35">
        <f>IFERROR(__xludf.DUMMYFUNCTION("""COMPUTED_VALUE"""),0.1)</f>
        <v>0.1</v>
      </c>
      <c r="D2" s="35">
        <f>IFERROR(__xludf.DUMMYFUNCTION("""COMPUTED_VALUE"""),0.0)</f>
        <v>0</v>
      </c>
      <c r="E2" s="35">
        <f>IFERROR(__xludf.DUMMYFUNCTION("""COMPUTED_VALUE"""),0.0)</f>
        <v>0</v>
      </c>
      <c r="F2" s="35">
        <f>IFERROR(__xludf.DUMMYFUNCTION("""COMPUTED_VALUE"""),0.3)</f>
        <v>0.3</v>
      </c>
      <c r="G2" s="35">
        <f>IFERROR(__xludf.DUMMYFUNCTION("""COMPUTED_VALUE"""),0.0)</f>
        <v>0</v>
      </c>
      <c r="H2" s="35">
        <f>IFERROR(__xludf.DUMMYFUNCTION("""COMPUTED_VALUE"""),0.6)</f>
        <v>0.6</v>
      </c>
      <c r="I2" s="4">
        <f t="shared" ref="I2:I33" si="1">AVERAGE(C2:H2)</f>
        <v>0.1666666667</v>
      </c>
    </row>
    <row r="3">
      <c r="A3" s="30">
        <f>VLOOKUP(B3,map!B:C,2,false)</f>
        <v>5</v>
      </c>
      <c r="B3" s="31" t="str">
        <f>IFERROR(__xludf.DUMMYFUNCTION("""COMPUTED_VALUE"""),"Detroit")</f>
        <v>Detroit</v>
      </c>
      <c r="C3" s="35">
        <f>IFERROR(__xludf.DUMMYFUNCTION("""COMPUTED_VALUE"""),0.1)</f>
        <v>0.1</v>
      </c>
      <c r="D3" s="35">
        <f>IFERROR(__xludf.DUMMYFUNCTION("""COMPUTED_VALUE"""),0.3)</f>
        <v>0.3</v>
      </c>
      <c r="E3" s="35">
        <f>IFERROR(__xludf.DUMMYFUNCTION("""COMPUTED_VALUE"""),0.0)</f>
        <v>0</v>
      </c>
      <c r="F3" s="35">
        <f>IFERROR(__xludf.DUMMYFUNCTION("""COMPUTED_VALUE"""),0.0)</f>
        <v>0</v>
      </c>
      <c r="G3" s="35">
        <f>IFERROR(__xludf.DUMMYFUNCTION("""COMPUTED_VALUE"""),0.3)</f>
        <v>0.3</v>
      </c>
      <c r="H3" s="35">
        <f>IFERROR(__xludf.DUMMYFUNCTION("""COMPUTED_VALUE"""),0.6)</f>
        <v>0.6</v>
      </c>
      <c r="I3" s="4">
        <f t="shared" si="1"/>
        <v>0.2166666667</v>
      </c>
    </row>
    <row r="4">
      <c r="A4" s="30">
        <f>VLOOKUP(B4,map!B:C,2,false)</f>
        <v>19</v>
      </c>
      <c r="B4" s="31" t="str">
        <f>IFERROR(__xludf.DUMMYFUNCTION("""COMPUTED_VALUE"""),"NY Jets")</f>
        <v>NY Jets</v>
      </c>
      <c r="C4" s="35">
        <f>IFERROR(__xludf.DUMMYFUNCTION("""COMPUTED_VALUE"""),0.3)</f>
        <v>0.3</v>
      </c>
      <c r="D4" s="35">
        <f>IFERROR(__xludf.DUMMYFUNCTION("""COMPUTED_VALUE"""),0.0)</f>
        <v>0</v>
      </c>
      <c r="E4" s="35">
        <f>IFERROR(__xludf.DUMMYFUNCTION("""COMPUTED_VALUE"""),0.0)</f>
        <v>0</v>
      </c>
      <c r="F4" s="35">
        <f>IFERROR(__xludf.DUMMYFUNCTION("""COMPUTED_VALUE"""),0.3)</f>
        <v>0.3</v>
      </c>
      <c r="G4" s="35">
        <f>IFERROR(__xludf.DUMMYFUNCTION("""COMPUTED_VALUE"""),0.2)</f>
        <v>0.2</v>
      </c>
      <c r="H4" s="35">
        <f>IFERROR(__xludf.DUMMYFUNCTION("""COMPUTED_VALUE"""),1.1)</f>
        <v>1.1</v>
      </c>
      <c r="I4" s="4">
        <f t="shared" si="1"/>
        <v>0.3166666667</v>
      </c>
    </row>
    <row r="5">
      <c r="A5" s="30">
        <f>VLOOKUP(B5,map!B:C,2,false)</f>
        <v>11</v>
      </c>
      <c r="B5" s="31" t="str">
        <f>IFERROR(__xludf.DUMMYFUNCTION("""COMPUTED_VALUE"""),"Buffalo")</f>
        <v>Buffalo</v>
      </c>
      <c r="C5" s="35">
        <f>IFERROR(__xludf.DUMMYFUNCTION("""COMPUTED_VALUE"""),0.3)</f>
        <v>0.3</v>
      </c>
      <c r="D5" s="35">
        <f>IFERROR(__xludf.DUMMYFUNCTION("""COMPUTED_VALUE"""),0.0)</f>
        <v>0</v>
      </c>
      <c r="E5" s="35">
        <f>IFERROR(__xludf.DUMMYFUNCTION("""COMPUTED_VALUE"""),0.0)</f>
        <v>0</v>
      </c>
      <c r="F5" s="35">
        <f>IFERROR(__xludf.DUMMYFUNCTION("""COMPUTED_VALUE"""),0.3)</f>
        <v>0.3</v>
      </c>
      <c r="G5" s="35">
        <f>IFERROR(__xludf.DUMMYFUNCTION("""COMPUTED_VALUE"""),0.2)</f>
        <v>0.2</v>
      </c>
      <c r="H5" s="35">
        <f>IFERROR(__xludf.DUMMYFUNCTION("""COMPUTED_VALUE"""),0.5)</f>
        <v>0.5</v>
      </c>
      <c r="I5" s="4">
        <f t="shared" si="1"/>
        <v>0.2166666667</v>
      </c>
    </row>
    <row r="6">
      <c r="A6" s="30">
        <f>VLOOKUP(B6,map!B:C,2,false)</f>
        <v>2</v>
      </c>
      <c r="B6" s="31" t="str">
        <f>IFERROR(__xludf.DUMMYFUNCTION("""COMPUTED_VALUE"""),"Kansas City")</f>
        <v>Kansas City</v>
      </c>
      <c r="C6" s="35">
        <f>IFERROR(__xludf.DUMMYFUNCTION("""COMPUTED_VALUE"""),0.3)</f>
        <v>0.3</v>
      </c>
      <c r="D6" s="35">
        <f>IFERROR(__xludf.DUMMYFUNCTION("""COMPUTED_VALUE"""),0.0)</f>
        <v>0</v>
      </c>
      <c r="E6" s="35">
        <f>IFERROR(__xludf.DUMMYFUNCTION("""COMPUTED_VALUE"""),0.0)</f>
        <v>0</v>
      </c>
      <c r="F6" s="35">
        <f>IFERROR(__xludf.DUMMYFUNCTION("""COMPUTED_VALUE"""),0.3)</f>
        <v>0.3</v>
      </c>
      <c r="G6" s="35">
        <f>IFERROR(__xludf.DUMMYFUNCTION("""COMPUTED_VALUE"""),0.3)</f>
        <v>0.3</v>
      </c>
      <c r="H6" s="35">
        <f>IFERROR(__xludf.DUMMYFUNCTION("""COMPUTED_VALUE"""),0.7)</f>
        <v>0.7</v>
      </c>
      <c r="I6" s="4">
        <f t="shared" si="1"/>
        <v>0.2666666667</v>
      </c>
    </row>
    <row r="7">
      <c r="A7" s="30">
        <f>VLOOKUP(B7,map!B:C,2,false)</f>
        <v>15</v>
      </c>
      <c r="B7" s="31" t="str">
        <f>IFERROR(__xludf.DUMMYFUNCTION("""COMPUTED_VALUE"""),"Green Bay")</f>
        <v>Green Bay</v>
      </c>
      <c r="C7" s="35">
        <f>IFERROR(__xludf.DUMMYFUNCTION("""COMPUTED_VALUE"""),0.4)</f>
        <v>0.4</v>
      </c>
      <c r="D7" s="35">
        <f>IFERROR(__xludf.DUMMYFUNCTION("""COMPUTED_VALUE"""),0.3)</f>
        <v>0.3</v>
      </c>
      <c r="E7" s="35">
        <f>IFERROR(__xludf.DUMMYFUNCTION("""COMPUTED_VALUE"""),0.0)</f>
        <v>0</v>
      </c>
      <c r="F7" s="35">
        <f>IFERROR(__xludf.DUMMYFUNCTION("""COMPUTED_VALUE"""),0.8)</f>
        <v>0.8</v>
      </c>
      <c r="G7" s="35">
        <f>IFERROR(__xludf.DUMMYFUNCTION("""COMPUTED_VALUE"""),0.0)</f>
        <v>0</v>
      </c>
      <c r="H7" s="35">
        <f>IFERROR(__xludf.DUMMYFUNCTION("""COMPUTED_VALUE"""),0.4)</f>
        <v>0.4</v>
      </c>
      <c r="I7" s="4">
        <f t="shared" si="1"/>
        <v>0.3166666667</v>
      </c>
    </row>
    <row r="8">
      <c r="A8" s="30">
        <f>VLOOKUP(B8,map!B:C,2,false)</f>
        <v>20</v>
      </c>
      <c r="B8" s="31" t="str">
        <f>IFERROR(__xludf.DUMMYFUNCTION("""COMPUTED_VALUE"""),"Indianapolis")</f>
        <v>Indianapolis</v>
      </c>
      <c r="C8" s="35">
        <f>IFERROR(__xludf.DUMMYFUNCTION("""COMPUTED_VALUE"""),0.4)</f>
        <v>0.4</v>
      </c>
      <c r="D8" s="35">
        <f>IFERROR(__xludf.DUMMYFUNCTION("""COMPUTED_VALUE"""),0.7)</f>
        <v>0.7</v>
      </c>
      <c r="E8" s="35">
        <f>IFERROR(__xludf.DUMMYFUNCTION("""COMPUTED_VALUE"""),1.0)</f>
        <v>1</v>
      </c>
      <c r="F8" s="35">
        <f>IFERROR(__xludf.DUMMYFUNCTION("""COMPUTED_VALUE"""),0.3)</f>
        <v>0.3</v>
      </c>
      <c r="G8" s="35">
        <f>IFERROR(__xludf.DUMMYFUNCTION("""COMPUTED_VALUE"""),0.5)</f>
        <v>0.5</v>
      </c>
      <c r="H8" s="35">
        <f>IFERROR(__xludf.DUMMYFUNCTION("""COMPUTED_VALUE"""),0.7)</f>
        <v>0.7</v>
      </c>
      <c r="I8" s="4">
        <f t="shared" si="1"/>
        <v>0.6</v>
      </c>
    </row>
    <row r="9">
      <c r="A9" s="30">
        <f>VLOOKUP(B9,map!B:C,2,false)</f>
        <v>28</v>
      </c>
      <c r="B9" s="31" t="str">
        <f>IFERROR(__xludf.DUMMYFUNCTION("""COMPUTED_VALUE"""),"Atlanta")</f>
        <v>Atlanta</v>
      </c>
      <c r="C9" s="35">
        <f>IFERROR(__xludf.DUMMYFUNCTION("""COMPUTED_VALUE"""),0.4)</f>
        <v>0.4</v>
      </c>
      <c r="D9" s="35">
        <f>IFERROR(__xludf.DUMMYFUNCTION("""COMPUTED_VALUE"""),0.7)</f>
        <v>0.7</v>
      </c>
      <c r="E9" s="35">
        <f>IFERROR(__xludf.DUMMYFUNCTION("""COMPUTED_VALUE"""),0.0)</f>
        <v>0</v>
      </c>
      <c r="F9" s="35">
        <f>IFERROR(__xludf.DUMMYFUNCTION("""COMPUTED_VALUE"""),0.4)</f>
        <v>0.4</v>
      </c>
      <c r="G9" s="35">
        <f>IFERROR(__xludf.DUMMYFUNCTION("""COMPUTED_VALUE"""),0.3)</f>
        <v>0.3</v>
      </c>
      <c r="H9" s="35">
        <f>IFERROR(__xludf.DUMMYFUNCTION("""COMPUTED_VALUE"""),0.6)</f>
        <v>0.6</v>
      </c>
      <c r="I9" s="4">
        <f t="shared" si="1"/>
        <v>0.4</v>
      </c>
    </row>
    <row r="10">
      <c r="A10" s="30">
        <f>VLOOKUP(B10,map!B:C,2,false)</f>
        <v>14</v>
      </c>
      <c r="B10" s="31" t="str">
        <f>IFERROR(__xludf.DUMMYFUNCTION("""COMPUTED_VALUE"""),"Tampa Bay")</f>
        <v>Tampa Bay</v>
      </c>
      <c r="C10" s="35">
        <f>IFERROR(__xludf.DUMMYFUNCTION("""COMPUTED_VALUE"""),0.4)</f>
        <v>0.4</v>
      </c>
      <c r="D10" s="35">
        <f>IFERROR(__xludf.DUMMYFUNCTION("""COMPUTED_VALUE"""),0.3)</f>
        <v>0.3</v>
      </c>
      <c r="E10" s="35">
        <f>IFERROR(__xludf.DUMMYFUNCTION("""COMPUTED_VALUE"""),1.0)</f>
        <v>1</v>
      </c>
      <c r="F10" s="35">
        <f>IFERROR(__xludf.DUMMYFUNCTION("""COMPUTED_VALUE"""),0.4)</f>
        <v>0.4</v>
      </c>
      <c r="G10" s="35">
        <f>IFERROR(__xludf.DUMMYFUNCTION("""COMPUTED_VALUE"""),0.3)</f>
        <v>0.3</v>
      </c>
      <c r="H10" s="35">
        <f>IFERROR(__xludf.DUMMYFUNCTION("""COMPUTED_VALUE"""),0.4)</f>
        <v>0.4</v>
      </c>
      <c r="I10" s="4">
        <f t="shared" si="1"/>
        <v>0.4666666667</v>
      </c>
    </row>
    <row r="11">
      <c r="A11" s="30">
        <f>VLOOKUP(B11,map!B:C,2,false)</f>
        <v>23</v>
      </c>
      <c r="B11" s="31" t="str">
        <f>IFERROR(__xludf.DUMMYFUNCTION("""COMPUTED_VALUE"""),"Carolina")</f>
        <v>Carolina</v>
      </c>
      <c r="C11" s="35">
        <f>IFERROR(__xludf.DUMMYFUNCTION("""COMPUTED_VALUE"""),0.4)</f>
        <v>0.4</v>
      </c>
      <c r="D11" s="35">
        <f>IFERROR(__xludf.DUMMYFUNCTION("""COMPUTED_VALUE"""),0.0)</f>
        <v>0</v>
      </c>
      <c r="E11" s="35">
        <f>IFERROR(__xludf.DUMMYFUNCTION("""COMPUTED_VALUE"""),0.0)</f>
        <v>0</v>
      </c>
      <c r="F11" s="35">
        <f>IFERROR(__xludf.DUMMYFUNCTION("""COMPUTED_VALUE"""),0.0)</f>
        <v>0</v>
      </c>
      <c r="G11" s="35">
        <f>IFERROR(__xludf.DUMMYFUNCTION("""COMPUTED_VALUE"""),0.6)</f>
        <v>0.6</v>
      </c>
      <c r="H11" s="35">
        <f>IFERROR(__xludf.DUMMYFUNCTION("""COMPUTED_VALUE"""),0.6)</f>
        <v>0.6</v>
      </c>
      <c r="I11" s="4">
        <f t="shared" si="1"/>
        <v>0.2666666667</v>
      </c>
    </row>
    <row r="12">
      <c r="A12" s="30">
        <f>VLOOKUP(B12,map!B:C,2,false)</f>
        <v>7</v>
      </c>
      <c r="B12" s="31" t="str">
        <f>IFERROR(__xludf.DUMMYFUNCTION("""COMPUTED_VALUE"""),"LA Chargers")</f>
        <v>LA Chargers</v>
      </c>
      <c r="C12" s="35">
        <f>IFERROR(__xludf.DUMMYFUNCTION("""COMPUTED_VALUE"""),0.4)</f>
        <v>0.4</v>
      </c>
      <c r="D12" s="35">
        <f>IFERROR(__xludf.DUMMYFUNCTION("""COMPUTED_VALUE"""),0.7)</f>
        <v>0.7</v>
      </c>
      <c r="E12" s="35">
        <f>IFERROR(__xludf.DUMMYFUNCTION("""COMPUTED_VALUE"""),0.0)</f>
        <v>0</v>
      </c>
      <c r="F12" s="35">
        <f>IFERROR(__xludf.DUMMYFUNCTION("""COMPUTED_VALUE"""),0.0)</f>
        <v>0</v>
      </c>
      <c r="G12" s="35">
        <f>IFERROR(__xludf.DUMMYFUNCTION("""COMPUTED_VALUE"""),0.8)</f>
        <v>0.8</v>
      </c>
      <c r="H12" s="35">
        <f>IFERROR(__xludf.DUMMYFUNCTION("""COMPUTED_VALUE"""),0.8)</f>
        <v>0.8</v>
      </c>
      <c r="I12" s="4">
        <f t="shared" si="1"/>
        <v>0.45</v>
      </c>
    </row>
    <row r="13">
      <c r="A13" s="30">
        <f>VLOOKUP(B13,map!B:C,2,false)</f>
        <v>18</v>
      </c>
      <c r="B13" s="31" t="str">
        <f>IFERROR(__xludf.DUMMYFUNCTION("""COMPUTED_VALUE"""),"LA Rams")</f>
        <v>LA Rams</v>
      </c>
      <c r="C13" s="35">
        <f>IFERROR(__xludf.DUMMYFUNCTION("""COMPUTED_VALUE"""),0.4)</f>
        <v>0.4</v>
      </c>
      <c r="D13" s="35">
        <f>IFERROR(__xludf.DUMMYFUNCTION("""COMPUTED_VALUE"""),0.3)</f>
        <v>0.3</v>
      </c>
      <c r="E13" s="35">
        <f>IFERROR(__xludf.DUMMYFUNCTION("""COMPUTED_VALUE"""),0.0)</f>
        <v>0</v>
      </c>
      <c r="F13" s="35">
        <f>IFERROR(__xludf.DUMMYFUNCTION("""COMPUTED_VALUE"""),0.3)</f>
        <v>0.3</v>
      </c>
      <c r="G13" s="35">
        <f>IFERROR(__xludf.DUMMYFUNCTION("""COMPUTED_VALUE"""),0.7)</f>
        <v>0.7</v>
      </c>
      <c r="H13" s="35">
        <f>IFERROR(__xludf.DUMMYFUNCTION("""COMPUTED_VALUE"""),0.3)</f>
        <v>0.3</v>
      </c>
      <c r="I13" s="4">
        <f t="shared" si="1"/>
        <v>0.3333333333</v>
      </c>
    </row>
    <row r="14">
      <c r="A14" s="30">
        <f>VLOOKUP(B14,map!B:C,2,false)</f>
        <v>29</v>
      </c>
      <c r="B14" s="31" t="str">
        <f>IFERROR(__xludf.DUMMYFUNCTION("""COMPUTED_VALUE"""),"Pittsburgh")</f>
        <v>Pittsburgh</v>
      </c>
      <c r="C14" s="35">
        <f>IFERROR(__xludf.DUMMYFUNCTION("""COMPUTED_VALUE"""),0.4)</f>
        <v>0.4</v>
      </c>
      <c r="D14" s="35">
        <f>IFERROR(__xludf.DUMMYFUNCTION("""COMPUTED_VALUE"""),0.3)</f>
        <v>0.3</v>
      </c>
      <c r="E14" s="35">
        <f>IFERROR(__xludf.DUMMYFUNCTION("""COMPUTED_VALUE"""),0.0)</f>
        <v>0</v>
      </c>
      <c r="F14" s="35">
        <f>IFERROR(__xludf.DUMMYFUNCTION("""COMPUTED_VALUE"""),0.3)</f>
        <v>0.3</v>
      </c>
      <c r="G14" s="35">
        <f>IFERROR(__xludf.DUMMYFUNCTION("""COMPUTED_VALUE"""),0.5)</f>
        <v>0.5</v>
      </c>
      <c r="H14" s="35">
        <f>IFERROR(__xludf.DUMMYFUNCTION("""COMPUTED_VALUE"""),0.4)</f>
        <v>0.4</v>
      </c>
      <c r="I14" s="4">
        <f t="shared" si="1"/>
        <v>0.3166666667</v>
      </c>
    </row>
    <row r="15">
      <c r="A15" s="30">
        <f>VLOOKUP(B15,map!B:C,2,false)</f>
        <v>31</v>
      </c>
      <c r="B15" s="31" t="str">
        <f>IFERROR(__xludf.DUMMYFUNCTION("""COMPUTED_VALUE"""),"Chicago")</f>
        <v>Chicago</v>
      </c>
      <c r="C15" s="35">
        <f>IFERROR(__xludf.DUMMYFUNCTION("""COMPUTED_VALUE"""),0.4)</f>
        <v>0.4</v>
      </c>
      <c r="D15" s="35">
        <f>IFERROR(__xludf.DUMMYFUNCTION("""COMPUTED_VALUE"""),0.3)</f>
        <v>0.3</v>
      </c>
      <c r="E15" s="35">
        <f>IFERROR(__xludf.DUMMYFUNCTION("""COMPUTED_VALUE"""),1.0)</f>
        <v>1</v>
      </c>
      <c r="F15" s="35">
        <f>IFERROR(__xludf.DUMMYFUNCTION("""COMPUTED_VALUE"""),0.3)</f>
        <v>0.3</v>
      </c>
      <c r="G15" s="35">
        <f>IFERROR(__xludf.DUMMYFUNCTION("""COMPUTED_VALUE"""),0.5)</f>
        <v>0.5</v>
      </c>
      <c r="H15" s="35">
        <f>IFERROR(__xludf.DUMMYFUNCTION("""COMPUTED_VALUE"""),0.6)</f>
        <v>0.6</v>
      </c>
      <c r="I15" s="4">
        <f t="shared" si="1"/>
        <v>0.5166666667</v>
      </c>
    </row>
    <row r="16">
      <c r="A16" s="30">
        <f>VLOOKUP(B16,map!B:C,2,false)</f>
        <v>30</v>
      </c>
      <c r="B16" s="31" t="str">
        <f>IFERROR(__xludf.DUMMYFUNCTION("""COMPUTED_VALUE"""),"Baltimore")</f>
        <v>Baltimore</v>
      </c>
      <c r="C16" s="35">
        <f>IFERROR(__xludf.DUMMYFUNCTION("""COMPUTED_VALUE"""),0.5)</f>
        <v>0.5</v>
      </c>
      <c r="D16" s="35">
        <f>IFERROR(__xludf.DUMMYFUNCTION("""COMPUTED_VALUE"""),0.3)</f>
        <v>0.3</v>
      </c>
      <c r="E16" s="35">
        <f>IFERROR(__xludf.DUMMYFUNCTION("""COMPUTED_VALUE"""),0.0)</f>
        <v>0</v>
      </c>
      <c r="F16" s="35">
        <f>IFERROR(__xludf.DUMMYFUNCTION("""COMPUTED_VALUE"""),0.3)</f>
        <v>0.3</v>
      </c>
      <c r="G16" s="35">
        <f>IFERROR(__xludf.DUMMYFUNCTION("""COMPUTED_VALUE"""),0.6)</f>
        <v>0.6</v>
      </c>
      <c r="H16" s="35">
        <f>IFERROR(__xludf.DUMMYFUNCTION("""COMPUTED_VALUE"""),0.7)</f>
        <v>0.7</v>
      </c>
      <c r="I16" s="4">
        <f t="shared" si="1"/>
        <v>0.4</v>
      </c>
    </row>
    <row r="17">
      <c r="A17" s="30">
        <f>VLOOKUP(B17,map!B:C,2,false)</f>
        <v>25</v>
      </c>
      <c r="B17" s="31" t="str">
        <f>IFERROR(__xludf.DUMMYFUNCTION("""COMPUTED_VALUE"""),"San Francisco")</f>
        <v>San Francisco</v>
      </c>
      <c r="C17" s="35">
        <f>IFERROR(__xludf.DUMMYFUNCTION("""COMPUTED_VALUE"""),0.5)</f>
        <v>0.5</v>
      </c>
      <c r="D17" s="35">
        <f>IFERROR(__xludf.DUMMYFUNCTION("""COMPUTED_VALUE"""),0.0)</f>
        <v>0</v>
      </c>
      <c r="E17" s="35">
        <f>IFERROR(__xludf.DUMMYFUNCTION("""COMPUTED_VALUE"""),0.0)</f>
        <v>0</v>
      </c>
      <c r="F17" s="35">
        <f>IFERROR(__xludf.DUMMYFUNCTION("""COMPUTED_VALUE"""),0.4)</f>
        <v>0.4</v>
      </c>
      <c r="G17" s="35">
        <f>IFERROR(__xludf.DUMMYFUNCTION("""COMPUTED_VALUE"""),0.7)</f>
        <v>0.7</v>
      </c>
      <c r="H17" s="35">
        <f>IFERROR(__xludf.DUMMYFUNCTION("""COMPUTED_VALUE"""),0.4)</f>
        <v>0.4</v>
      </c>
      <c r="I17" s="4">
        <f t="shared" si="1"/>
        <v>0.3333333333</v>
      </c>
    </row>
    <row r="18">
      <c r="A18" s="30">
        <f>VLOOKUP(B18,map!B:C,2,false)</f>
        <v>16</v>
      </c>
      <c r="B18" s="31" t="str">
        <f>IFERROR(__xludf.DUMMYFUNCTION("""COMPUTED_VALUE"""),"Cleveland")</f>
        <v>Cleveland</v>
      </c>
      <c r="C18" s="35">
        <f>IFERROR(__xludf.DUMMYFUNCTION("""COMPUTED_VALUE"""),0.5)</f>
        <v>0.5</v>
      </c>
      <c r="D18" s="35">
        <f>IFERROR(__xludf.DUMMYFUNCTION("""COMPUTED_VALUE"""),0.3)</f>
        <v>0.3</v>
      </c>
      <c r="E18" s="35">
        <f>IFERROR(__xludf.DUMMYFUNCTION("""COMPUTED_VALUE"""),1.0)</f>
        <v>1</v>
      </c>
      <c r="F18" s="35">
        <f>IFERROR(__xludf.DUMMYFUNCTION("""COMPUTED_VALUE"""),0.8)</f>
        <v>0.8</v>
      </c>
      <c r="G18" s="35">
        <f>IFERROR(__xludf.DUMMYFUNCTION("""COMPUTED_VALUE"""),0.3)</f>
        <v>0.3</v>
      </c>
      <c r="H18" s="35">
        <f>IFERROR(__xludf.DUMMYFUNCTION("""COMPUTED_VALUE"""),0.8)</f>
        <v>0.8</v>
      </c>
      <c r="I18" s="4">
        <f t="shared" si="1"/>
        <v>0.6166666667</v>
      </c>
    </row>
    <row r="19">
      <c r="A19" s="30">
        <f>VLOOKUP(B19,map!B:C,2,false)</f>
        <v>17</v>
      </c>
      <c r="B19" s="31" t="str">
        <f>IFERROR(__xludf.DUMMYFUNCTION("""COMPUTED_VALUE"""),"Houston")</f>
        <v>Houston</v>
      </c>
      <c r="C19" s="35">
        <f>IFERROR(__xludf.DUMMYFUNCTION("""COMPUTED_VALUE"""),0.5)</f>
        <v>0.5</v>
      </c>
      <c r="D19" s="35">
        <f>IFERROR(__xludf.DUMMYFUNCTION("""COMPUTED_VALUE"""),0.3)</f>
        <v>0.3</v>
      </c>
      <c r="E19" s="35">
        <f>IFERROR(__xludf.DUMMYFUNCTION("""COMPUTED_VALUE"""),1.0)</f>
        <v>1</v>
      </c>
      <c r="F19" s="35">
        <f>IFERROR(__xludf.DUMMYFUNCTION("""COMPUTED_VALUE"""),1.0)</f>
        <v>1</v>
      </c>
      <c r="G19" s="35">
        <f>IFERROR(__xludf.DUMMYFUNCTION("""COMPUTED_VALUE"""),0.0)</f>
        <v>0</v>
      </c>
      <c r="H19" s="35">
        <f>IFERROR(__xludf.DUMMYFUNCTION("""COMPUTED_VALUE"""),0.3)</f>
        <v>0.3</v>
      </c>
      <c r="I19" s="4">
        <f t="shared" si="1"/>
        <v>0.5166666667</v>
      </c>
    </row>
    <row r="20">
      <c r="A20" s="30">
        <f>VLOOKUP(B20,map!B:C,2,false)</f>
        <v>26</v>
      </c>
      <c r="B20" s="31" t="str">
        <f>IFERROR(__xludf.DUMMYFUNCTION("""COMPUTED_VALUE"""),"NY Giants")</f>
        <v>NY Giants</v>
      </c>
      <c r="C20" s="35">
        <f>IFERROR(__xludf.DUMMYFUNCTION("""COMPUTED_VALUE"""),0.6)</f>
        <v>0.6</v>
      </c>
      <c r="D20" s="35">
        <f>IFERROR(__xludf.DUMMYFUNCTION("""COMPUTED_VALUE"""),0.3)</f>
        <v>0.3</v>
      </c>
      <c r="E20" s="35">
        <f>IFERROR(__xludf.DUMMYFUNCTION("""COMPUTED_VALUE"""),0.0)</f>
        <v>0</v>
      </c>
      <c r="F20" s="35">
        <f>IFERROR(__xludf.DUMMYFUNCTION("""COMPUTED_VALUE"""),0.0)</f>
        <v>0</v>
      </c>
      <c r="G20" s="35">
        <f>IFERROR(__xludf.DUMMYFUNCTION("""COMPUTED_VALUE"""),1.3)</f>
        <v>1.3</v>
      </c>
      <c r="H20" s="35">
        <f>IFERROR(__xludf.DUMMYFUNCTION("""COMPUTED_VALUE"""),0.4)</f>
        <v>0.4</v>
      </c>
      <c r="I20" s="4">
        <f t="shared" si="1"/>
        <v>0.4333333333</v>
      </c>
    </row>
    <row r="21">
      <c r="A21" s="30">
        <f>VLOOKUP(B21,map!B:C,2,false)</f>
        <v>12</v>
      </c>
      <c r="B21" s="31" t="str">
        <f>IFERROR(__xludf.DUMMYFUNCTION("""COMPUTED_VALUE"""),"Philadelphia")</f>
        <v>Philadelphia</v>
      </c>
      <c r="C21" s="35">
        <f>IFERROR(__xludf.DUMMYFUNCTION("""COMPUTED_VALUE"""),0.6)</f>
        <v>0.6</v>
      </c>
      <c r="D21" s="35">
        <f>IFERROR(__xludf.DUMMYFUNCTION("""COMPUTED_VALUE"""),0.0)</f>
        <v>0</v>
      </c>
      <c r="E21" s="35">
        <f>IFERROR(__xludf.DUMMYFUNCTION("""COMPUTED_VALUE"""),0.0)</f>
        <v>0</v>
      </c>
      <c r="F21" s="35">
        <f>IFERROR(__xludf.DUMMYFUNCTION("""COMPUTED_VALUE"""),0.0)</f>
        <v>0</v>
      </c>
      <c r="G21" s="35">
        <f>IFERROR(__xludf.DUMMYFUNCTION("""COMPUTED_VALUE"""),0.8)</f>
        <v>0.8</v>
      </c>
      <c r="H21" s="35">
        <f>IFERROR(__xludf.DUMMYFUNCTION("""COMPUTED_VALUE"""),0.7)</f>
        <v>0.7</v>
      </c>
      <c r="I21" s="4">
        <f t="shared" si="1"/>
        <v>0.35</v>
      </c>
    </row>
    <row r="22">
      <c r="A22" s="30">
        <f>VLOOKUP(B22,map!B:C,2,false)</f>
        <v>1</v>
      </c>
      <c r="B22" s="31" t="str">
        <f>IFERROR(__xludf.DUMMYFUNCTION("""COMPUTED_VALUE"""),"Dallas")</f>
        <v>Dallas</v>
      </c>
      <c r="C22" s="35">
        <f>IFERROR(__xludf.DUMMYFUNCTION("""COMPUTED_VALUE"""),0.6)</f>
        <v>0.6</v>
      </c>
      <c r="D22" s="35">
        <f>IFERROR(__xludf.DUMMYFUNCTION("""COMPUTED_VALUE"""),1.0)</f>
        <v>1</v>
      </c>
      <c r="E22" s="35">
        <f>IFERROR(__xludf.DUMMYFUNCTION("""COMPUTED_VALUE"""),0.0)</f>
        <v>0</v>
      </c>
      <c r="F22" s="35">
        <f>IFERROR(__xludf.DUMMYFUNCTION("""COMPUTED_VALUE"""),1.0)</f>
        <v>1</v>
      </c>
      <c r="G22" s="35">
        <f>IFERROR(__xludf.DUMMYFUNCTION("""COMPUTED_VALUE"""),0.3)</f>
        <v>0.3</v>
      </c>
      <c r="H22" s="35">
        <f>IFERROR(__xludf.DUMMYFUNCTION("""COMPUTED_VALUE"""),0.3)</f>
        <v>0.3</v>
      </c>
      <c r="I22" s="4">
        <f t="shared" si="1"/>
        <v>0.5333333333</v>
      </c>
    </row>
    <row r="23">
      <c r="A23" s="30">
        <f>VLOOKUP(B23,map!B:C,2,false)</f>
        <v>10</v>
      </c>
      <c r="B23" s="31" t="str">
        <f>IFERROR(__xludf.DUMMYFUNCTION("""COMPUTED_VALUE"""),"Miami")</f>
        <v>Miami</v>
      </c>
      <c r="C23" s="35">
        <f>IFERROR(__xludf.DUMMYFUNCTION("""COMPUTED_VALUE"""),0.6)</f>
        <v>0.6</v>
      </c>
      <c r="D23" s="35">
        <f>IFERROR(__xludf.DUMMYFUNCTION("""COMPUTED_VALUE"""),1.0)</f>
        <v>1</v>
      </c>
      <c r="E23" s="35">
        <f>IFERROR(__xludf.DUMMYFUNCTION("""COMPUTED_VALUE"""),0.0)</f>
        <v>0</v>
      </c>
      <c r="F23" s="35">
        <f>IFERROR(__xludf.DUMMYFUNCTION("""COMPUTED_VALUE"""),0.3)</f>
        <v>0.3</v>
      </c>
      <c r="G23" s="35">
        <f>IFERROR(__xludf.DUMMYFUNCTION("""COMPUTED_VALUE"""),1.0)</f>
        <v>1</v>
      </c>
      <c r="H23" s="35">
        <f>IFERROR(__xludf.DUMMYFUNCTION("""COMPUTED_VALUE"""),0.6)</f>
        <v>0.6</v>
      </c>
      <c r="I23" s="4">
        <f t="shared" si="1"/>
        <v>0.5833333333</v>
      </c>
    </row>
    <row r="24">
      <c r="A24" s="30">
        <f>VLOOKUP(B24,map!B:C,2,false)</f>
        <v>4</v>
      </c>
      <c r="B24" s="31" t="str">
        <f>IFERROR(__xludf.DUMMYFUNCTION("""COMPUTED_VALUE"""),"Cincinnati")</f>
        <v>Cincinnati</v>
      </c>
      <c r="C24" s="35">
        <f>IFERROR(__xludf.DUMMYFUNCTION("""COMPUTED_VALUE"""),0.6)</f>
        <v>0.6</v>
      </c>
      <c r="D24" s="35">
        <f>IFERROR(__xludf.DUMMYFUNCTION("""COMPUTED_VALUE"""),0.7)</f>
        <v>0.7</v>
      </c>
      <c r="E24" s="35">
        <f>IFERROR(__xludf.DUMMYFUNCTION("""COMPUTED_VALUE"""),1.0)</f>
        <v>1</v>
      </c>
      <c r="F24" s="35">
        <f>IFERROR(__xludf.DUMMYFUNCTION("""COMPUTED_VALUE"""),0.8)</f>
        <v>0.8</v>
      </c>
      <c r="G24" s="35">
        <f>IFERROR(__xludf.DUMMYFUNCTION("""COMPUTED_VALUE"""),0.5)</f>
        <v>0.5</v>
      </c>
      <c r="H24" s="35">
        <f>IFERROR(__xludf.DUMMYFUNCTION("""COMPUTED_VALUE"""),0.1)</f>
        <v>0.1</v>
      </c>
      <c r="I24" s="4">
        <f t="shared" si="1"/>
        <v>0.6166666667</v>
      </c>
    </row>
    <row r="25">
      <c r="A25" s="30">
        <f>VLOOKUP(B25,map!B:C,2,false)</f>
        <v>13</v>
      </c>
      <c r="B25" s="31" t="str">
        <f>IFERROR(__xludf.DUMMYFUNCTION("""COMPUTED_VALUE"""),"Seattle")</f>
        <v>Seattle</v>
      </c>
      <c r="C25" s="35">
        <f>IFERROR(__xludf.DUMMYFUNCTION("""COMPUTED_VALUE"""),0.6)</f>
        <v>0.6</v>
      </c>
      <c r="D25" s="35">
        <f>IFERROR(__xludf.DUMMYFUNCTION("""COMPUTED_VALUE"""),0.7)</f>
        <v>0.7</v>
      </c>
      <c r="E25" s="35">
        <f>IFERROR(__xludf.DUMMYFUNCTION("""COMPUTED_VALUE"""),1.0)</f>
        <v>1</v>
      </c>
      <c r="F25" s="35">
        <f>IFERROR(__xludf.DUMMYFUNCTION("""COMPUTED_VALUE"""),0.8)</f>
        <v>0.8</v>
      </c>
      <c r="G25" s="35">
        <f>IFERROR(__xludf.DUMMYFUNCTION("""COMPUTED_VALUE"""),0.3)</f>
        <v>0.3</v>
      </c>
      <c r="H25" s="35">
        <f>IFERROR(__xludf.DUMMYFUNCTION("""COMPUTED_VALUE"""),0.3)</f>
        <v>0.3</v>
      </c>
      <c r="I25" s="4">
        <f t="shared" si="1"/>
        <v>0.6166666667</v>
      </c>
    </row>
    <row r="26">
      <c r="A26" s="30">
        <f>VLOOKUP(B26,map!B:C,2,false)</f>
        <v>9</v>
      </c>
      <c r="B26" s="31" t="str">
        <f>IFERROR(__xludf.DUMMYFUNCTION("""COMPUTED_VALUE"""),"New Orleans")</f>
        <v>New Orleans</v>
      </c>
      <c r="C26" s="35">
        <f>IFERROR(__xludf.DUMMYFUNCTION("""COMPUTED_VALUE"""),0.6)</f>
        <v>0.6</v>
      </c>
      <c r="D26" s="35">
        <f>IFERROR(__xludf.DUMMYFUNCTION("""COMPUTED_VALUE"""),1.0)</f>
        <v>1</v>
      </c>
      <c r="E26" s="35">
        <f>IFERROR(__xludf.DUMMYFUNCTION("""COMPUTED_VALUE"""),0.0)</f>
        <v>0</v>
      </c>
      <c r="F26" s="35">
        <f>IFERROR(__xludf.DUMMYFUNCTION("""COMPUTED_VALUE"""),1.0)</f>
        <v>1</v>
      </c>
      <c r="G26" s="35">
        <f>IFERROR(__xludf.DUMMYFUNCTION("""COMPUTED_VALUE"""),0.3)</f>
        <v>0.3</v>
      </c>
      <c r="H26" s="35">
        <f>IFERROR(__xludf.DUMMYFUNCTION("""COMPUTED_VALUE"""),0.4)</f>
        <v>0.4</v>
      </c>
      <c r="I26" s="4">
        <f t="shared" si="1"/>
        <v>0.55</v>
      </c>
    </row>
    <row r="27">
      <c r="A27" s="30">
        <f>VLOOKUP(B27,map!B:C,2,false)</f>
        <v>6</v>
      </c>
      <c r="B27" s="31" t="str">
        <f>IFERROR(__xludf.DUMMYFUNCTION("""COMPUTED_VALUE"""),"Jacksonville")</f>
        <v>Jacksonville</v>
      </c>
      <c r="C27" s="35">
        <f>IFERROR(__xludf.DUMMYFUNCTION("""COMPUTED_VALUE"""),0.6)</f>
        <v>0.6</v>
      </c>
      <c r="D27" s="35">
        <f>IFERROR(__xludf.DUMMYFUNCTION("""COMPUTED_VALUE"""),0.7)</f>
        <v>0.7</v>
      </c>
      <c r="E27" s="35">
        <f>IFERROR(__xludf.DUMMYFUNCTION("""COMPUTED_VALUE"""),1.0)</f>
        <v>1</v>
      </c>
      <c r="F27" s="35">
        <f>IFERROR(__xludf.DUMMYFUNCTION("""COMPUTED_VALUE"""),0.7)</f>
        <v>0.7</v>
      </c>
      <c r="G27" s="35">
        <f>IFERROR(__xludf.DUMMYFUNCTION("""COMPUTED_VALUE"""),0.6)</f>
        <v>0.6</v>
      </c>
      <c r="H27" s="35">
        <f>IFERROR(__xludf.DUMMYFUNCTION("""COMPUTED_VALUE"""),0.9)</f>
        <v>0.9</v>
      </c>
      <c r="I27" s="4">
        <f t="shared" si="1"/>
        <v>0.75</v>
      </c>
    </row>
    <row r="28">
      <c r="A28" s="30">
        <f>VLOOKUP(B28,map!B:C,2,false)</f>
        <v>22</v>
      </c>
      <c r="B28" s="31" t="str">
        <f>IFERROR(__xludf.DUMMYFUNCTION("""COMPUTED_VALUE"""),"New England")</f>
        <v>New England</v>
      </c>
      <c r="C28" s="35">
        <f>IFERROR(__xludf.DUMMYFUNCTION("""COMPUTED_VALUE"""),0.6)</f>
        <v>0.6</v>
      </c>
      <c r="D28" s="35">
        <f>IFERROR(__xludf.DUMMYFUNCTION("""COMPUTED_VALUE"""),0.7)</f>
        <v>0.7</v>
      </c>
      <c r="E28" s="35">
        <f>IFERROR(__xludf.DUMMYFUNCTION("""COMPUTED_VALUE"""),0.0)</f>
        <v>0</v>
      </c>
      <c r="F28" s="35">
        <f>IFERROR(__xludf.DUMMYFUNCTION("""COMPUTED_VALUE"""),0.5)</f>
        <v>0.5</v>
      </c>
      <c r="G28" s="35">
        <f>IFERROR(__xludf.DUMMYFUNCTION("""COMPUTED_VALUE"""),0.8)</f>
        <v>0.8</v>
      </c>
      <c r="H28" s="35">
        <f>IFERROR(__xludf.DUMMYFUNCTION("""COMPUTED_VALUE"""),0.5)</f>
        <v>0.5</v>
      </c>
      <c r="I28" s="4">
        <f t="shared" si="1"/>
        <v>0.5166666667</v>
      </c>
    </row>
    <row r="29">
      <c r="A29" s="30">
        <f>VLOOKUP(B29,map!B:C,2,false)</f>
        <v>3</v>
      </c>
      <c r="B29" s="31" t="str">
        <f>IFERROR(__xludf.DUMMYFUNCTION("""COMPUTED_VALUE"""),"Minnesota")</f>
        <v>Minnesota</v>
      </c>
      <c r="C29" s="35">
        <f>IFERROR(__xludf.DUMMYFUNCTION("""COMPUTED_VALUE"""),0.7)</f>
        <v>0.7</v>
      </c>
      <c r="D29" s="35">
        <f>IFERROR(__xludf.DUMMYFUNCTION("""COMPUTED_VALUE"""),0.3)</f>
        <v>0.3</v>
      </c>
      <c r="E29" s="35">
        <f>IFERROR(__xludf.DUMMYFUNCTION("""COMPUTED_VALUE"""),0.0)</f>
        <v>0</v>
      </c>
      <c r="F29" s="35">
        <f>IFERROR(__xludf.DUMMYFUNCTION("""COMPUTED_VALUE"""),0.3)</f>
        <v>0.3</v>
      </c>
      <c r="G29" s="35">
        <f>IFERROR(__xludf.DUMMYFUNCTION("""COMPUTED_VALUE"""),1.0)</f>
        <v>1</v>
      </c>
      <c r="H29" s="35">
        <f>IFERROR(__xludf.DUMMYFUNCTION("""COMPUTED_VALUE"""),0.9)</f>
        <v>0.9</v>
      </c>
      <c r="I29" s="4">
        <f t="shared" si="1"/>
        <v>0.5333333333</v>
      </c>
    </row>
    <row r="30">
      <c r="A30" s="30">
        <f>VLOOKUP(B30,map!B:C,2,false)</f>
        <v>21</v>
      </c>
      <c r="B30" s="31" t="str">
        <f>IFERROR(__xludf.DUMMYFUNCTION("""COMPUTED_VALUE"""),"Arizona")</f>
        <v>Arizona</v>
      </c>
      <c r="C30" s="35">
        <f>IFERROR(__xludf.DUMMYFUNCTION("""COMPUTED_VALUE"""),0.8)</f>
        <v>0.8</v>
      </c>
      <c r="D30" s="35">
        <f>IFERROR(__xludf.DUMMYFUNCTION("""COMPUTED_VALUE"""),1.0)</f>
        <v>1</v>
      </c>
      <c r="E30" s="35">
        <f>IFERROR(__xludf.DUMMYFUNCTION("""COMPUTED_VALUE"""),0.0)</f>
        <v>0</v>
      </c>
      <c r="F30" s="35">
        <f>IFERROR(__xludf.DUMMYFUNCTION("""COMPUTED_VALUE"""),0.5)</f>
        <v>0.5</v>
      </c>
      <c r="G30" s="35">
        <f>IFERROR(__xludf.DUMMYFUNCTION("""COMPUTED_VALUE"""),1.0)</f>
        <v>1</v>
      </c>
      <c r="H30" s="35">
        <f>IFERROR(__xludf.DUMMYFUNCTION("""COMPUTED_VALUE"""),0.4)</f>
        <v>0.4</v>
      </c>
      <c r="I30" s="4">
        <f t="shared" si="1"/>
        <v>0.6166666667</v>
      </c>
    </row>
    <row r="31">
      <c r="A31" s="30">
        <f>VLOOKUP(B31,map!B:C,2,false)</f>
        <v>32</v>
      </c>
      <c r="B31" s="31" t="str">
        <f>IFERROR(__xludf.DUMMYFUNCTION("""COMPUTED_VALUE"""),"Tennessee")</f>
        <v>Tennessee</v>
      </c>
      <c r="C31" s="35">
        <f>IFERROR(__xludf.DUMMYFUNCTION("""COMPUTED_VALUE"""),0.9)</f>
        <v>0.9</v>
      </c>
      <c r="D31" s="35">
        <f>IFERROR(__xludf.DUMMYFUNCTION("""COMPUTED_VALUE"""),1.0)</f>
        <v>1</v>
      </c>
      <c r="E31" s="35">
        <f>IFERROR(__xludf.DUMMYFUNCTION("""COMPUTED_VALUE"""),2.0)</f>
        <v>2</v>
      </c>
      <c r="F31" s="35">
        <f>IFERROR(__xludf.DUMMYFUNCTION("""COMPUTED_VALUE"""),0.7)</f>
        <v>0.7</v>
      </c>
      <c r="G31" s="35">
        <f>IFERROR(__xludf.DUMMYFUNCTION("""COMPUTED_VALUE"""),1.0)</f>
        <v>1</v>
      </c>
      <c r="H31" s="35">
        <f>IFERROR(__xludf.DUMMYFUNCTION("""COMPUTED_VALUE"""),0.5)</f>
        <v>0.5</v>
      </c>
      <c r="I31" s="4">
        <f t="shared" si="1"/>
        <v>1.016666667</v>
      </c>
    </row>
    <row r="32">
      <c r="A32" s="30">
        <f>VLOOKUP(B32,map!B:C,2,false)</f>
        <v>24</v>
      </c>
      <c r="B32" s="31" t="str">
        <f>IFERROR(__xludf.DUMMYFUNCTION("""COMPUTED_VALUE"""),"Las Vegas")</f>
        <v>Las Vegas</v>
      </c>
      <c r="C32" s="35">
        <f>IFERROR(__xludf.DUMMYFUNCTION("""COMPUTED_VALUE"""),0.9)</f>
        <v>0.9</v>
      </c>
      <c r="D32" s="35">
        <f>IFERROR(__xludf.DUMMYFUNCTION("""COMPUTED_VALUE"""),1.3)</f>
        <v>1.3</v>
      </c>
      <c r="E32" s="35">
        <f>IFERROR(__xludf.DUMMYFUNCTION("""COMPUTED_VALUE"""),1.0)</f>
        <v>1</v>
      </c>
      <c r="F32" s="35">
        <f>IFERROR(__xludf.DUMMYFUNCTION("""COMPUTED_VALUE"""),1.0)</f>
        <v>1</v>
      </c>
      <c r="G32" s="35">
        <f>IFERROR(__xludf.DUMMYFUNCTION("""COMPUTED_VALUE"""),0.8)</f>
        <v>0.8</v>
      </c>
      <c r="H32" s="35">
        <f>IFERROR(__xludf.DUMMYFUNCTION("""COMPUTED_VALUE"""),0.4)</f>
        <v>0.4</v>
      </c>
      <c r="I32" s="4">
        <f t="shared" si="1"/>
        <v>0.9</v>
      </c>
    </row>
    <row r="33">
      <c r="A33" s="30">
        <f>VLOOKUP(B33,map!B:C,2,false)</f>
        <v>27</v>
      </c>
      <c r="B33" s="31" t="str">
        <f>IFERROR(__xludf.DUMMYFUNCTION("""COMPUTED_VALUE"""),"Denver")</f>
        <v>Denver</v>
      </c>
      <c r="C33" s="35">
        <f>IFERROR(__xludf.DUMMYFUNCTION("""COMPUTED_VALUE"""),0.9)</f>
        <v>0.9</v>
      </c>
      <c r="D33" s="35">
        <f>IFERROR(__xludf.DUMMYFUNCTION("""COMPUTED_VALUE"""),1.3)</f>
        <v>1.3</v>
      </c>
      <c r="E33" s="35">
        <f>IFERROR(__xludf.DUMMYFUNCTION("""COMPUTED_VALUE"""),2.0)</f>
        <v>2</v>
      </c>
      <c r="F33" s="35">
        <f>IFERROR(__xludf.DUMMYFUNCTION("""COMPUTED_VALUE"""),0.8)</f>
        <v>0.8</v>
      </c>
      <c r="G33" s="35">
        <f>IFERROR(__xludf.DUMMYFUNCTION("""COMPUTED_VALUE"""),1.0)</f>
        <v>1</v>
      </c>
      <c r="H33" s="35">
        <f>IFERROR(__xludf.DUMMYFUNCTION("""COMPUTED_VALUE"""),0.8)</f>
        <v>0.8</v>
      </c>
      <c r="I33" s="4">
        <f t="shared" si="1"/>
        <v>1.133333333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 t="s">
        <v>104</v>
      </c>
      <c r="B1" s="27" t="s">
        <v>26</v>
      </c>
      <c r="C1" s="28">
        <v>2024.0</v>
      </c>
      <c r="D1" s="29" t="s">
        <v>105</v>
      </c>
      <c r="E1" s="29" t="s">
        <v>106</v>
      </c>
      <c r="F1" s="28" t="s">
        <v>107</v>
      </c>
      <c r="G1" s="28" t="s">
        <v>108</v>
      </c>
      <c r="H1" s="28">
        <v>2023.0</v>
      </c>
      <c r="I1" s="4">
        <f t="shared" ref="I1:I27" si="2">AVERAGE(C1:H1)</f>
        <v>2023.5</v>
      </c>
    </row>
    <row r="2">
      <c r="A2" s="30">
        <f>VLOOKUP(B2,map!B:C,2,false)</f>
        <v>15</v>
      </c>
      <c r="B2" s="36" t="s">
        <v>68</v>
      </c>
      <c r="C2" s="37">
        <f t="shared" ref="C2:D2" si="1">+2.3</f>
        <v>2.3</v>
      </c>
      <c r="D2" s="37">
        <f t="shared" si="1"/>
        <v>2.3</v>
      </c>
      <c r="E2" s="37">
        <f>+3</f>
        <v>3</v>
      </c>
      <c r="F2" s="37">
        <f>+2</f>
        <v>2</v>
      </c>
      <c r="G2" s="37">
        <f>+2.5</f>
        <v>2.5</v>
      </c>
      <c r="H2" s="35">
        <v>0.0</v>
      </c>
      <c r="I2" s="4">
        <f t="shared" si="2"/>
        <v>2.016666667</v>
      </c>
    </row>
    <row r="3">
      <c r="A3" s="30">
        <f>VLOOKUP(B3,map!B:C,2,false)</f>
        <v>11</v>
      </c>
      <c r="B3" s="36" t="s">
        <v>60</v>
      </c>
      <c r="C3" s="37">
        <f t="shared" ref="C3:D3" si="3">+1.7</f>
        <v>1.7</v>
      </c>
      <c r="D3" s="37">
        <f t="shared" si="3"/>
        <v>1.7</v>
      </c>
      <c r="E3" s="37">
        <f>+2</f>
        <v>2</v>
      </c>
      <c r="F3" s="37">
        <f>+1</f>
        <v>1</v>
      </c>
      <c r="G3" s="37">
        <f>+3</f>
        <v>3</v>
      </c>
      <c r="H3" s="37">
        <f>+0.3</f>
        <v>0.3</v>
      </c>
      <c r="I3" s="4">
        <f t="shared" si="2"/>
        <v>1.616666667</v>
      </c>
    </row>
    <row r="4">
      <c r="A4" s="30">
        <f>VLOOKUP(B4,map!B:C,2,false)</f>
        <v>29</v>
      </c>
      <c r="B4" s="36" t="s">
        <v>96</v>
      </c>
      <c r="C4" s="37">
        <f t="shared" ref="C4:D4" si="4">+1.3</f>
        <v>1.3</v>
      </c>
      <c r="D4" s="37">
        <f t="shared" si="4"/>
        <v>1.3</v>
      </c>
      <c r="E4" s="35">
        <v>-1.0</v>
      </c>
      <c r="F4" s="35">
        <v>-1.0</v>
      </c>
      <c r="G4" s="37">
        <f>+2.5</f>
        <v>2.5</v>
      </c>
      <c r="H4" s="37">
        <f>+0.5</f>
        <v>0.5</v>
      </c>
      <c r="I4" s="4">
        <f t="shared" si="2"/>
        <v>0.6</v>
      </c>
    </row>
    <row r="5">
      <c r="A5" s="30">
        <f>VLOOKUP(B5,map!B:C,2,false)</f>
        <v>9</v>
      </c>
      <c r="B5" s="36" t="s">
        <v>56</v>
      </c>
      <c r="C5" s="37">
        <f t="shared" ref="C5:D5" si="5">+1.3</f>
        <v>1.3</v>
      </c>
      <c r="D5" s="37">
        <f t="shared" si="5"/>
        <v>1.3</v>
      </c>
      <c r="E5" s="37">
        <f>+1</f>
        <v>1</v>
      </c>
      <c r="F5" s="37">
        <f>+1.5</f>
        <v>1.5</v>
      </c>
      <c r="G5" s="37">
        <f>+1</f>
        <v>1</v>
      </c>
      <c r="H5" s="37">
        <f>+0.6</f>
        <v>0.6</v>
      </c>
      <c r="I5" s="4">
        <f t="shared" si="2"/>
        <v>1.116666667</v>
      </c>
    </row>
    <row r="6">
      <c r="A6" s="30">
        <f>VLOOKUP(B6,map!B:C,2,false)</f>
        <v>7</v>
      </c>
      <c r="B6" s="36" t="s">
        <v>52</v>
      </c>
      <c r="C6" s="37">
        <f t="shared" ref="C6:E6" si="6">+1</f>
        <v>1</v>
      </c>
      <c r="D6" s="37">
        <f t="shared" si="6"/>
        <v>1</v>
      </c>
      <c r="E6" s="37">
        <f t="shared" si="6"/>
        <v>1</v>
      </c>
      <c r="F6" s="37">
        <f>+3</f>
        <v>3</v>
      </c>
      <c r="G6" s="35">
        <v>0.0</v>
      </c>
      <c r="H6" s="35">
        <v>0.0</v>
      </c>
      <c r="I6" s="4">
        <f t="shared" si="2"/>
        <v>1</v>
      </c>
    </row>
    <row r="7">
      <c r="A7" s="30">
        <f>VLOOKUP(B7,map!B:C,2,false)</f>
        <v>3</v>
      </c>
      <c r="B7" s="36" t="s">
        <v>44</v>
      </c>
      <c r="C7" s="37">
        <f t="shared" ref="C7:D7" si="7">+0.7</f>
        <v>0.7</v>
      </c>
      <c r="D7" s="37">
        <f t="shared" si="7"/>
        <v>0.7</v>
      </c>
      <c r="E7" s="37">
        <f>+2</f>
        <v>2</v>
      </c>
      <c r="F7" s="37">
        <f>+1</f>
        <v>1</v>
      </c>
      <c r="G7" s="35">
        <v>0.0</v>
      </c>
      <c r="H7" s="35">
        <v>-0.7</v>
      </c>
      <c r="I7" s="4">
        <f t="shared" si="2"/>
        <v>0.6166666667</v>
      </c>
    </row>
    <row r="8">
      <c r="A8" s="30">
        <f>VLOOKUP(B8,map!B:C,2,false)</f>
        <v>22</v>
      </c>
      <c r="B8" s="36" t="s">
        <v>82</v>
      </c>
      <c r="C8" s="37">
        <f t="shared" ref="C8:D8" si="8">+0.3</f>
        <v>0.3</v>
      </c>
      <c r="D8" s="37">
        <f t="shared" si="8"/>
        <v>0.3</v>
      </c>
      <c r="E8" s="35">
        <v>-1.0</v>
      </c>
      <c r="F8" s="35">
        <v>0.0</v>
      </c>
      <c r="G8" s="37">
        <f>+0.5</f>
        <v>0.5</v>
      </c>
      <c r="H8" s="35">
        <v>-0.6</v>
      </c>
      <c r="I8" s="4">
        <f t="shared" si="2"/>
        <v>-0.08333333333</v>
      </c>
    </row>
    <row r="9">
      <c r="A9" s="30">
        <f>VLOOKUP(B9,map!B:C,2,false)</f>
        <v>18</v>
      </c>
      <c r="B9" s="36" t="s">
        <v>74</v>
      </c>
      <c r="C9" s="37">
        <f t="shared" ref="C9:D9" si="9">+0.3</f>
        <v>0.3</v>
      </c>
      <c r="D9" s="37">
        <f t="shared" si="9"/>
        <v>0.3</v>
      </c>
      <c r="E9" s="37">
        <f t="shared" ref="E9:F9" si="10">+1</f>
        <v>1</v>
      </c>
      <c r="F9" s="37">
        <f t="shared" si="10"/>
        <v>1</v>
      </c>
      <c r="G9" s="35">
        <v>0.0</v>
      </c>
      <c r="H9" s="35">
        <v>-0.2</v>
      </c>
      <c r="I9" s="4">
        <f t="shared" si="2"/>
        <v>0.4</v>
      </c>
    </row>
    <row r="10">
      <c r="A10" s="30">
        <f>VLOOKUP(B10,map!B:C,2,false)</f>
        <v>30</v>
      </c>
      <c r="B10" s="36" t="s">
        <v>98</v>
      </c>
      <c r="C10" s="37">
        <f t="shared" ref="C10:D10" si="11">+0.3</f>
        <v>0.3</v>
      </c>
      <c r="D10" s="37">
        <f t="shared" si="11"/>
        <v>0.3</v>
      </c>
      <c r="E10" s="37">
        <f>+1</f>
        <v>1</v>
      </c>
      <c r="F10" s="35">
        <v>0.0</v>
      </c>
      <c r="G10" s="37">
        <f t="shared" ref="G10:H10" si="12">+0.5</f>
        <v>0.5</v>
      </c>
      <c r="H10" s="37">
        <f t="shared" si="12"/>
        <v>0.5</v>
      </c>
      <c r="I10" s="4">
        <f t="shared" si="2"/>
        <v>0.4333333333</v>
      </c>
    </row>
    <row r="11">
      <c r="A11" s="30">
        <f>VLOOKUP(B11,map!B:C,2,false)</f>
        <v>8</v>
      </c>
      <c r="B11" s="36" t="s">
        <v>54</v>
      </c>
      <c r="C11" s="37">
        <f t="shared" ref="C11:D11" si="13">+0.3</f>
        <v>0.3</v>
      </c>
      <c r="D11" s="37">
        <f t="shared" si="13"/>
        <v>0.3</v>
      </c>
      <c r="E11" s="35">
        <v>0.0</v>
      </c>
      <c r="F11" s="37">
        <f>+1</f>
        <v>1</v>
      </c>
      <c r="G11" s="35">
        <v>0.0</v>
      </c>
      <c r="H11" s="35">
        <v>-0.8</v>
      </c>
      <c r="I11" s="4">
        <f t="shared" si="2"/>
        <v>0.1333333333</v>
      </c>
    </row>
    <row r="12">
      <c r="A12" s="30">
        <f>VLOOKUP(B12,map!B:C,2,false)</f>
        <v>25</v>
      </c>
      <c r="B12" s="36" t="s">
        <v>88</v>
      </c>
      <c r="C12" s="37">
        <f t="shared" ref="C12:D12" si="14">+0.3</f>
        <v>0.3</v>
      </c>
      <c r="D12" s="37">
        <f t="shared" si="14"/>
        <v>0.3</v>
      </c>
      <c r="E12" s="35">
        <v>-1.0</v>
      </c>
      <c r="F12" s="37">
        <f>+2</f>
        <v>2</v>
      </c>
      <c r="G12" s="35">
        <v>-0.5</v>
      </c>
      <c r="H12" s="37">
        <f>+0.6</f>
        <v>0.6</v>
      </c>
      <c r="I12" s="4">
        <f t="shared" si="2"/>
        <v>0.2833333333</v>
      </c>
    </row>
    <row r="13">
      <c r="A13" s="30">
        <f>VLOOKUP(B13,map!B:C,2,false)</f>
        <v>19</v>
      </c>
      <c r="B13" s="36" t="s">
        <v>76</v>
      </c>
      <c r="C13" s="37">
        <f t="shared" ref="C13:D13" si="15">+0.3</f>
        <v>0.3</v>
      </c>
      <c r="D13" s="37">
        <f t="shared" si="15"/>
        <v>0.3</v>
      </c>
      <c r="E13" s="37">
        <f t="shared" ref="E13:F13" si="16">+1</f>
        <v>1</v>
      </c>
      <c r="F13" s="37">
        <f t="shared" si="16"/>
        <v>1</v>
      </c>
      <c r="G13" s="35">
        <v>0.0</v>
      </c>
      <c r="H13" s="35">
        <v>-0.4</v>
      </c>
      <c r="I13" s="4">
        <f t="shared" si="2"/>
        <v>0.3666666667</v>
      </c>
    </row>
    <row r="14">
      <c r="A14" s="30">
        <f>VLOOKUP(B14,map!B:C,2,false)</f>
        <v>17</v>
      </c>
      <c r="B14" s="36" t="s">
        <v>72</v>
      </c>
      <c r="C14" s="35">
        <v>0.0</v>
      </c>
      <c r="D14" s="35">
        <v>0.0</v>
      </c>
      <c r="E14" s="35">
        <v>-2.0</v>
      </c>
      <c r="F14" s="37">
        <f>+1</f>
        <v>1</v>
      </c>
      <c r="G14" s="35">
        <v>-0.5</v>
      </c>
      <c r="H14" s="37">
        <f>+0.6</f>
        <v>0.6</v>
      </c>
      <c r="I14" s="4">
        <f t="shared" si="2"/>
        <v>-0.15</v>
      </c>
    </row>
    <row r="15">
      <c r="A15" s="30">
        <f>VLOOKUP(B15,map!B:C,2,false)</f>
        <v>14</v>
      </c>
      <c r="B15" s="36" t="s">
        <v>66</v>
      </c>
      <c r="C15" s="35">
        <v>0.0</v>
      </c>
      <c r="D15" s="35">
        <v>0.0</v>
      </c>
      <c r="E15" s="35">
        <v>-1.0</v>
      </c>
      <c r="F15" s="35">
        <v>-0.5</v>
      </c>
      <c r="G15" s="37">
        <f>+1</f>
        <v>1</v>
      </c>
      <c r="H15" s="37">
        <f>+0.3</f>
        <v>0.3</v>
      </c>
      <c r="I15" s="4">
        <f t="shared" si="2"/>
        <v>-0.03333333333</v>
      </c>
    </row>
    <row r="16">
      <c r="A16" s="30">
        <f>VLOOKUP(B16,map!B:C,2,false)</f>
        <v>21</v>
      </c>
      <c r="B16" s="36" t="s">
        <v>80</v>
      </c>
      <c r="C16" s="35">
        <v>0.0</v>
      </c>
      <c r="D16" s="35">
        <v>0.0</v>
      </c>
      <c r="E16" s="35">
        <v>0.0</v>
      </c>
      <c r="F16" s="35">
        <v>0.0</v>
      </c>
      <c r="G16" s="35">
        <v>0.0</v>
      </c>
      <c r="H16" s="35">
        <v>-0.1</v>
      </c>
      <c r="I16" s="4">
        <f t="shared" si="2"/>
        <v>-0.01666666667</v>
      </c>
    </row>
    <row r="17">
      <c r="A17" s="30">
        <f>VLOOKUP(B17,map!B:C,2,false)</f>
        <v>23</v>
      </c>
      <c r="B17" s="36" t="s">
        <v>84</v>
      </c>
      <c r="C17" s="35">
        <v>0.0</v>
      </c>
      <c r="D17" s="35">
        <v>0.0</v>
      </c>
      <c r="E17" s="37">
        <f t="shared" ref="E17:F17" si="17">+1</f>
        <v>1</v>
      </c>
      <c r="F17" s="37">
        <f t="shared" si="17"/>
        <v>1</v>
      </c>
      <c r="G17" s="35">
        <v>-0.5</v>
      </c>
      <c r="H17" s="35">
        <v>-0.5</v>
      </c>
      <c r="I17" s="4">
        <f t="shared" si="2"/>
        <v>0.1666666667</v>
      </c>
    </row>
    <row r="18">
      <c r="A18" s="30">
        <f>VLOOKUP(B18,map!B:C,2,false)</f>
        <v>4</v>
      </c>
      <c r="B18" s="36" t="s">
        <v>46</v>
      </c>
      <c r="C18" s="35">
        <v>0.0</v>
      </c>
      <c r="D18" s="35">
        <v>0.0</v>
      </c>
      <c r="E18" s="35">
        <v>0.0</v>
      </c>
      <c r="F18" s="35">
        <v>-1.0</v>
      </c>
      <c r="G18" s="37">
        <f t="shared" ref="G18:G19" si="18">+2</f>
        <v>2</v>
      </c>
      <c r="H18" s="37">
        <f>+0.6</f>
        <v>0.6</v>
      </c>
      <c r="I18" s="4">
        <f t="shared" si="2"/>
        <v>0.2666666667</v>
      </c>
    </row>
    <row r="19">
      <c r="A19" s="30">
        <f>VLOOKUP(B19,map!B:C,2,false)</f>
        <v>1</v>
      </c>
      <c r="B19" s="36" t="s">
        <v>40</v>
      </c>
      <c r="C19" s="35">
        <v>0.0</v>
      </c>
      <c r="D19" s="35">
        <v>0.0</v>
      </c>
      <c r="E19" s="35">
        <v>-1.0</v>
      </c>
      <c r="F19" s="35">
        <v>-1.0</v>
      </c>
      <c r="G19" s="37">
        <f t="shared" si="18"/>
        <v>2</v>
      </c>
      <c r="H19" s="37">
        <f>+0.4</f>
        <v>0.4</v>
      </c>
      <c r="I19" s="4">
        <f t="shared" si="2"/>
        <v>0.06666666667</v>
      </c>
    </row>
    <row r="20">
      <c r="A20" s="30">
        <f>VLOOKUP(B20,map!B:C,2,false)</f>
        <v>31</v>
      </c>
      <c r="B20" s="36" t="s">
        <v>100</v>
      </c>
      <c r="C20" s="35">
        <v>0.0</v>
      </c>
      <c r="D20" s="35">
        <v>0.0</v>
      </c>
      <c r="E20" s="35">
        <v>-1.0</v>
      </c>
      <c r="F20" s="37">
        <f>+2</f>
        <v>2</v>
      </c>
      <c r="G20" s="35">
        <v>-1.0</v>
      </c>
      <c r="H20" s="37">
        <f>+0.2</f>
        <v>0.2</v>
      </c>
      <c r="I20" s="4">
        <f t="shared" si="2"/>
        <v>0.03333333333</v>
      </c>
    </row>
    <row r="21">
      <c r="A21" s="30">
        <f>VLOOKUP(B21,map!B:C,2,false)</f>
        <v>10</v>
      </c>
      <c r="B21" s="36" t="s">
        <v>58</v>
      </c>
      <c r="C21" s="35">
        <v>0.0</v>
      </c>
      <c r="D21" s="35">
        <v>0.0</v>
      </c>
      <c r="E21" s="37">
        <f>+2</f>
        <v>2</v>
      </c>
      <c r="F21" s="35">
        <v>-1.0</v>
      </c>
      <c r="G21" s="37">
        <f>+2</f>
        <v>2</v>
      </c>
      <c r="H21" s="37">
        <f>+0.1</f>
        <v>0.1</v>
      </c>
      <c r="I21" s="4">
        <f t="shared" si="2"/>
        <v>0.5166666667</v>
      </c>
    </row>
    <row r="22">
      <c r="A22" s="30">
        <f>VLOOKUP(B22,map!B:C,2,false)</f>
        <v>26</v>
      </c>
      <c r="B22" s="36" t="s">
        <v>90</v>
      </c>
      <c r="C22" s="35">
        <v>-0.3</v>
      </c>
      <c r="D22" s="35">
        <v>-0.3</v>
      </c>
      <c r="E22" s="35">
        <v>0.0</v>
      </c>
      <c r="F22" s="35">
        <v>0.0</v>
      </c>
      <c r="G22" s="35">
        <v>-0.5</v>
      </c>
      <c r="H22" s="37">
        <f>+0.7</f>
        <v>0.7</v>
      </c>
      <c r="I22" s="4">
        <f t="shared" si="2"/>
        <v>-0.06666666667</v>
      </c>
    </row>
    <row r="23">
      <c r="A23" s="30">
        <f>VLOOKUP(B23,map!B:C,2,false)</f>
        <v>13</v>
      </c>
      <c r="B23" s="36" t="s">
        <v>64</v>
      </c>
      <c r="C23" s="35">
        <v>-0.3</v>
      </c>
      <c r="D23" s="35">
        <v>-0.3</v>
      </c>
      <c r="E23" s="35">
        <v>-2.0</v>
      </c>
      <c r="F23" s="35">
        <v>-0.5</v>
      </c>
      <c r="G23" s="35">
        <v>0.0</v>
      </c>
      <c r="H23" s="37">
        <f t="shared" ref="H23:H24" si="19">+0.1</f>
        <v>0.1</v>
      </c>
      <c r="I23" s="4">
        <f t="shared" si="2"/>
        <v>-0.5</v>
      </c>
    </row>
    <row r="24">
      <c r="A24" s="30">
        <f>VLOOKUP(B24,map!B:C,2,false)</f>
        <v>5</v>
      </c>
      <c r="B24" s="36" t="s">
        <v>48</v>
      </c>
      <c r="C24" s="35">
        <v>-0.3</v>
      </c>
      <c r="D24" s="35">
        <v>-0.3</v>
      </c>
      <c r="E24" s="35">
        <v>0.0</v>
      </c>
      <c r="F24" s="35">
        <v>-0.5</v>
      </c>
      <c r="G24" s="35">
        <v>0.0</v>
      </c>
      <c r="H24" s="37">
        <f t="shared" si="19"/>
        <v>0.1</v>
      </c>
      <c r="I24" s="4">
        <f t="shared" si="2"/>
        <v>-0.1666666667</v>
      </c>
    </row>
    <row r="25">
      <c r="A25" s="30">
        <f>VLOOKUP(B25,map!B:C,2,false)</f>
        <v>2</v>
      </c>
      <c r="B25" s="36" t="s">
        <v>42</v>
      </c>
      <c r="C25" s="35">
        <v>-0.7</v>
      </c>
      <c r="D25" s="35">
        <v>-0.7</v>
      </c>
      <c r="E25" s="35">
        <v>0.0</v>
      </c>
      <c r="F25" s="35">
        <v>-1.0</v>
      </c>
      <c r="G25" s="35">
        <v>0.0</v>
      </c>
      <c r="H25" s="35">
        <v>-0.4</v>
      </c>
      <c r="I25" s="4">
        <f t="shared" si="2"/>
        <v>-0.4666666667</v>
      </c>
    </row>
    <row r="26">
      <c r="A26" s="30">
        <f>VLOOKUP(B26,map!B:C,2,false)</f>
        <v>27</v>
      </c>
      <c r="B26" s="36" t="s">
        <v>92</v>
      </c>
      <c r="C26" s="35">
        <v>-0.7</v>
      </c>
      <c r="D26" s="35">
        <v>-0.7</v>
      </c>
      <c r="E26" s="37">
        <f t="shared" ref="E26:E27" si="20">+1</f>
        <v>1</v>
      </c>
      <c r="F26" s="35">
        <v>-2.0</v>
      </c>
      <c r="G26" s="35">
        <v>0.0</v>
      </c>
      <c r="H26" s="37">
        <f>+0.2</f>
        <v>0.2</v>
      </c>
      <c r="I26" s="4">
        <f t="shared" si="2"/>
        <v>-0.3666666667</v>
      </c>
    </row>
    <row r="27">
      <c r="A27" s="30">
        <f>VLOOKUP(B27,map!B:C,2,false)</f>
        <v>20</v>
      </c>
      <c r="B27" s="36" t="s">
        <v>78</v>
      </c>
      <c r="C27" s="35">
        <v>-0.7</v>
      </c>
      <c r="D27" s="35">
        <v>-0.7</v>
      </c>
      <c r="E27" s="37">
        <f t="shared" si="20"/>
        <v>1</v>
      </c>
      <c r="F27" s="35">
        <v>0.0</v>
      </c>
      <c r="G27" s="35">
        <v>-2.0</v>
      </c>
      <c r="H27" s="37">
        <f>+0.1</f>
        <v>0.1</v>
      </c>
      <c r="I27" s="4">
        <f t="shared" si="2"/>
        <v>-0.3833333333</v>
      </c>
    </row>
    <row r="28">
      <c r="A28" s="30">
        <f>VLOOKUP(B28,map!B:C,2,false)</f>
        <v>28</v>
      </c>
      <c r="B28" s="36" t="s">
        <v>94</v>
      </c>
      <c r="C28" s="35">
        <v>-0.7</v>
      </c>
      <c r="D28" s="35">
        <v>-0.7</v>
      </c>
      <c r="E28" s="35">
        <v>0.0</v>
      </c>
      <c r="F28" s="35">
        <v>-1.5</v>
      </c>
      <c r="G28" s="37">
        <f>+1</f>
        <v>1</v>
      </c>
      <c r="H28" s="35">
        <v>-0.7</v>
      </c>
    </row>
    <row r="29">
      <c r="A29" s="30">
        <f>VLOOKUP(B29,map!B:C,2,false)</f>
        <v>16</v>
      </c>
      <c r="B29" s="36" t="s">
        <v>70</v>
      </c>
      <c r="C29" s="35">
        <v>-0.7</v>
      </c>
      <c r="D29" s="35">
        <v>-0.7</v>
      </c>
      <c r="E29" s="35">
        <v>0.0</v>
      </c>
      <c r="F29" s="35">
        <v>-1.0</v>
      </c>
      <c r="G29" s="35">
        <v>0.0</v>
      </c>
      <c r="H29" s="35">
        <v>-0.6</v>
      </c>
    </row>
    <row r="30">
      <c r="A30" s="30">
        <f>VLOOKUP(B30,map!B:C,2,false)</f>
        <v>6</v>
      </c>
      <c r="B30" s="36" t="s">
        <v>50</v>
      </c>
      <c r="C30" s="35">
        <v>-1.0</v>
      </c>
      <c r="D30" s="35">
        <v>-1.0</v>
      </c>
      <c r="E30" s="35">
        <v>-2.0</v>
      </c>
      <c r="F30" s="35">
        <v>0.0</v>
      </c>
      <c r="G30" s="35">
        <v>-1.5</v>
      </c>
      <c r="H30" s="35">
        <v>-0.2</v>
      </c>
    </row>
    <row r="31">
      <c r="A31" s="30">
        <f>VLOOKUP(B31,map!B:C,2,false)</f>
        <v>12</v>
      </c>
      <c r="B31" s="36" t="s">
        <v>62</v>
      </c>
      <c r="C31" s="35">
        <v>-1.3</v>
      </c>
      <c r="D31" s="35">
        <v>-1.3</v>
      </c>
      <c r="E31" s="35">
        <v>-1.0</v>
      </c>
      <c r="F31" s="35">
        <v>-1.0</v>
      </c>
      <c r="G31" s="35">
        <v>-1.5</v>
      </c>
      <c r="H31" s="35">
        <v>-0.6</v>
      </c>
    </row>
    <row r="32">
      <c r="A32" s="30">
        <f>VLOOKUP(B32,map!B:C,2,false)</f>
        <v>24</v>
      </c>
      <c r="B32" s="36" t="s">
        <v>86</v>
      </c>
      <c r="C32" s="35">
        <v>-1.3</v>
      </c>
      <c r="D32" s="35">
        <v>-1.3</v>
      </c>
      <c r="E32" s="35">
        <v>-1.0</v>
      </c>
      <c r="F32" s="35">
        <v>-1.0</v>
      </c>
      <c r="G32" s="35">
        <v>-1.5</v>
      </c>
      <c r="H32" s="35">
        <v>-0.1</v>
      </c>
    </row>
    <row r="33">
      <c r="A33" s="30">
        <f>VLOOKUP(B33,map!B:C,2,false)</f>
        <v>32</v>
      </c>
      <c r="B33" s="36" t="s">
        <v>102</v>
      </c>
      <c r="C33" s="35">
        <v>-2.3</v>
      </c>
      <c r="D33" s="35">
        <v>-2.3</v>
      </c>
      <c r="E33" s="35">
        <v>-3.0</v>
      </c>
      <c r="F33" s="35">
        <v>-2.5</v>
      </c>
      <c r="G33" s="35">
        <v>-2.0</v>
      </c>
      <c r="H33" s="35">
        <v>-0.4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IFERROR(__xludf.DUMMYFUNCTION("QUERY(IMPORTHTML(""https://www.teamrankings.com/nfl/stat/interceptions-thrown-per-game?date=""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11</v>
      </c>
      <c r="B2" s="31" t="str">
        <f>IFERROR(__xludf.DUMMYFUNCTION("""COMPUTED_VALUE"""),"Buffalo")</f>
        <v>Buffalo</v>
      </c>
      <c r="C2" s="35">
        <f>IFERROR(__xludf.DUMMYFUNCTION("""COMPUTED_VALUE"""),0.1)</f>
        <v>0.1</v>
      </c>
      <c r="D2" s="35">
        <f>IFERROR(__xludf.DUMMYFUNCTION("""COMPUTED_VALUE"""),0.3)</f>
        <v>0.3</v>
      </c>
      <c r="E2" s="35">
        <f>IFERROR(__xludf.DUMMYFUNCTION("""COMPUTED_VALUE"""),1.0)</f>
        <v>1</v>
      </c>
      <c r="F2" s="35">
        <f>IFERROR(__xludf.DUMMYFUNCTION("""COMPUTED_VALUE"""),0.0)</f>
        <v>0</v>
      </c>
      <c r="G2" s="35">
        <f>IFERROR(__xludf.DUMMYFUNCTION("""COMPUTED_VALUE"""),0.2)</f>
        <v>0.2</v>
      </c>
      <c r="H2" s="35">
        <f>IFERROR(__xludf.DUMMYFUNCTION("""COMPUTED_VALUE"""),0.9)</f>
        <v>0.9</v>
      </c>
      <c r="I2" s="4">
        <f t="shared" ref="I2:I33" si="1">AVERAGE(C2:H2)</f>
        <v>0.4166666667</v>
      </c>
    </row>
    <row r="3">
      <c r="A3" s="30">
        <f>VLOOKUP(B3,map!B:C,2,false)</f>
        <v>7</v>
      </c>
      <c r="B3" s="31" t="str">
        <f>IFERROR(__xludf.DUMMYFUNCTION("""COMPUTED_VALUE"""),"LA Chargers")</f>
        <v>LA Chargers</v>
      </c>
      <c r="C3" s="35">
        <f>IFERROR(__xludf.DUMMYFUNCTION("""COMPUTED_VALUE"""),0.1)</f>
        <v>0.1</v>
      </c>
      <c r="D3" s="35">
        <f>IFERROR(__xludf.DUMMYFUNCTION("""COMPUTED_VALUE"""),0.0)</f>
        <v>0</v>
      </c>
      <c r="E3" s="35">
        <f>IFERROR(__xludf.DUMMYFUNCTION("""COMPUTED_VALUE"""),0.0)</f>
        <v>0</v>
      </c>
      <c r="F3" s="35">
        <f>IFERROR(__xludf.DUMMYFUNCTION("""COMPUTED_VALUE"""),0.0)</f>
        <v>0</v>
      </c>
      <c r="G3" s="35">
        <f>IFERROR(__xludf.DUMMYFUNCTION("""COMPUTED_VALUE"""),0.3)</f>
        <v>0.3</v>
      </c>
      <c r="H3" s="35">
        <f>IFERROR(__xludf.DUMMYFUNCTION("""COMPUTED_VALUE"""),0.5)</f>
        <v>0.5</v>
      </c>
      <c r="I3" s="4">
        <f t="shared" si="1"/>
        <v>0.15</v>
      </c>
    </row>
    <row r="4">
      <c r="A4" s="30">
        <f>VLOOKUP(B4,map!B:C,2,false)</f>
        <v>29</v>
      </c>
      <c r="B4" s="31" t="str">
        <f>IFERROR(__xludf.DUMMYFUNCTION("""COMPUTED_VALUE"""),"Pittsburgh")</f>
        <v>Pittsburgh</v>
      </c>
      <c r="C4" s="35">
        <f>IFERROR(__xludf.DUMMYFUNCTION("""COMPUTED_VALUE"""),0.1)</f>
        <v>0.1</v>
      </c>
      <c r="D4" s="35">
        <f>IFERROR(__xludf.DUMMYFUNCTION("""COMPUTED_VALUE"""),0.0)</f>
        <v>0</v>
      </c>
      <c r="E4" s="35">
        <f>IFERROR(__xludf.DUMMYFUNCTION("""COMPUTED_VALUE"""),0.0)</f>
        <v>0</v>
      </c>
      <c r="F4" s="35">
        <f>IFERROR(__xludf.DUMMYFUNCTION("""COMPUTED_VALUE"""),0.3)</f>
        <v>0.3</v>
      </c>
      <c r="G4" s="35">
        <f>IFERROR(__xludf.DUMMYFUNCTION("""COMPUTED_VALUE"""),0.0)</f>
        <v>0</v>
      </c>
      <c r="H4" s="35">
        <f>IFERROR(__xludf.DUMMYFUNCTION("""COMPUTED_VALUE"""),0.6)</f>
        <v>0.6</v>
      </c>
      <c r="I4" s="4">
        <f t="shared" si="1"/>
        <v>0.1666666667</v>
      </c>
    </row>
    <row r="5">
      <c r="A5" s="30">
        <f>VLOOKUP(B5,map!B:C,2,false)</f>
        <v>30</v>
      </c>
      <c r="B5" s="31" t="str">
        <f>IFERROR(__xludf.DUMMYFUNCTION("""COMPUTED_VALUE"""),"Baltimore")</f>
        <v>Baltimore</v>
      </c>
      <c r="C5" s="35">
        <f>IFERROR(__xludf.DUMMYFUNCTION("""COMPUTED_VALUE"""),0.3)</f>
        <v>0.3</v>
      </c>
      <c r="D5" s="35">
        <f>IFERROR(__xludf.DUMMYFUNCTION("""COMPUTED_VALUE"""),0.3)</f>
        <v>0.3</v>
      </c>
      <c r="E5" s="35">
        <f>IFERROR(__xludf.DUMMYFUNCTION("""COMPUTED_VALUE"""),0.0)</f>
        <v>0</v>
      </c>
      <c r="F5" s="35">
        <f>IFERROR(__xludf.DUMMYFUNCTION("""COMPUTED_VALUE"""),0.7)</f>
        <v>0.7</v>
      </c>
      <c r="G5" s="35">
        <f>IFERROR(__xludf.DUMMYFUNCTION("""COMPUTED_VALUE"""),0.0)</f>
        <v>0</v>
      </c>
      <c r="H5" s="35">
        <f>IFERROR(__xludf.DUMMYFUNCTION("""COMPUTED_VALUE"""),0.4)</f>
        <v>0.4</v>
      </c>
      <c r="I5" s="4">
        <f t="shared" si="1"/>
        <v>0.2833333333</v>
      </c>
    </row>
    <row r="6">
      <c r="A6" s="30">
        <f>VLOOKUP(B6,map!B:C,2,false)</f>
        <v>8</v>
      </c>
      <c r="B6" s="31" t="str">
        <f>IFERROR(__xludf.DUMMYFUNCTION("""COMPUTED_VALUE"""),"Washington")</f>
        <v>Washington</v>
      </c>
      <c r="C6" s="35">
        <f>IFERROR(__xludf.DUMMYFUNCTION("""COMPUTED_VALUE"""),0.3)</f>
        <v>0.3</v>
      </c>
      <c r="D6" s="35">
        <f>IFERROR(__xludf.DUMMYFUNCTION("""COMPUTED_VALUE"""),0.0)</f>
        <v>0</v>
      </c>
      <c r="E6" s="35">
        <f>IFERROR(__xludf.DUMMYFUNCTION("""COMPUTED_VALUE"""),0.0)</f>
        <v>0</v>
      </c>
      <c r="F6" s="35">
        <f>IFERROR(__xludf.DUMMYFUNCTION("""COMPUTED_VALUE"""),0.3)</f>
        <v>0.3</v>
      </c>
      <c r="G6" s="35">
        <f>IFERROR(__xludf.DUMMYFUNCTION("""COMPUTED_VALUE"""),0.3)</f>
        <v>0.3</v>
      </c>
      <c r="H6" s="35">
        <f>IFERROR(__xludf.DUMMYFUNCTION("""COMPUTED_VALUE"""),1.2)</f>
        <v>1.2</v>
      </c>
      <c r="I6" s="4">
        <f t="shared" si="1"/>
        <v>0.35</v>
      </c>
    </row>
    <row r="7">
      <c r="A7" s="30">
        <f>VLOOKUP(B7,map!B:C,2,false)</f>
        <v>21</v>
      </c>
      <c r="B7" s="31" t="str">
        <f>IFERROR(__xludf.DUMMYFUNCTION("""COMPUTED_VALUE"""),"Arizona")</f>
        <v>Arizona</v>
      </c>
      <c r="C7" s="35">
        <f>IFERROR(__xludf.DUMMYFUNCTION("""COMPUTED_VALUE"""),0.4)</f>
        <v>0.4</v>
      </c>
      <c r="D7" s="35">
        <f>IFERROR(__xludf.DUMMYFUNCTION("""COMPUTED_VALUE"""),0.3)</f>
        <v>0.3</v>
      </c>
      <c r="E7" s="35">
        <f>IFERROR(__xludf.DUMMYFUNCTION("""COMPUTED_VALUE"""),0.0)</f>
        <v>0</v>
      </c>
      <c r="F7" s="35">
        <f>IFERROR(__xludf.DUMMYFUNCTION("""COMPUTED_VALUE"""),0.5)</f>
        <v>0.5</v>
      </c>
      <c r="G7" s="35">
        <f>IFERROR(__xludf.DUMMYFUNCTION("""COMPUTED_VALUE"""),0.3)</f>
        <v>0.3</v>
      </c>
      <c r="H7" s="35">
        <f>IFERROR(__xludf.DUMMYFUNCTION("""COMPUTED_VALUE"""),0.7)</f>
        <v>0.7</v>
      </c>
      <c r="I7" s="4">
        <f t="shared" si="1"/>
        <v>0.3666666667</v>
      </c>
    </row>
    <row r="8">
      <c r="A8" s="30">
        <f>VLOOKUP(B8,map!B:C,2,false)</f>
        <v>22</v>
      </c>
      <c r="B8" s="31" t="str">
        <f>IFERROR(__xludf.DUMMYFUNCTION("""COMPUTED_VALUE"""),"New England")</f>
        <v>New England</v>
      </c>
      <c r="C8" s="35">
        <f>IFERROR(__xludf.DUMMYFUNCTION("""COMPUTED_VALUE"""),0.4)</f>
        <v>0.4</v>
      </c>
      <c r="D8" s="35">
        <f>IFERROR(__xludf.DUMMYFUNCTION("""COMPUTED_VALUE"""),0.7)</f>
        <v>0.7</v>
      </c>
      <c r="E8" s="35">
        <f>IFERROR(__xludf.DUMMYFUNCTION("""COMPUTED_VALUE"""),0.0)</f>
        <v>0</v>
      </c>
      <c r="F8" s="35">
        <f>IFERROR(__xludf.DUMMYFUNCTION("""COMPUTED_VALUE"""),0.5)</f>
        <v>0.5</v>
      </c>
      <c r="G8" s="35">
        <f>IFERROR(__xludf.DUMMYFUNCTION("""COMPUTED_VALUE"""),0.3)</f>
        <v>0.3</v>
      </c>
      <c r="H8" s="35">
        <f>IFERROR(__xludf.DUMMYFUNCTION("""COMPUTED_VALUE"""),1.2)</f>
        <v>1.2</v>
      </c>
      <c r="I8" s="4">
        <f t="shared" si="1"/>
        <v>0.5166666667</v>
      </c>
    </row>
    <row r="9">
      <c r="A9" s="30">
        <f>VLOOKUP(B9,map!B:C,2,false)</f>
        <v>4</v>
      </c>
      <c r="B9" s="31" t="str">
        <f>IFERROR(__xludf.DUMMYFUNCTION("""COMPUTED_VALUE"""),"Cincinnati")</f>
        <v>Cincinnati</v>
      </c>
      <c r="C9" s="35">
        <f>IFERROR(__xludf.DUMMYFUNCTION("""COMPUTED_VALUE"""),0.4)</f>
        <v>0.4</v>
      </c>
      <c r="D9" s="35">
        <f>IFERROR(__xludf.DUMMYFUNCTION("""COMPUTED_VALUE"""),0.3)</f>
        <v>0.3</v>
      </c>
      <c r="E9" s="35">
        <f>IFERROR(__xludf.DUMMYFUNCTION("""COMPUTED_VALUE"""),1.0)</f>
        <v>1</v>
      </c>
      <c r="F9" s="35">
        <f>IFERROR(__xludf.DUMMYFUNCTION("""COMPUTED_VALUE"""),0.5)</f>
        <v>0.5</v>
      </c>
      <c r="G9" s="35">
        <f>IFERROR(__xludf.DUMMYFUNCTION("""COMPUTED_VALUE"""),0.3)</f>
        <v>0.3</v>
      </c>
      <c r="H9" s="35">
        <f>IFERROR(__xludf.DUMMYFUNCTION("""COMPUTED_VALUE"""),0.8)</f>
        <v>0.8</v>
      </c>
      <c r="I9" s="4">
        <f t="shared" si="1"/>
        <v>0.55</v>
      </c>
    </row>
    <row r="10">
      <c r="A10" s="30">
        <f>VLOOKUP(B10,map!B:C,2,false)</f>
        <v>17</v>
      </c>
      <c r="B10" s="31" t="str">
        <f>IFERROR(__xludf.DUMMYFUNCTION("""COMPUTED_VALUE"""),"Houston")</f>
        <v>Houston</v>
      </c>
      <c r="C10" s="35">
        <f>IFERROR(__xludf.DUMMYFUNCTION("""COMPUTED_VALUE"""),0.5)</f>
        <v>0.5</v>
      </c>
      <c r="D10" s="35">
        <f>IFERROR(__xludf.DUMMYFUNCTION("""COMPUTED_VALUE"""),0.3)</f>
        <v>0.3</v>
      </c>
      <c r="E10" s="35">
        <f>IFERROR(__xludf.DUMMYFUNCTION("""COMPUTED_VALUE"""),0.0)</f>
        <v>0</v>
      </c>
      <c r="F10" s="35">
        <f>IFERROR(__xludf.DUMMYFUNCTION("""COMPUTED_VALUE"""),0.3)</f>
        <v>0.3</v>
      </c>
      <c r="G10" s="35">
        <f>IFERROR(__xludf.DUMMYFUNCTION("""COMPUTED_VALUE"""),0.8)</f>
        <v>0.8</v>
      </c>
      <c r="H10" s="35">
        <f>IFERROR(__xludf.DUMMYFUNCTION("""COMPUTED_VALUE"""),0.4)</f>
        <v>0.4</v>
      </c>
      <c r="I10" s="4">
        <f t="shared" si="1"/>
        <v>0.3833333333</v>
      </c>
    </row>
    <row r="11">
      <c r="A11" s="30">
        <f>VLOOKUP(B11,map!B:C,2,false)</f>
        <v>6</v>
      </c>
      <c r="B11" s="31" t="str">
        <f>IFERROR(__xludf.DUMMYFUNCTION("""COMPUTED_VALUE"""),"Jacksonville")</f>
        <v>Jacksonville</v>
      </c>
      <c r="C11" s="35">
        <f>IFERROR(__xludf.DUMMYFUNCTION("""COMPUTED_VALUE"""),0.5)</f>
        <v>0.5</v>
      </c>
      <c r="D11" s="35">
        <f>IFERROR(__xludf.DUMMYFUNCTION("""COMPUTED_VALUE"""),0.7)</f>
        <v>0.7</v>
      </c>
      <c r="E11" s="35">
        <f>IFERROR(__xludf.DUMMYFUNCTION("""COMPUTED_VALUE"""),1.0)</f>
        <v>1</v>
      </c>
      <c r="F11" s="35">
        <f>IFERROR(__xludf.DUMMYFUNCTION("""COMPUTED_VALUE"""),0.7)</f>
        <v>0.7</v>
      </c>
      <c r="G11" s="35">
        <f>IFERROR(__xludf.DUMMYFUNCTION("""COMPUTED_VALUE"""),0.4)</f>
        <v>0.4</v>
      </c>
      <c r="H11" s="35">
        <f>IFERROR(__xludf.DUMMYFUNCTION("""COMPUTED_VALUE"""),0.8)</f>
        <v>0.8</v>
      </c>
      <c r="I11" s="4">
        <f t="shared" si="1"/>
        <v>0.6833333333</v>
      </c>
    </row>
    <row r="12">
      <c r="A12" s="30">
        <f>VLOOKUP(B12,map!B:C,2,false)</f>
        <v>26</v>
      </c>
      <c r="B12" s="31" t="str">
        <f>IFERROR(__xludf.DUMMYFUNCTION("""COMPUTED_VALUE"""),"NY Giants")</f>
        <v>NY Giants</v>
      </c>
      <c r="C12" s="35">
        <f>IFERROR(__xludf.DUMMYFUNCTION("""COMPUTED_VALUE"""),0.6)</f>
        <v>0.6</v>
      </c>
      <c r="D12" s="35">
        <f>IFERROR(__xludf.DUMMYFUNCTION("""COMPUTED_VALUE"""),0.3)</f>
        <v>0.3</v>
      </c>
      <c r="E12" s="35">
        <f>IFERROR(__xludf.DUMMYFUNCTION("""COMPUTED_VALUE"""),0.0)</f>
        <v>0</v>
      </c>
      <c r="F12" s="35">
        <f>IFERROR(__xludf.DUMMYFUNCTION("""COMPUTED_VALUE"""),1.0)</f>
        <v>1</v>
      </c>
      <c r="G12" s="35">
        <f>IFERROR(__xludf.DUMMYFUNCTION("""COMPUTED_VALUE"""),0.0)</f>
        <v>0</v>
      </c>
      <c r="H12" s="35">
        <f>IFERROR(__xludf.DUMMYFUNCTION("""COMPUTED_VALUE"""),0.7)</f>
        <v>0.7</v>
      </c>
      <c r="I12" s="4">
        <f t="shared" si="1"/>
        <v>0.4333333333</v>
      </c>
    </row>
    <row r="13">
      <c r="A13" s="30">
        <f>VLOOKUP(B13,map!B:C,2,false)</f>
        <v>12</v>
      </c>
      <c r="B13" s="31" t="str">
        <f>IFERROR(__xludf.DUMMYFUNCTION("""COMPUTED_VALUE"""),"Philadelphia")</f>
        <v>Philadelphia</v>
      </c>
      <c r="C13" s="35">
        <f>IFERROR(__xludf.DUMMYFUNCTION("""COMPUTED_VALUE"""),0.6)</f>
        <v>0.6</v>
      </c>
      <c r="D13" s="35">
        <f>IFERROR(__xludf.DUMMYFUNCTION("""COMPUTED_VALUE"""),0.0)</f>
        <v>0</v>
      </c>
      <c r="E13" s="35">
        <f>IFERROR(__xludf.DUMMYFUNCTION("""COMPUTED_VALUE"""),0.0)</f>
        <v>0</v>
      </c>
      <c r="F13" s="35">
        <f>IFERROR(__xludf.DUMMYFUNCTION("""COMPUTED_VALUE"""),0.5)</f>
        <v>0.5</v>
      </c>
      <c r="G13" s="35">
        <f>IFERROR(__xludf.DUMMYFUNCTION("""COMPUTED_VALUE"""),0.6)</f>
        <v>0.6</v>
      </c>
      <c r="H13" s="35">
        <f>IFERROR(__xludf.DUMMYFUNCTION("""COMPUTED_VALUE"""),0.9)</f>
        <v>0.9</v>
      </c>
      <c r="I13" s="4">
        <f t="shared" si="1"/>
        <v>0.4333333333</v>
      </c>
    </row>
    <row r="14">
      <c r="A14" s="30">
        <f>VLOOKUP(B14,map!B:C,2,false)</f>
        <v>5</v>
      </c>
      <c r="B14" s="31" t="str">
        <f>IFERROR(__xludf.DUMMYFUNCTION("""COMPUTED_VALUE"""),"Detroit")</f>
        <v>Detroit</v>
      </c>
      <c r="C14" s="35">
        <f>IFERROR(__xludf.DUMMYFUNCTION("""COMPUTED_VALUE"""),0.6)</f>
        <v>0.6</v>
      </c>
      <c r="D14" s="35">
        <f>IFERROR(__xludf.DUMMYFUNCTION("""COMPUTED_VALUE"""),0.0)</f>
        <v>0</v>
      </c>
      <c r="E14" s="35">
        <f>IFERROR(__xludf.DUMMYFUNCTION("""COMPUTED_VALUE"""),0.0)</f>
        <v>0</v>
      </c>
      <c r="F14" s="35">
        <f>IFERROR(__xludf.DUMMYFUNCTION("""COMPUTED_VALUE"""),0.8)</f>
        <v>0.8</v>
      </c>
      <c r="G14" s="35">
        <f>IFERROR(__xludf.DUMMYFUNCTION("""COMPUTED_VALUE"""),0.3)</f>
        <v>0.3</v>
      </c>
      <c r="H14" s="35">
        <f>IFERROR(__xludf.DUMMYFUNCTION("""COMPUTED_VALUE"""),0.6)</f>
        <v>0.6</v>
      </c>
      <c r="I14" s="4">
        <f t="shared" si="1"/>
        <v>0.3833333333</v>
      </c>
    </row>
    <row r="15">
      <c r="A15" s="30">
        <f>VLOOKUP(B15,map!B:C,2,false)</f>
        <v>10</v>
      </c>
      <c r="B15" s="31" t="str">
        <f>IFERROR(__xludf.DUMMYFUNCTION("""COMPUTED_VALUE"""),"Miami")</f>
        <v>Miami</v>
      </c>
      <c r="C15" s="35">
        <f>IFERROR(__xludf.DUMMYFUNCTION("""COMPUTED_VALUE"""),0.6)</f>
        <v>0.6</v>
      </c>
      <c r="D15" s="35">
        <f>IFERROR(__xludf.DUMMYFUNCTION("""COMPUTED_VALUE"""),0.3)</f>
        <v>0.3</v>
      </c>
      <c r="E15" s="35">
        <f>IFERROR(__xludf.DUMMYFUNCTION("""COMPUTED_VALUE"""),0.0)</f>
        <v>0</v>
      </c>
      <c r="F15" s="35">
        <f>IFERROR(__xludf.DUMMYFUNCTION("""COMPUTED_VALUE"""),0.8)</f>
        <v>0.8</v>
      </c>
      <c r="G15" s="35">
        <f>IFERROR(__xludf.DUMMYFUNCTION("""COMPUTED_VALUE"""),0.3)</f>
        <v>0.3</v>
      </c>
      <c r="H15" s="35">
        <f>IFERROR(__xludf.DUMMYFUNCTION("""COMPUTED_VALUE"""),0.9)</f>
        <v>0.9</v>
      </c>
      <c r="I15" s="4">
        <f t="shared" si="1"/>
        <v>0.4833333333</v>
      </c>
    </row>
    <row r="16">
      <c r="A16" s="30">
        <f>VLOOKUP(B16,map!B:C,2,false)</f>
        <v>27</v>
      </c>
      <c r="B16" s="31" t="str">
        <f>IFERROR(__xludf.DUMMYFUNCTION("""COMPUTED_VALUE"""),"Denver")</f>
        <v>Denver</v>
      </c>
      <c r="C16" s="35">
        <f>IFERROR(__xludf.DUMMYFUNCTION("""COMPUTED_VALUE"""),0.6)</f>
        <v>0.6</v>
      </c>
      <c r="D16" s="35">
        <f>IFERROR(__xludf.DUMMYFUNCTION("""COMPUTED_VALUE"""),0.3)</f>
        <v>0.3</v>
      </c>
      <c r="E16" s="35">
        <f>IFERROR(__xludf.DUMMYFUNCTION("""COMPUTED_VALUE"""),0.0)</f>
        <v>0</v>
      </c>
      <c r="F16" s="35">
        <f>IFERROR(__xludf.DUMMYFUNCTION("""COMPUTED_VALUE"""),0.8)</f>
        <v>0.8</v>
      </c>
      <c r="G16" s="35">
        <f>IFERROR(__xludf.DUMMYFUNCTION("""COMPUTED_VALUE"""),0.5)</f>
        <v>0.5</v>
      </c>
      <c r="H16" s="35">
        <f>IFERROR(__xludf.DUMMYFUNCTION("""COMPUTED_VALUE"""),0.5)</f>
        <v>0.5</v>
      </c>
      <c r="I16" s="4">
        <f t="shared" si="1"/>
        <v>0.45</v>
      </c>
    </row>
    <row r="17">
      <c r="A17" s="30">
        <f>VLOOKUP(B17,map!B:C,2,false)</f>
        <v>16</v>
      </c>
      <c r="B17" s="31" t="str">
        <f>IFERROR(__xludf.DUMMYFUNCTION("""COMPUTED_VALUE"""),"Cleveland")</f>
        <v>Cleveland</v>
      </c>
      <c r="C17" s="35">
        <f>IFERROR(__xludf.DUMMYFUNCTION("""COMPUTED_VALUE"""),0.6)</f>
        <v>0.6</v>
      </c>
      <c r="D17" s="35">
        <f>IFERROR(__xludf.DUMMYFUNCTION("""COMPUTED_VALUE"""),0.7)</f>
        <v>0.7</v>
      </c>
      <c r="E17" s="35">
        <f>IFERROR(__xludf.DUMMYFUNCTION("""COMPUTED_VALUE"""),0.0)</f>
        <v>0</v>
      </c>
      <c r="F17" s="35">
        <f>IFERROR(__xludf.DUMMYFUNCTION("""COMPUTED_VALUE"""),1.0)</f>
        <v>1</v>
      </c>
      <c r="G17" s="35">
        <f>IFERROR(__xludf.DUMMYFUNCTION("""COMPUTED_VALUE"""),0.3)</f>
        <v>0.3</v>
      </c>
      <c r="H17" s="35">
        <f>IFERROR(__xludf.DUMMYFUNCTION("""COMPUTED_VALUE"""),1.4)</f>
        <v>1.4</v>
      </c>
      <c r="I17" s="4">
        <f t="shared" si="1"/>
        <v>0.6666666667</v>
      </c>
    </row>
    <row r="18">
      <c r="A18" s="30">
        <f>VLOOKUP(B18,map!B:C,2,false)</f>
        <v>18</v>
      </c>
      <c r="B18" s="31" t="str">
        <f>IFERROR(__xludf.DUMMYFUNCTION("""COMPUTED_VALUE"""),"LA Rams")</f>
        <v>LA Rams</v>
      </c>
      <c r="C18" s="35">
        <f>IFERROR(__xludf.DUMMYFUNCTION("""COMPUTED_VALUE"""),0.7)</f>
        <v>0.7</v>
      </c>
      <c r="D18" s="35">
        <f>IFERROR(__xludf.DUMMYFUNCTION("""COMPUTED_VALUE"""),1.0)</f>
        <v>1</v>
      </c>
      <c r="E18" s="35">
        <f>IFERROR(__xludf.DUMMYFUNCTION("""COMPUTED_VALUE"""),1.0)</f>
        <v>1</v>
      </c>
      <c r="F18" s="35">
        <f>IFERROR(__xludf.DUMMYFUNCTION("""COMPUTED_VALUE"""),0.8)</f>
        <v>0.8</v>
      </c>
      <c r="G18" s="35">
        <f>IFERROR(__xludf.DUMMYFUNCTION("""COMPUTED_VALUE"""),0.7)</f>
        <v>0.7</v>
      </c>
      <c r="H18" s="35">
        <f>IFERROR(__xludf.DUMMYFUNCTION("""COMPUTED_VALUE"""),0.7)</f>
        <v>0.7</v>
      </c>
      <c r="I18" s="4">
        <f t="shared" si="1"/>
        <v>0.8166666667</v>
      </c>
    </row>
    <row r="19">
      <c r="A19" s="30">
        <f>VLOOKUP(B19,map!B:C,2,false)</f>
        <v>3</v>
      </c>
      <c r="B19" s="31" t="str">
        <f>IFERROR(__xludf.DUMMYFUNCTION("""COMPUTED_VALUE"""),"Minnesota")</f>
        <v>Minnesota</v>
      </c>
      <c r="C19" s="35">
        <f>IFERROR(__xludf.DUMMYFUNCTION("""COMPUTED_VALUE"""),0.7)</f>
        <v>0.7</v>
      </c>
      <c r="D19" s="35">
        <f>IFERROR(__xludf.DUMMYFUNCTION("""COMPUTED_VALUE"""),0.7)</f>
        <v>0.7</v>
      </c>
      <c r="E19" s="35">
        <f>IFERROR(__xludf.DUMMYFUNCTION("""COMPUTED_VALUE"""),0.0)</f>
        <v>0</v>
      </c>
      <c r="F19" s="35">
        <f>IFERROR(__xludf.DUMMYFUNCTION("""COMPUTED_VALUE"""),0.7)</f>
        <v>0.7</v>
      </c>
      <c r="G19" s="35">
        <f>IFERROR(__xludf.DUMMYFUNCTION("""COMPUTED_VALUE"""),0.8)</f>
        <v>0.8</v>
      </c>
      <c r="H19" s="35">
        <f>IFERROR(__xludf.DUMMYFUNCTION("""COMPUTED_VALUE"""),1.1)</f>
        <v>1.1</v>
      </c>
      <c r="I19" s="4">
        <f t="shared" si="1"/>
        <v>0.6666666667</v>
      </c>
    </row>
    <row r="20">
      <c r="A20" s="30">
        <f>VLOOKUP(B20,map!B:C,2,false)</f>
        <v>31</v>
      </c>
      <c r="B20" s="31" t="str">
        <f>IFERROR(__xludf.DUMMYFUNCTION("""COMPUTED_VALUE"""),"Chicago")</f>
        <v>Chicago</v>
      </c>
      <c r="C20" s="35">
        <f>IFERROR(__xludf.DUMMYFUNCTION("""COMPUTED_VALUE"""),0.7)</f>
        <v>0.7</v>
      </c>
      <c r="D20" s="35">
        <f>IFERROR(__xludf.DUMMYFUNCTION("""COMPUTED_VALUE"""),0.3)</f>
        <v>0.3</v>
      </c>
      <c r="E20" s="35">
        <f>IFERROR(__xludf.DUMMYFUNCTION("""COMPUTED_VALUE"""),0.0)</f>
        <v>0</v>
      </c>
      <c r="F20" s="35">
        <f>IFERROR(__xludf.DUMMYFUNCTION("""COMPUTED_VALUE"""),0.0)</f>
        <v>0</v>
      </c>
      <c r="G20" s="35">
        <f>IFERROR(__xludf.DUMMYFUNCTION("""COMPUTED_VALUE"""),1.3)</f>
        <v>1.3</v>
      </c>
      <c r="H20" s="35">
        <f>IFERROR(__xludf.DUMMYFUNCTION("""COMPUTED_VALUE"""),0.9)</f>
        <v>0.9</v>
      </c>
      <c r="I20" s="4">
        <f t="shared" si="1"/>
        <v>0.5333333333</v>
      </c>
    </row>
    <row r="21">
      <c r="A21" s="30">
        <f>VLOOKUP(B21,map!B:C,2,false)</f>
        <v>9</v>
      </c>
      <c r="B21" s="31" t="str">
        <f>IFERROR(__xludf.DUMMYFUNCTION("""COMPUTED_VALUE"""),"New Orleans")</f>
        <v>New Orleans</v>
      </c>
      <c r="C21" s="35">
        <f>IFERROR(__xludf.DUMMYFUNCTION("""COMPUTED_VALUE"""),0.8)</f>
        <v>0.8</v>
      </c>
      <c r="D21" s="35">
        <f>IFERROR(__xludf.DUMMYFUNCTION("""COMPUTED_VALUE"""),0.7)</f>
        <v>0.7</v>
      </c>
      <c r="E21" s="35">
        <f>IFERROR(__xludf.DUMMYFUNCTION("""COMPUTED_VALUE"""),0.0)</f>
        <v>0</v>
      </c>
      <c r="F21" s="35">
        <f>IFERROR(__xludf.DUMMYFUNCTION("""COMPUTED_VALUE"""),0.8)</f>
        <v>0.8</v>
      </c>
      <c r="G21" s="35">
        <f>IFERROR(__xludf.DUMMYFUNCTION("""COMPUTED_VALUE"""),0.8)</f>
        <v>0.8</v>
      </c>
      <c r="H21" s="35">
        <f>IFERROR(__xludf.DUMMYFUNCTION("""COMPUTED_VALUE"""),0.6)</f>
        <v>0.6</v>
      </c>
      <c r="I21" s="4">
        <f t="shared" si="1"/>
        <v>0.6166666667</v>
      </c>
    </row>
    <row r="22">
      <c r="A22" s="30">
        <f>VLOOKUP(B22,map!B:C,2,false)</f>
        <v>13</v>
      </c>
      <c r="B22" s="31" t="str">
        <f>IFERROR(__xludf.DUMMYFUNCTION("""COMPUTED_VALUE"""),"Seattle")</f>
        <v>Seattle</v>
      </c>
      <c r="C22" s="35">
        <f>IFERROR(__xludf.DUMMYFUNCTION("""COMPUTED_VALUE"""),0.9)</f>
        <v>0.9</v>
      </c>
      <c r="D22" s="35">
        <f>IFERROR(__xludf.DUMMYFUNCTION("""COMPUTED_VALUE"""),1.0)</f>
        <v>1</v>
      </c>
      <c r="E22" s="35">
        <f>IFERROR(__xludf.DUMMYFUNCTION("""COMPUTED_VALUE"""),1.0)</f>
        <v>1</v>
      </c>
      <c r="F22" s="35">
        <f>IFERROR(__xludf.DUMMYFUNCTION("""COMPUTED_VALUE"""),1.2)</f>
        <v>1.2</v>
      </c>
      <c r="G22" s="35">
        <f>IFERROR(__xludf.DUMMYFUNCTION("""COMPUTED_VALUE"""),0.3)</f>
        <v>0.3</v>
      </c>
      <c r="H22" s="35">
        <f>IFERROR(__xludf.DUMMYFUNCTION("""COMPUTED_VALUE"""),0.7)</f>
        <v>0.7</v>
      </c>
      <c r="I22" s="4">
        <f t="shared" si="1"/>
        <v>0.85</v>
      </c>
    </row>
    <row r="23">
      <c r="A23" s="30">
        <f>VLOOKUP(B23,map!B:C,2,false)</f>
        <v>28</v>
      </c>
      <c r="B23" s="31" t="str">
        <f>IFERROR(__xludf.DUMMYFUNCTION("""COMPUTED_VALUE"""),"Atlanta")</f>
        <v>Atlanta</v>
      </c>
      <c r="C23" s="35">
        <f>IFERROR(__xludf.DUMMYFUNCTION("""COMPUTED_VALUE"""),0.9)</f>
        <v>0.9</v>
      </c>
      <c r="D23" s="35">
        <f>IFERROR(__xludf.DUMMYFUNCTION("""COMPUTED_VALUE"""),0.7)</f>
        <v>0.7</v>
      </c>
      <c r="E23" s="35">
        <f>IFERROR(__xludf.DUMMYFUNCTION("""COMPUTED_VALUE"""),0.0)</f>
        <v>0</v>
      </c>
      <c r="F23" s="35">
        <f>IFERROR(__xludf.DUMMYFUNCTION("""COMPUTED_VALUE"""),1.4)</f>
        <v>1.4</v>
      </c>
      <c r="G23" s="35">
        <f>IFERROR(__xludf.DUMMYFUNCTION("""COMPUTED_VALUE"""),0.0)</f>
        <v>0</v>
      </c>
      <c r="H23" s="35">
        <f>IFERROR(__xludf.DUMMYFUNCTION("""COMPUTED_VALUE"""),1.0)</f>
        <v>1</v>
      </c>
      <c r="I23" s="4">
        <f t="shared" si="1"/>
        <v>0.6666666667</v>
      </c>
    </row>
    <row r="24">
      <c r="A24" s="30">
        <f>VLOOKUP(B24,map!B:C,2,false)</f>
        <v>25</v>
      </c>
      <c r="B24" s="31" t="str">
        <f>IFERROR(__xludf.DUMMYFUNCTION("""COMPUTED_VALUE"""),"San Francisco")</f>
        <v>San Francisco</v>
      </c>
      <c r="C24" s="35">
        <f>IFERROR(__xludf.DUMMYFUNCTION("""COMPUTED_VALUE"""),0.9)</f>
        <v>0.9</v>
      </c>
      <c r="D24" s="35">
        <f>IFERROR(__xludf.DUMMYFUNCTION("""COMPUTED_VALUE"""),1.0)</f>
        <v>1</v>
      </c>
      <c r="E24" s="35">
        <f>IFERROR(__xludf.DUMMYFUNCTION("""COMPUTED_VALUE"""),0.0)</f>
        <v>0</v>
      </c>
      <c r="F24" s="35">
        <f>IFERROR(__xludf.DUMMYFUNCTION("""COMPUTED_VALUE"""),1.2)</f>
        <v>1.2</v>
      </c>
      <c r="G24" s="35">
        <f>IFERROR(__xludf.DUMMYFUNCTION("""COMPUTED_VALUE"""),0.3)</f>
        <v>0.3</v>
      </c>
      <c r="H24" s="35">
        <f>IFERROR(__xludf.DUMMYFUNCTION("""COMPUTED_VALUE"""),0.7)</f>
        <v>0.7</v>
      </c>
      <c r="I24" s="4">
        <f t="shared" si="1"/>
        <v>0.6833333333</v>
      </c>
    </row>
    <row r="25">
      <c r="A25" s="30">
        <f>VLOOKUP(B25,map!B:C,2,false)</f>
        <v>19</v>
      </c>
      <c r="B25" s="31" t="str">
        <f>IFERROR(__xludf.DUMMYFUNCTION("""COMPUTED_VALUE"""),"NY Jets")</f>
        <v>NY Jets</v>
      </c>
      <c r="C25" s="35">
        <f>IFERROR(__xludf.DUMMYFUNCTION("""COMPUTED_VALUE"""),0.9)</f>
        <v>0.9</v>
      </c>
      <c r="D25" s="35">
        <f>IFERROR(__xludf.DUMMYFUNCTION("""COMPUTED_VALUE"""),1.0)</f>
        <v>1</v>
      </c>
      <c r="E25" s="35">
        <f>IFERROR(__xludf.DUMMYFUNCTION("""COMPUTED_VALUE"""),0.0)</f>
        <v>0</v>
      </c>
      <c r="F25" s="35">
        <f>IFERROR(__xludf.DUMMYFUNCTION("""COMPUTED_VALUE"""),0.3)</f>
        <v>0.3</v>
      </c>
      <c r="G25" s="35">
        <f>IFERROR(__xludf.DUMMYFUNCTION("""COMPUTED_VALUE"""),1.2)</f>
        <v>1.2</v>
      </c>
      <c r="H25" s="35">
        <f>IFERROR(__xludf.DUMMYFUNCTION("""COMPUTED_VALUE"""),0.9)</f>
        <v>0.9</v>
      </c>
      <c r="I25" s="4">
        <f t="shared" si="1"/>
        <v>0.7166666667</v>
      </c>
    </row>
    <row r="26">
      <c r="A26" s="30">
        <f>VLOOKUP(B26,map!B:C,2,false)</f>
        <v>20</v>
      </c>
      <c r="B26" s="31" t="str">
        <f>IFERROR(__xludf.DUMMYFUNCTION("""COMPUTED_VALUE"""),"Indianapolis")</f>
        <v>Indianapolis</v>
      </c>
      <c r="C26" s="35">
        <f>IFERROR(__xludf.DUMMYFUNCTION("""COMPUTED_VALUE"""),1.0)</f>
        <v>1</v>
      </c>
      <c r="D26" s="35">
        <f>IFERROR(__xludf.DUMMYFUNCTION("""COMPUTED_VALUE"""),0.7)</f>
        <v>0.7</v>
      </c>
      <c r="E26" s="35">
        <f>IFERROR(__xludf.DUMMYFUNCTION("""COMPUTED_VALUE"""),1.0)</f>
        <v>1</v>
      </c>
      <c r="F26" s="35">
        <f>IFERROR(__xludf.DUMMYFUNCTION("""COMPUTED_VALUE"""),0.8)</f>
        <v>0.8</v>
      </c>
      <c r="G26" s="35">
        <f>IFERROR(__xludf.DUMMYFUNCTION("""COMPUTED_VALUE"""),1.3)</f>
        <v>1.3</v>
      </c>
      <c r="H26" s="35">
        <f>IFERROR(__xludf.DUMMYFUNCTION("""COMPUTED_VALUE"""),0.6)</f>
        <v>0.6</v>
      </c>
      <c r="I26" s="4">
        <f t="shared" si="1"/>
        <v>0.9</v>
      </c>
    </row>
    <row r="27">
      <c r="A27" s="30">
        <f>VLOOKUP(B27,map!B:C,2,false)</f>
        <v>14</v>
      </c>
      <c r="B27" s="31" t="str">
        <f>IFERROR(__xludf.DUMMYFUNCTION("""COMPUTED_VALUE"""),"Tampa Bay")</f>
        <v>Tampa Bay</v>
      </c>
      <c r="C27" s="35">
        <f>IFERROR(__xludf.DUMMYFUNCTION("""COMPUTED_VALUE"""),1.1)</f>
        <v>1.1</v>
      </c>
      <c r="D27" s="35">
        <f>IFERROR(__xludf.DUMMYFUNCTION("""COMPUTED_VALUE"""),2.3)</f>
        <v>2.3</v>
      </c>
      <c r="E27" s="35">
        <f>IFERROR(__xludf.DUMMYFUNCTION("""COMPUTED_VALUE"""),2.0)</f>
        <v>2</v>
      </c>
      <c r="F27" s="35">
        <f>IFERROR(__xludf.DUMMYFUNCTION("""COMPUTED_VALUE"""),1.0)</f>
        <v>1</v>
      </c>
      <c r="G27" s="35">
        <f>IFERROR(__xludf.DUMMYFUNCTION("""COMPUTED_VALUE"""),1.3)</f>
        <v>1.3</v>
      </c>
      <c r="H27" s="35">
        <f>IFERROR(__xludf.DUMMYFUNCTION("""COMPUTED_VALUE"""),0.6)</f>
        <v>0.6</v>
      </c>
      <c r="I27" s="4">
        <f t="shared" si="1"/>
        <v>1.383333333</v>
      </c>
    </row>
    <row r="28">
      <c r="A28" s="30">
        <f>VLOOKUP(B28,map!B:C,2,false)</f>
        <v>15</v>
      </c>
      <c r="B28" s="31" t="str">
        <f>IFERROR(__xludf.DUMMYFUNCTION("""COMPUTED_VALUE"""),"Green Bay")</f>
        <v>Green Bay</v>
      </c>
      <c r="C28" s="35">
        <f>IFERROR(__xludf.DUMMYFUNCTION("""COMPUTED_VALUE"""),1.1)</f>
        <v>1.1</v>
      </c>
      <c r="D28" s="35">
        <f>IFERROR(__xludf.DUMMYFUNCTION("""COMPUTED_VALUE"""),1.3)</f>
        <v>1.3</v>
      </c>
      <c r="E28" s="35">
        <f>IFERROR(__xludf.DUMMYFUNCTION("""COMPUTED_VALUE"""),1.0)</f>
        <v>1</v>
      </c>
      <c r="F28" s="35">
        <f>IFERROR(__xludf.DUMMYFUNCTION("""COMPUTED_VALUE"""),1.5)</f>
        <v>1.5</v>
      </c>
      <c r="G28" s="35">
        <f>IFERROR(__xludf.DUMMYFUNCTION("""COMPUTED_VALUE"""),0.8)</f>
        <v>0.8</v>
      </c>
      <c r="H28" s="35">
        <f>IFERROR(__xludf.DUMMYFUNCTION("""COMPUTED_VALUE"""),0.7)</f>
        <v>0.7</v>
      </c>
      <c r="I28" s="4">
        <f t="shared" si="1"/>
        <v>1.066666667</v>
      </c>
    </row>
    <row r="29">
      <c r="A29" s="30">
        <f>VLOOKUP(B29,map!B:C,2,false)</f>
        <v>24</v>
      </c>
      <c r="B29" s="31" t="str">
        <f>IFERROR(__xludf.DUMMYFUNCTION("""COMPUTED_VALUE"""),"Las Vegas")</f>
        <v>Las Vegas</v>
      </c>
      <c r="C29" s="35">
        <f>IFERROR(__xludf.DUMMYFUNCTION("""COMPUTED_VALUE"""),1.3)</f>
        <v>1.3</v>
      </c>
      <c r="D29" s="35">
        <f>IFERROR(__xludf.DUMMYFUNCTION("""COMPUTED_VALUE"""),1.3)</f>
        <v>1.3</v>
      </c>
      <c r="E29" s="35">
        <f>IFERROR(__xludf.DUMMYFUNCTION("""COMPUTED_VALUE"""),0.0)</f>
        <v>0</v>
      </c>
      <c r="F29" s="35">
        <f>IFERROR(__xludf.DUMMYFUNCTION("""COMPUTED_VALUE"""),0.5)</f>
        <v>0.5</v>
      </c>
      <c r="G29" s="35">
        <f>IFERROR(__xludf.DUMMYFUNCTION("""COMPUTED_VALUE"""),2.0)</f>
        <v>2</v>
      </c>
      <c r="H29" s="35">
        <f>IFERROR(__xludf.DUMMYFUNCTION("""COMPUTED_VALUE"""),1.1)</f>
        <v>1.1</v>
      </c>
      <c r="I29" s="4">
        <f t="shared" si="1"/>
        <v>1.033333333</v>
      </c>
    </row>
    <row r="30">
      <c r="A30" s="30">
        <f>VLOOKUP(B30,map!B:C,2,false)</f>
        <v>2</v>
      </c>
      <c r="B30" s="31" t="str">
        <f>IFERROR(__xludf.DUMMYFUNCTION("""COMPUTED_VALUE"""),"Kansas City")</f>
        <v>Kansas City</v>
      </c>
      <c r="C30" s="35">
        <f>IFERROR(__xludf.DUMMYFUNCTION("""COMPUTED_VALUE"""),1.3)</f>
        <v>1.3</v>
      </c>
      <c r="D30" s="35">
        <f>IFERROR(__xludf.DUMMYFUNCTION("""COMPUTED_VALUE"""),1.3)</f>
        <v>1.3</v>
      </c>
      <c r="E30" s="35">
        <f>IFERROR(__xludf.DUMMYFUNCTION("""COMPUTED_VALUE"""),1.0)</f>
        <v>1</v>
      </c>
      <c r="F30" s="35">
        <f>IFERROR(__xludf.DUMMYFUNCTION("""COMPUTED_VALUE"""),1.3)</f>
        <v>1.3</v>
      </c>
      <c r="G30" s="35">
        <f>IFERROR(__xludf.DUMMYFUNCTION("""COMPUTED_VALUE"""),1.3)</f>
        <v>1.3</v>
      </c>
      <c r="H30" s="35">
        <f>IFERROR(__xludf.DUMMYFUNCTION("""COMPUTED_VALUE"""),0.9)</f>
        <v>0.9</v>
      </c>
      <c r="I30" s="4">
        <f t="shared" si="1"/>
        <v>1.183333333</v>
      </c>
    </row>
    <row r="31">
      <c r="A31" s="30">
        <f>VLOOKUP(B31,map!B:C,2,false)</f>
        <v>1</v>
      </c>
      <c r="B31" s="31" t="str">
        <f>IFERROR(__xludf.DUMMYFUNCTION("""COMPUTED_VALUE"""),"Dallas")</f>
        <v>Dallas</v>
      </c>
      <c r="C31" s="35">
        <f>IFERROR(__xludf.DUMMYFUNCTION("""COMPUTED_VALUE"""),1.3)</f>
        <v>1.3</v>
      </c>
      <c r="D31" s="35">
        <f>IFERROR(__xludf.DUMMYFUNCTION("""COMPUTED_VALUE"""),2.3)</f>
        <v>2.3</v>
      </c>
      <c r="E31" s="35">
        <f>IFERROR(__xludf.DUMMYFUNCTION("""COMPUTED_VALUE"""),2.0)</f>
        <v>2</v>
      </c>
      <c r="F31" s="35">
        <f>IFERROR(__xludf.DUMMYFUNCTION("""COMPUTED_VALUE"""),1.7)</f>
        <v>1.7</v>
      </c>
      <c r="G31" s="35">
        <f>IFERROR(__xludf.DUMMYFUNCTION("""COMPUTED_VALUE"""),1.0)</f>
        <v>1</v>
      </c>
      <c r="H31" s="35">
        <f>IFERROR(__xludf.DUMMYFUNCTION("""COMPUTED_VALUE"""),0.7)</f>
        <v>0.7</v>
      </c>
      <c r="I31" s="4">
        <f t="shared" si="1"/>
        <v>1.5</v>
      </c>
    </row>
    <row r="32">
      <c r="A32" s="30">
        <f>VLOOKUP(B32,map!B:C,2,false)</f>
        <v>23</v>
      </c>
      <c r="B32" s="31" t="str">
        <f>IFERROR(__xludf.DUMMYFUNCTION("""COMPUTED_VALUE"""),"Carolina")</f>
        <v>Carolina</v>
      </c>
      <c r="C32" s="35">
        <f>IFERROR(__xludf.DUMMYFUNCTION("""COMPUTED_VALUE"""),1.4)</f>
        <v>1.4</v>
      </c>
      <c r="D32" s="35">
        <f>IFERROR(__xludf.DUMMYFUNCTION("""COMPUTED_VALUE"""),2.0)</f>
        <v>2</v>
      </c>
      <c r="E32" s="35">
        <f>IFERROR(__xludf.DUMMYFUNCTION("""COMPUTED_VALUE"""),2.0)</f>
        <v>2</v>
      </c>
      <c r="F32" s="35">
        <f>IFERROR(__xludf.DUMMYFUNCTION("""COMPUTED_VALUE"""),1.3)</f>
        <v>1.3</v>
      </c>
      <c r="G32" s="35">
        <f>IFERROR(__xludf.DUMMYFUNCTION("""COMPUTED_VALUE"""),1.4)</f>
        <v>1.4</v>
      </c>
      <c r="H32" s="35">
        <f>IFERROR(__xludf.DUMMYFUNCTION("""COMPUTED_VALUE"""),0.6)</f>
        <v>0.6</v>
      </c>
      <c r="I32" s="4">
        <f t="shared" si="1"/>
        <v>1.45</v>
      </c>
    </row>
    <row r="33">
      <c r="A33" s="30">
        <f>VLOOKUP(B33,map!B:C,2,false)</f>
        <v>32</v>
      </c>
      <c r="B33" s="31" t="str">
        <f>IFERROR(__xludf.DUMMYFUNCTION("""COMPUTED_VALUE"""),"Tennessee")</f>
        <v>Tennessee</v>
      </c>
      <c r="C33" s="35">
        <f>IFERROR(__xludf.DUMMYFUNCTION("""COMPUTED_VALUE"""),1.4)</f>
        <v>1.4</v>
      </c>
      <c r="D33" s="35">
        <f>IFERROR(__xludf.DUMMYFUNCTION("""COMPUTED_VALUE"""),1.3)</f>
        <v>1.3</v>
      </c>
      <c r="E33" s="35">
        <f>IFERROR(__xludf.DUMMYFUNCTION("""COMPUTED_VALUE"""),2.0)</f>
        <v>2</v>
      </c>
      <c r="F33" s="35">
        <f>IFERROR(__xludf.DUMMYFUNCTION("""COMPUTED_VALUE"""),1.3)</f>
        <v>1.3</v>
      </c>
      <c r="G33" s="35">
        <f>IFERROR(__xludf.DUMMYFUNCTION("""COMPUTED_VALUE"""),1.5)</f>
        <v>1.5</v>
      </c>
      <c r="H33" s="35">
        <f>IFERROR(__xludf.DUMMYFUNCTION("""COMPUTED_VALUE"""),0.6)</f>
        <v>0.6</v>
      </c>
      <c r="I33" s="4">
        <f t="shared" si="1"/>
        <v>1.35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3.43"/>
    <col customWidth="1" min="4" max="4" width="21.29"/>
    <col customWidth="1" min="5" max="5" width="21.86"/>
    <col customWidth="1" min="6" max="6" width="14.14"/>
    <col customWidth="1" min="7" max="8" width="12.71"/>
    <col customWidth="1" min="9" max="9" width="12.43"/>
    <col customWidth="1" min="10" max="10" width="20.71"/>
    <col customWidth="1" min="11" max="11" width="11.29"/>
    <col customWidth="1" min="12" max="12" width="19.0"/>
    <col customWidth="1" min="13" max="13" width="12.29"/>
    <col customWidth="1" min="14" max="15" width="14.86"/>
    <col customWidth="1" min="16" max="24" width="8.86"/>
  </cols>
  <sheetData>
    <row r="1">
      <c r="A1" s="9" t="s">
        <v>25</v>
      </c>
      <c r="B1" s="10" t="s">
        <v>26</v>
      </c>
      <c r="C1" s="11" t="s">
        <v>27</v>
      </c>
      <c r="D1" s="11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3" t="s">
        <v>38</v>
      </c>
      <c r="O1" s="14" t="s">
        <v>39</v>
      </c>
    </row>
    <row r="2">
      <c r="A2" s="4">
        <f>VLOOKUP(B2,map!B:C,2,false)</f>
        <v>17</v>
      </c>
      <c r="B2" s="4" t="str">
        <f>IFERROR(__xludf.DUMMYFUNCTION("UNIQUE(drive_time_of_possession!B2:B1000)"),"Houston")</f>
        <v>Houston</v>
      </c>
      <c r="C2" s="15">
        <f>VLOOKUP(B2,drive_time_of_possession!B:I,3,false)</f>
        <v>1.352777778</v>
      </c>
      <c r="D2" s="15">
        <f>VLOOKUP(B2,yards_drive_interaction!B:I,3,false)</f>
        <v>309.3</v>
      </c>
      <c r="E2" s="4">
        <f>VLOOKUP(B2,fourth_down_converted!B:I,3,false)</f>
        <v>0</v>
      </c>
      <c r="F2" s="4">
        <f>VLOOKUP(B2,yards_per_play!B:I,3,false)</f>
        <v>4.9</v>
      </c>
      <c r="G2" s="4">
        <f>VLOOKUP(B2,rush_attempt!B:I,3,false)</f>
        <v>30</v>
      </c>
      <c r="H2" s="4">
        <f>VLOOKUP(B2,pass_attempt!B:I,3,false)</f>
        <v>30</v>
      </c>
      <c r="I2" s="4">
        <f>VLOOKUP(B2,yards_per_play!B:I,3,false)</f>
        <v>4.9</v>
      </c>
      <c r="J2" s="4">
        <f>VLOOKUP(B2,third_down_converted!B:I,3,false)</f>
        <v>4</v>
      </c>
      <c r="K2" s="4">
        <f>VLOOKUP(B2,fumble_lost!B:I,3,false)</f>
        <v>0.3</v>
      </c>
      <c r="L2" s="4">
        <f>VLOOKUP(B2,turnover_differential!B:I,3,false)</f>
        <v>0</v>
      </c>
      <c r="M2" s="4">
        <f>VLOOKUP(B2,interception!B:I,3,false)</f>
        <v>0.3</v>
      </c>
      <c r="N2" s="5">
        <f t="shared" ref="N2:N33" si="1">IF(L2&gt;1,1,0)</f>
        <v>0</v>
      </c>
      <c r="O2" s="5">
        <f t="shared" ref="O2:O33" si="2">(C2*0.7286) + (D2*0.0897) + (E2*0.0382) + (F2*0.0381) + (G2*0.0286) + (H2*0.028) + (I2*0.0279) + (J2*0.0101) - (K2*0.005) + (L2*0.0042) - (M2*0.0015) + (N2*0.0001)</f>
        <v>30.78969389</v>
      </c>
    </row>
    <row r="3">
      <c r="A3" s="4">
        <f>VLOOKUP(B3,map!B:C,2,false)</f>
        <v>25</v>
      </c>
      <c r="B3" s="4" t="str">
        <f>IFERROR(__xludf.DUMMYFUNCTION("""COMPUTED_VALUE"""),"San Francisco")</f>
        <v>San Francisco</v>
      </c>
      <c r="C3" s="15">
        <f>VLOOKUP(B3,drive_time_of_possession!B:I,3,false)</f>
        <v>1.265972222</v>
      </c>
      <c r="D3" s="15">
        <f>VLOOKUP(B3,yards_drive_interaction!B:I,3,false)</f>
        <v>420.7</v>
      </c>
      <c r="E3" s="4">
        <f>VLOOKUP(B3,fourth_down_converted!B:I,3,false)</f>
        <v>0.3</v>
      </c>
      <c r="F3" s="4">
        <f>VLOOKUP(B3,yards_per_play!B:I,3,false)</f>
        <v>7</v>
      </c>
      <c r="G3" s="4">
        <f>VLOOKUP(B3,rush_attempt!B:I,3,false)</f>
        <v>31</v>
      </c>
      <c r="H3" s="4">
        <f>VLOOKUP(B3,pass_attempt!B:I,3,false)</f>
        <v>28.3</v>
      </c>
      <c r="I3" s="4">
        <f>VLOOKUP(B3,yards_per_play!B:I,3,false)</f>
        <v>7</v>
      </c>
      <c r="J3" s="4">
        <f>VLOOKUP(B3,third_down_converted!B:I,3,false)</f>
        <v>5</v>
      </c>
      <c r="K3" s="4">
        <f>VLOOKUP(B3,fumble_lost!B:I,3,false)</f>
        <v>0</v>
      </c>
      <c r="L3" s="4">
        <f>VLOOKUP(B3,turnover_differential!B:I,3,false)</f>
        <v>0.3</v>
      </c>
      <c r="M3" s="4">
        <f>VLOOKUP(B3,interception!B:I,3,false)</f>
        <v>1</v>
      </c>
      <c r="N3" s="5">
        <f t="shared" si="1"/>
        <v>0</v>
      </c>
      <c r="O3" s="5">
        <f t="shared" si="2"/>
        <v>40.86189736</v>
      </c>
    </row>
    <row r="4">
      <c r="A4" s="4">
        <f>VLOOKUP(B4,map!B:C,2,false)</f>
        <v>2</v>
      </c>
      <c r="B4" s="4" t="str">
        <f>IFERROR(__xludf.DUMMYFUNCTION("""COMPUTED_VALUE"""),"Kansas City")</f>
        <v>Kansas City</v>
      </c>
      <c r="C4" s="15">
        <f>VLOOKUP(B4,drive_time_of_possession!B:I,3,false)</f>
        <v>1.493055556</v>
      </c>
      <c r="D4" s="15">
        <f>VLOOKUP(B4,yards_drive_interaction!B:I,3,false)</f>
        <v>374.3</v>
      </c>
      <c r="E4" s="4">
        <f>VLOOKUP(B4,fourth_down_converted!B:I,3,false)</f>
        <v>0.7</v>
      </c>
      <c r="F4" s="4">
        <f>VLOOKUP(B4,yards_per_play!B:I,3,false)</f>
        <v>5.2</v>
      </c>
      <c r="G4" s="4">
        <f>VLOOKUP(B4,rush_attempt!B:I,3,false)</f>
        <v>35.7</v>
      </c>
      <c r="H4" s="4">
        <f>VLOOKUP(B4,pass_attempt!B:I,3,false)</f>
        <v>34.7</v>
      </c>
      <c r="I4" s="4">
        <f>VLOOKUP(B4,yards_per_play!B:I,3,false)</f>
        <v>5.2</v>
      </c>
      <c r="J4" s="4">
        <f>VLOOKUP(B4,third_down_converted!B:I,3,false)</f>
        <v>8.7</v>
      </c>
      <c r="K4" s="4">
        <f>VLOOKUP(B4,fumble_lost!B:I,3,false)</f>
        <v>0</v>
      </c>
      <c r="L4" s="4">
        <f>VLOOKUP(B4,turnover_differential!B:I,3,false)</f>
        <v>-0.7</v>
      </c>
      <c r="M4" s="4">
        <f>VLOOKUP(B4,interception!B:I,3,false)</f>
        <v>1.3</v>
      </c>
      <c r="N4" s="5">
        <f t="shared" si="1"/>
        <v>0</v>
      </c>
      <c r="O4" s="5">
        <f t="shared" si="2"/>
        <v>37.10809028</v>
      </c>
    </row>
    <row r="5">
      <c r="A5" s="4">
        <f>VLOOKUP(B5,map!B:C,2,false)</f>
        <v>32</v>
      </c>
      <c r="B5" s="4" t="str">
        <f>IFERROR(__xludf.DUMMYFUNCTION("""COMPUTED_VALUE"""),"Tennessee")</f>
        <v>Tennessee</v>
      </c>
      <c r="C5" s="15">
        <f>VLOOKUP(B5,drive_time_of_possession!B:I,3,false)</f>
        <v>1.373611111</v>
      </c>
      <c r="D5" s="15">
        <f>VLOOKUP(B5,yards_drive_interaction!B:I,3,false)</f>
        <v>315.3</v>
      </c>
      <c r="E5" s="4">
        <f>VLOOKUP(B5,fourth_down_converted!B:I,3,false)</f>
        <v>1</v>
      </c>
      <c r="F5" s="4">
        <f>VLOOKUP(B5,yards_per_play!B:I,3,false)</f>
        <v>4.9</v>
      </c>
      <c r="G5" s="4">
        <f>VLOOKUP(B5,rush_attempt!B:I,3,false)</f>
        <v>28</v>
      </c>
      <c r="H5" s="4">
        <f>VLOOKUP(B5,pass_attempt!B:I,3,false)</f>
        <v>35</v>
      </c>
      <c r="I5" s="4">
        <f>VLOOKUP(B5,yards_per_play!B:I,3,false)</f>
        <v>4.9</v>
      </c>
      <c r="J5" s="4">
        <f>VLOOKUP(B5,third_down_converted!B:I,3,false)</f>
        <v>4.3</v>
      </c>
      <c r="K5" s="4">
        <f>VLOOKUP(B5,fumble_lost!B:I,3,false)</f>
        <v>1</v>
      </c>
      <c r="L5" s="4">
        <f>VLOOKUP(B5,turnover_differential!B:I,3,false)</f>
        <v>-2.3</v>
      </c>
      <c r="M5" s="4">
        <f>VLOOKUP(B5,interception!B:I,3,false)</f>
        <v>1.3</v>
      </c>
      <c r="N5" s="5">
        <f t="shared" si="1"/>
        <v>0</v>
      </c>
      <c r="O5" s="5">
        <f t="shared" si="2"/>
        <v>31.45244306</v>
      </c>
    </row>
    <row r="6">
      <c r="A6" s="4">
        <f>VLOOKUP(B6,map!B:C,2,false)</f>
        <v>29</v>
      </c>
      <c r="B6" s="4" t="str">
        <f>IFERROR(__xludf.DUMMYFUNCTION("""COMPUTED_VALUE"""),"Pittsburgh")</f>
        <v>Pittsburgh</v>
      </c>
      <c r="C6" s="15">
        <f>VLOOKUP(B6,drive_time_of_possession!B:I,3,false)</f>
        <v>1.270833333</v>
      </c>
      <c r="D6" s="15">
        <f>VLOOKUP(B6,yards_drive_interaction!B:I,3,false)</f>
        <v>309.3</v>
      </c>
      <c r="E6" s="4">
        <f>VLOOKUP(B6,fourth_down_converted!B:I,3,false)</f>
        <v>1.7</v>
      </c>
      <c r="F6" s="4">
        <f>VLOOKUP(B6,yards_per_play!B:I,3,false)</f>
        <v>5</v>
      </c>
      <c r="G6" s="4">
        <f>VLOOKUP(B6,rush_attempt!B:I,3,false)</f>
        <v>32.3</v>
      </c>
      <c r="H6" s="4">
        <f>VLOOKUP(B6,pass_attempt!B:I,3,false)</f>
        <v>27</v>
      </c>
      <c r="I6" s="4">
        <f>VLOOKUP(B6,yards_per_play!B:I,3,false)</f>
        <v>5</v>
      </c>
      <c r="J6" s="4">
        <f>VLOOKUP(B6,third_down_converted!B:I,3,false)</f>
        <v>4</v>
      </c>
      <c r="K6" s="4">
        <f>VLOOKUP(B6,fumble_lost!B:I,3,false)</f>
        <v>0.3</v>
      </c>
      <c r="L6" s="4">
        <f>VLOOKUP(B6,turnover_differential!B:I,3,false)</f>
        <v>1.3</v>
      </c>
      <c r="M6" s="4">
        <f>VLOOKUP(B6,interception!B:I,3,false)</f>
        <v>0</v>
      </c>
      <c r="N6" s="5">
        <f t="shared" si="1"/>
        <v>1</v>
      </c>
      <c r="O6" s="5">
        <f t="shared" si="2"/>
        <v>30.78931917</v>
      </c>
    </row>
    <row r="7">
      <c r="A7" s="4">
        <f>VLOOKUP(B7,map!B:C,2,false)</f>
        <v>7</v>
      </c>
      <c r="B7" s="4" t="str">
        <f>IFERROR(__xludf.DUMMYFUNCTION("""COMPUTED_VALUE"""),"LA Chargers")</f>
        <v>LA Chargers</v>
      </c>
      <c r="C7" s="15">
        <f>VLOOKUP(B7,drive_time_of_possession!B:I,3,false)</f>
        <v>1.427083333</v>
      </c>
      <c r="D7" s="15">
        <f>VLOOKUP(B7,yards_drive_interaction!B:I,3,false)</f>
        <v>374.3</v>
      </c>
      <c r="E7" s="4">
        <f>VLOOKUP(B7,fourth_down_converted!B:I,3,false)</f>
        <v>0.3</v>
      </c>
      <c r="F7" s="4">
        <f>VLOOKUP(B7,yards_per_play!B:I,3,false)</f>
        <v>5.5</v>
      </c>
      <c r="G7" s="4">
        <f>VLOOKUP(B7,rush_attempt!B:I,3,false)</f>
        <v>29.7</v>
      </c>
      <c r="H7" s="4">
        <f>VLOOKUP(B7,pass_attempt!B:I,3,false)</f>
        <v>35</v>
      </c>
      <c r="I7" s="4">
        <f>VLOOKUP(B7,yards_per_play!B:I,3,false)</f>
        <v>5.5</v>
      </c>
      <c r="J7" s="4">
        <f>VLOOKUP(B7,third_down_converted!B:I,3,false)</f>
        <v>6.7</v>
      </c>
      <c r="K7" s="4">
        <f>VLOOKUP(B7,fumble_lost!B:I,3,false)</f>
        <v>0.7</v>
      </c>
      <c r="L7" s="4">
        <f>VLOOKUP(B7,turnover_differential!B:I,3,false)</f>
        <v>1</v>
      </c>
      <c r="M7" s="4">
        <f>VLOOKUP(B7,interception!B:I,3,false)</f>
        <v>0</v>
      </c>
      <c r="N7" s="5">
        <f t="shared" si="1"/>
        <v>0</v>
      </c>
      <c r="O7" s="5">
        <f t="shared" si="2"/>
        <v>36.88673292</v>
      </c>
    </row>
    <row r="8">
      <c r="A8" s="4">
        <f>VLOOKUP(B8,map!B:C,2,false)</f>
        <v>15</v>
      </c>
      <c r="B8" s="4" t="str">
        <f>IFERROR(__xludf.DUMMYFUNCTION("""COMPUTED_VALUE"""),"Green Bay")</f>
        <v>Green Bay</v>
      </c>
      <c r="C8" s="15">
        <f>VLOOKUP(B8,drive_time_of_possession!B:I,3,false)</f>
        <v>1.38125</v>
      </c>
      <c r="D8" s="15">
        <f>VLOOKUP(B8,yards_drive_interaction!B:I,3,false)</f>
        <v>378.7</v>
      </c>
      <c r="E8" s="4">
        <f>VLOOKUP(B8,fourth_down_converted!B:I,3,false)</f>
        <v>0.3</v>
      </c>
      <c r="F8" s="4">
        <f>VLOOKUP(B8,yards_per_play!B:I,3,false)</f>
        <v>5.9</v>
      </c>
      <c r="G8" s="4">
        <f>VLOOKUP(B8,rush_attempt!B:I,3,false)</f>
        <v>32.3</v>
      </c>
      <c r="H8" s="4">
        <f>VLOOKUP(B8,pass_attempt!B:I,3,false)</f>
        <v>30.7</v>
      </c>
      <c r="I8" s="4">
        <f>VLOOKUP(B8,yards_per_play!B:I,3,false)</f>
        <v>5.9</v>
      </c>
      <c r="J8" s="4">
        <f>VLOOKUP(B8,third_down_converted!B:I,3,false)</f>
        <v>4.7</v>
      </c>
      <c r="K8" s="4">
        <f>VLOOKUP(B8,fumble_lost!B:I,3,false)</f>
        <v>0.3</v>
      </c>
      <c r="L8" s="4">
        <f>VLOOKUP(B8,turnover_differential!B:I,3,false)</f>
        <v>2.3</v>
      </c>
      <c r="M8" s="4">
        <f>VLOOKUP(B8,interception!B:I,3,false)</f>
        <v>1.3</v>
      </c>
      <c r="N8" s="5">
        <f t="shared" si="1"/>
        <v>1</v>
      </c>
      <c r="O8" s="5">
        <f t="shared" si="2"/>
        <v>37.21378875</v>
      </c>
    </row>
    <row r="9">
      <c r="A9" s="4">
        <f>VLOOKUP(B9,map!B:C,2,false)</f>
        <v>14</v>
      </c>
      <c r="B9" s="4" t="str">
        <f>IFERROR(__xludf.DUMMYFUNCTION("""COMPUTED_VALUE"""),"Tampa Bay")</f>
        <v>Tampa Bay</v>
      </c>
      <c r="C9" s="15">
        <f>VLOOKUP(B9,drive_time_of_possession!B:I,3,false)</f>
        <v>1.411805556</v>
      </c>
      <c r="D9" s="15">
        <f>VLOOKUP(B9,yards_drive_interaction!B:I,3,false)</f>
        <v>502.3</v>
      </c>
      <c r="E9" s="4">
        <f>VLOOKUP(B9,fourth_down_converted!B:I,3,false)</f>
        <v>0.7</v>
      </c>
      <c r="F9" s="4">
        <f>VLOOKUP(B9,yards_per_play!B:I,3,false)</f>
        <v>6.8</v>
      </c>
      <c r="G9" s="4">
        <f>VLOOKUP(B9,rush_attempt!B:I,3,false)</f>
        <v>29</v>
      </c>
      <c r="H9" s="4">
        <f>VLOOKUP(B9,pass_attempt!B:I,3,false)</f>
        <v>43.7</v>
      </c>
      <c r="I9" s="4">
        <f>VLOOKUP(B9,yards_per_play!B:I,3,false)</f>
        <v>6.8</v>
      </c>
      <c r="J9" s="4">
        <f>VLOOKUP(B9,third_down_converted!B:I,3,false)</f>
        <v>8.7</v>
      </c>
      <c r="K9" s="4">
        <f>VLOOKUP(B9,fumble_lost!B:I,3,false)</f>
        <v>0.3</v>
      </c>
      <c r="L9" s="4">
        <f>VLOOKUP(B9,turnover_differential!B:I,3,false)</f>
        <v>0</v>
      </c>
      <c r="M9" s="4">
        <f>VLOOKUP(B9,interception!B:I,3,false)</f>
        <v>2.3</v>
      </c>
      <c r="N9" s="5">
        <f t="shared" si="1"/>
        <v>0</v>
      </c>
      <c r="O9" s="5">
        <f t="shared" si="2"/>
        <v>48.69641153</v>
      </c>
    </row>
    <row r="10">
      <c r="A10" s="4">
        <f>VLOOKUP(B10,map!B:C,2,false)</f>
        <v>8</v>
      </c>
      <c r="B10" s="4" t="str">
        <f>IFERROR(__xludf.DUMMYFUNCTION("""COMPUTED_VALUE"""),"Washington")</f>
        <v>Washington</v>
      </c>
      <c r="C10" s="15">
        <f>VLOOKUP(B10,drive_time_of_possession!B:I,3,false)</f>
        <v>1.266666667</v>
      </c>
      <c r="D10" s="15">
        <f>VLOOKUP(B10,yards_drive_interaction!B:I,3,false)</f>
        <v>402.3</v>
      </c>
      <c r="E10" s="4">
        <f>VLOOKUP(B10,fourth_down_converted!B:I,3,false)</f>
        <v>0.3</v>
      </c>
      <c r="F10" s="4">
        <f>VLOOKUP(B10,yards_per_play!B:I,3,false)</f>
        <v>6.3</v>
      </c>
      <c r="G10" s="4">
        <f>VLOOKUP(B10,rush_attempt!B:I,3,false)</f>
        <v>29</v>
      </c>
      <c r="H10" s="4">
        <f>VLOOKUP(B10,pass_attempt!B:I,3,false)</f>
        <v>32.7</v>
      </c>
      <c r="I10" s="4">
        <f>VLOOKUP(B10,yards_per_play!B:I,3,false)</f>
        <v>6.3</v>
      </c>
      <c r="J10" s="4">
        <f>VLOOKUP(B10,third_down_converted!B:I,3,false)</f>
        <v>4.7</v>
      </c>
      <c r="K10" s="4">
        <f>VLOOKUP(B10,fumble_lost!B:I,3,false)</f>
        <v>0</v>
      </c>
      <c r="L10" s="4">
        <f>VLOOKUP(B10,turnover_differential!B:I,3,false)</f>
        <v>0.3</v>
      </c>
      <c r="M10" s="4">
        <f>VLOOKUP(B10,interception!B:I,3,false)</f>
        <v>0</v>
      </c>
      <c r="N10" s="5">
        <f t="shared" si="1"/>
        <v>0</v>
      </c>
      <c r="O10" s="5">
        <f t="shared" si="2"/>
        <v>39.23019333</v>
      </c>
    </row>
    <row r="11">
      <c r="A11" s="4">
        <f>VLOOKUP(B11,map!B:C,2,false)</f>
        <v>26</v>
      </c>
      <c r="B11" s="4" t="str">
        <f>IFERROR(__xludf.DUMMYFUNCTION("""COMPUTED_VALUE"""),"NY Giants")</f>
        <v>NY Giants</v>
      </c>
      <c r="C11" s="15">
        <f>VLOOKUP(B11,drive_time_of_possession!B:I,3,false)</f>
        <v>1.335416667</v>
      </c>
      <c r="D11" s="15">
        <f>VLOOKUP(B11,yards_drive_interaction!B:I,3,false)</f>
        <v>282.7</v>
      </c>
      <c r="E11" s="4">
        <f>VLOOKUP(B11,fourth_down_converted!B:I,3,false)</f>
        <v>1</v>
      </c>
      <c r="F11" s="4">
        <f>VLOOKUP(B11,yards_per_play!B:I,3,false)</f>
        <v>4.2</v>
      </c>
      <c r="G11" s="4">
        <f>VLOOKUP(B11,rush_attempt!B:I,3,false)</f>
        <v>27.7</v>
      </c>
      <c r="H11" s="4">
        <f>VLOOKUP(B11,pass_attempt!B:I,3,false)</f>
        <v>34.7</v>
      </c>
      <c r="I11" s="4">
        <f>VLOOKUP(B11,yards_per_play!B:I,3,false)</f>
        <v>4.2</v>
      </c>
      <c r="J11" s="4">
        <f>VLOOKUP(B11,third_down_converted!B:I,3,false)</f>
        <v>5</v>
      </c>
      <c r="K11" s="4">
        <f>VLOOKUP(B11,fumble_lost!B:I,3,false)</f>
        <v>0.3</v>
      </c>
      <c r="L11" s="4">
        <f>VLOOKUP(B11,turnover_differential!B:I,3,false)</f>
        <v>-0.3</v>
      </c>
      <c r="M11" s="4">
        <f>VLOOKUP(B11,interception!B:I,3,false)</f>
        <v>0.3</v>
      </c>
      <c r="N11" s="5">
        <f t="shared" si="1"/>
        <v>0</v>
      </c>
      <c r="O11" s="5">
        <f t="shared" si="2"/>
        <v>28.45768458</v>
      </c>
    </row>
    <row r="12">
      <c r="A12" s="4">
        <f>VLOOKUP(B12,map!B:C,2,false)</f>
        <v>12</v>
      </c>
      <c r="B12" s="4" t="str">
        <f>IFERROR(__xludf.DUMMYFUNCTION("""COMPUTED_VALUE"""),"Philadelphia")</f>
        <v>Philadelphia</v>
      </c>
      <c r="C12" s="15">
        <f>VLOOKUP(B12,drive_time_of_possession!B:I,3,false)</f>
        <v>1.328472222</v>
      </c>
      <c r="D12" s="15">
        <f>VLOOKUP(B12,yards_drive_interaction!B:I,3,false)</f>
        <v>369.3</v>
      </c>
      <c r="E12" s="4">
        <f>VLOOKUP(B12,fourth_down_converted!B:I,3,false)</f>
        <v>2</v>
      </c>
      <c r="F12" s="4">
        <f>VLOOKUP(B12,yards_per_play!B:I,3,false)</f>
        <v>6</v>
      </c>
      <c r="G12" s="4">
        <f>VLOOKUP(B12,rush_attempt!B:I,3,false)</f>
        <v>40</v>
      </c>
      <c r="H12" s="4">
        <f>VLOOKUP(B12,pass_attempt!B:I,3,false)</f>
        <v>20</v>
      </c>
      <c r="I12" s="4">
        <f>VLOOKUP(B12,yards_per_play!B:I,3,false)</f>
        <v>6</v>
      </c>
      <c r="J12" s="4">
        <f>VLOOKUP(B12,third_down_converted!B:I,3,false)</f>
        <v>4</v>
      </c>
      <c r="K12" s="4">
        <f>VLOOKUP(B12,fumble_lost!B:I,3,false)</f>
        <v>0</v>
      </c>
      <c r="L12" s="4">
        <f>VLOOKUP(B12,turnover_differential!B:I,3,false)</f>
        <v>-1.3</v>
      </c>
      <c r="M12" s="4">
        <f>VLOOKUP(B12,interception!B:I,3,false)</f>
        <v>0</v>
      </c>
      <c r="N12" s="5">
        <f t="shared" si="1"/>
        <v>0</v>
      </c>
      <c r="O12" s="5">
        <f t="shared" si="2"/>
        <v>36.30547486</v>
      </c>
    </row>
    <row r="13">
      <c r="A13" s="4">
        <f>VLOOKUP(B13,map!B:C,2,false)</f>
        <v>10</v>
      </c>
      <c r="B13" s="4" t="str">
        <f>IFERROR(__xludf.DUMMYFUNCTION("""COMPUTED_VALUE"""),"Miami")</f>
        <v>Miami</v>
      </c>
      <c r="C13" s="15">
        <f>VLOOKUP(B13,drive_time_of_possession!B:I,3,false)</f>
        <v>1.333333333</v>
      </c>
      <c r="D13" s="15">
        <f>VLOOKUP(B13,yards_drive_interaction!B:I,3,false)</f>
        <v>362</v>
      </c>
      <c r="E13" s="4">
        <f>VLOOKUP(B13,fourth_down_converted!B:I,3,false)</f>
        <v>0</v>
      </c>
      <c r="F13" s="4">
        <f>VLOOKUP(B13,yards_per_play!B:I,3,false)</f>
        <v>5.2</v>
      </c>
      <c r="G13" s="4">
        <f>VLOOKUP(B13,rush_attempt!B:I,3,false)</f>
        <v>35.3</v>
      </c>
      <c r="H13" s="4">
        <f>VLOOKUP(B13,pass_attempt!B:I,3,false)</f>
        <v>31.7</v>
      </c>
      <c r="I13" s="4">
        <f>VLOOKUP(B13,yards_per_play!B:I,3,false)</f>
        <v>5.2</v>
      </c>
      <c r="J13" s="4">
        <f>VLOOKUP(B13,third_down_converted!B:I,3,false)</f>
        <v>6.3</v>
      </c>
      <c r="K13" s="4">
        <f>VLOOKUP(B13,fumble_lost!B:I,3,false)</f>
        <v>1</v>
      </c>
      <c r="L13" s="4">
        <f>VLOOKUP(B13,turnover_differential!B:I,3,false)</f>
        <v>0</v>
      </c>
      <c r="M13" s="4">
        <f>VLOOKUP(B13,interception!B:I,3,false)</f>
        <v>0.3</v>
      </c>
      <c r="N13" s="5">
        <f t="shared" si="1"/>
        <v>0</v>
      </c>
      <c r="O13" s="5">
        <f t="shared" si="2"/>
        <v>35.74142667</v>
      </c>
    </row>
    <row r="14">
      <c r="A14" s="4">
        <f>VLOOKUP(B14,map!B:C,2,false)</f>
        <v>30</v>
      </c>
      <c r="B14" s="4" t="str">
        <f>IFERROR(__xludf.DUMMYFUNCTION("""COMPUTED_VALUE"""),"Baltimore")</f>
        <v>Baltimore</v>
      </c>
      <c r="C14" s="15">
        <f>VLOOKUP(B14,drive_time_of_possession!B:I,3,false)</f>
        <v>1.249305556</v>
      </c>
      <c r="D14" s="15">
        <f>VLOOKUP(B14,yards_drive_interaction!B:I,3,false)</f>
        <v>459.7</v>
      </c>
      <c r="E14" s="4">
        <f>VLOOKUP(B14,fourth_down_converted!B:I,3,false)</f>
        <v>0.3</v>
      </c>
      <c r="F14" s="4">
        <f>VLOOKUP(B14,yards_per_play!B:I,3,false)</f>
        <v>7.6</v>
      </c>
      <c r="G14" s="4">
        <f>VLOOKUP(B14,rush_attempt!B:I,3,false)</f>
        <v>29.3</v>
      </c>
      <c r="H14" s="4">
        <f>VLOOKUP(B14,pass_attempt!B:I,3,false)</f>
        <v>28.7</v>
      </c>
      <c r="I14" s="4">
        <f>VLOOKUP(B14,yards_per_play!B:I,3,false)</f>
        <v>7.6</v>
      </c>
      <c r="J14" s="4">
        <f>VLOOKUP(B14,third_down_converted!B:I,3,false)</f>
        <v>3.7</v>
      </c>
      <c r="K14" s="4">
        <f>VLOOKUP(B14,fumble_lost!B:I,3,false)</f>
        <v>0.3</v>
      </c>
      <c r="L14" s="4">
        <f>VLOOKUP(B14,turnover_differential!B:I,3,false)</f>
        <v>0.3</v>
      </c>
      <c r="M14" s="4">
        <f>VLOOKUP(B14,interception!B:I,3,false)</f>
        <v>0.3</v>
      </c>
      <c r="N14" s="5">
        <f t="shared" si="1"/>
        <v>0</v>
      </c>
      <c r="O14" s="5">
        <f t="shared" si="2"/>
        <v>44.33665403</v>
      </c>
    </row>
    <row r="15">
      <c r="A15" s="4">
        <f>VLOOKUP(B15,map!B:C,2,false)</f>
        <v>16</v>
      </c>
      <c r="B15" s="4" t="str">
        <f>IFERROR(__xludf.DUMMYFUNCTION("""COMPUTED_VALUE"""),"Cleveland")</f>
        <v>Cleveland</v>
      </c>
      <c r="C15" s="15">
        <f>VLOOKUP(B15,drive_time_of_possession!B:I,3,false)</f>
        <v>1.347222222</v>
      </c>
      <c r="D15" s="15">
        <f>VLOOKUP(B15,yards_drive_interaction!B:I,3,false)</f>
        <v>327</v>
      </c>
      <c r="E15" s="4">
        <f>VLOOKUP(B15,fourth_down_converted!B:I,3,false)</f>
        <v>0.7</v>
      </c>
      <c r="F15" s="4">
        <f>VLOOKUP(B15,yards_per_play!B:I,3,false)</f>
        <v>5</v>
      </c>
      <c r="G15" s="4">
        <f>VLOOKUP(B15,rush_attempt!B:I,3,false)</f>
        <v>23</v>
      </c>
      <c r="H15" s="4">
        <f>VLOOKUP(B15,pass_attempt!B:I,3,false)</f>
        <v>38.7</v>
      </c>
      <c r="I15" s="4">
        <f>VLOOKUP(B15,yards_per_play!B:I,3,false)</f>
        <v>5</v>
      </c>
      <c r="J15" s="4">
        <f>VLOOKUP(B15,third_down_converted!B:I,3,false)</f>
        <v>6.3</v>
      </c>
      <c r="K15" s="4">
        <f>VLOOKUP(B15,fumble_lost!B:I,3,false)</f>
        <v>0.3</v>
      </c>
      <c r="L15" s="4">
        <f>VLOOKUP(B15,turnover_differential!B:I,3,false)</f>
        <v>-0.7</v>
      </c>
      <c r="M15" s="4">
        <f>VLOOKUP(B15,interception!B:I,3,false)</f>
        <v>0.7</v>
      </c>
      <c r="N15" s="5">
        <f t="shared" si="1"/>
        <v>0</v>
      </c>
      <c r="O15" s="5">
        <f t="shared" si="2"/>
        <v>32.46976611</v>
      </c>
    </row>
    <row r="16">
      <c r="A16" s="4">
        <f>VLOOKUP(B16,map!B:C,2,false)</f>
        <v>31</v>
      </c>
      <c r="B16" s="4" t="str">
        <f>IFERROR(__xludf.DUMMYFUNCTION("""COMPUTED_VALUE"""),"Chicago")</f>
        <v>Chicago</v>
      </c>
      <c r="C16" s="15">
        <f>VLOOKUP(B16,drive_time_of_possession!B:I,3,false)</f>
        <v>1.280555556</v>
      </c>
      <c r="D16" s="15">
        <f>VLOOKUP(B16,yards_drive_interaction!B:I,3,false)</f>
        <v>368</v>
      </c>
      <c r="E16" s="4">
        <f>VLOOKUP(B16,fourth_down_converted!B:I,3,false)</f>
        <v>0.3</v>
      </c>
      <c r="F16" s="4">
        <f>VLOOKUP(B16,yards_per_play!B:I,3,false)</f>
        <v>5.8</v>
      </c>
      <c r="G16" s="4">
        <f>VLOOKUP(B16,rush_attempt!B:I,3,false)</f>
        <v>34</v>
      </c>
      <c r="H16" s="4">
        <f>VLOOKUP(B16,pass_attempt!B:I,3,false)</f>
        <v>27.3</v>
      </c>
      <c r="I16" s="4">
        <f>VLOOKUP(B16,yards_per_play!B:I,3,false)</f>
        <v>5.8</v>
      </c>
      <c r="J16" s="4">
        <f>VLOOKUP(B16,third_down_converted!B:I,3,false)</f>
        <v>3.7</v>
      </c>
      <c r="K16" s="4">
        <f>VLOOKUP(B16,fumble_lost!B:I,3,false)</f>
        <v>0.3</v>
      </c>
      <c r="L16" s="4">
        <f>VLOOKUP(B16,turnover_differential!B:I,3,false)</f>
        <v>0</v>
      </c>
      <c r="M16" s="4">
        <f>VLOOKUP(B16,interception!B:I,3,false)</f>
        <v>0.3</v>
      </c>
      <c r="N16" s="5">
        <f t="shared" si="1"/>
        <v>0</v>
      </c>
      <c r="O16" s="5">
        <f t="shared" si="2"/>
        <v>36.10909278</v>
      </c>
    </row>
    <row r="17">
      <c r="A17" s="4">
        <f>VLOOKUP(B17,map!B:C,2,false)</f>
        <v>19</v>
      </c>
      <c r="B17" s="4" t="str">
        <f>IFERROR(__xludf.DUMMYFUNCTION("""COMPUTED_VALUE"""),"NY Jets")</f>
        <v>NY Jets</v>
      </c>
      <c r="C17" s="15">
        <f>VLOOKUP(B17,drive_time_of_possession!B:I,3,false)</f>
        <v>1.220138889</v>
      </c>
      <c r="D17" s="15">
        <f>VLOOKUP(B17,yards_drive_interaction!B:I,3,false)</f>
        <v>350.7</v>
      </c>
      <c r="E17" s="4">
        <f>VLOOKUP(B17,fourth_down_converted!B:I,3,false)</f>
        <v>0.3</v>
      </c>
      <c r="F17" s="4">
        <f>VLOOKUP(B17,yards_per_play!B:I,3,false)</f>
        <v>6.2</v>
      </c>
      <c r="G17" s="4">
        <f>VLOOKUP(B17,rush_attempt!B:I,3,false)</f>
        <v>21.3</v>
      </c>
      <c r="H17" s="4">
        <f>VLOOKUP(B17,pass_attempt!B:I,3,false)</f>
        <v>34</v>
      </c>
      <c r="I17" s="4">
        <f>VLOOKUP(B17,yards_per_play!B:I,3,false)</f>
        <v>6.2</v>
      </c>
      <c r="J17" s="4">
        <f>VLOOKUP(B17,third_down_converted!B:I,3,false)</f>
        <v>3.7</v>
      </c>
      <c r="K17" s="4">
        <f>VLOOKUP(B17,fumble_lost!B:I,3,false)</f>
        <v>0</v>
      </c>
      <c r="L17" s="4">
        <f>VLOOKUP(B17,turnover_differential!B:I,3,false)</f>
        <v>0.3</v>
      </c>
      <c r="M17" s="4">
        <f>VLOOKUP(B17,interception!B:I,3,false)</f>
        <v>1</v>
      </c>
      <c r="N17" s="5">
        <f t="shared" si="1"/>
        <v>0</v>
      </c>
      <c r="O17" s="5">
        <f t="shared" si="2"/>
        <v>34.36575319</v>
      </c>
    </row>
    <row r="18">
      <c r="A18" s="4">
        <f>VLOOKUP(B18,map!B:C,2,false)</f>
        <v>5</v>
      </c>
      <c r="B18" s="4" t="str">
        <f>IFERROR(__xludf.DUMMYFUNCTION("""COMPUTED_VALUE"""),"Detroit")</f>
        <v>Detroit</v>
      </c>
      <c r="C18" s="15">
        <f>VLOOKUP(B18,drive_time_of_possession!B:I,3,false)</f>
        <v>1.224305556</v>
      </c>
      <c r="D18" s="15">
        <f>VLOOKUP(B18,yards_drive_interaction!B:I,3,false)</f>
        <v>369.3</v>
      </c>
      <c r="E18" s="4">
        <f>VLOOKUP(B18,fourth_down_converted!B:I,3,false)</f>
        <v>0.3</v>
      </c>
      <c r="F18" s="4">
        <f>VLOOKUP(B18,yards_per_play!B:I,3,false)</f>
        <v>6.6</v>
      </c>
      <c r="G18" s="4">
        <f>VLOOKUP(B18,rush_attempt!B:I,3,false)</f>
        <v>29</v>
      </c>
      <c r="H18" s="4">
        <f>VLOOKUP(B18,pass_attempt!B:I,3,false)</f>
        <v>23.7</v>
      </c>
      <c r="I18" s="4">
        <f>VLOOKUP(B18,yards_per_play!B:I,3,false)</f>
        <v>6.6</v>
      </c>
      <c r="J18" s="4">
        <f>VLOOKUP(B18,third_down_converted!B:I,3,false)</f>
        <v>3.7</v>
      </c>
      <c r="K18" s="4">
        <f>VLOOKUP(B18,fumble_lost!B:I,3,false)</f>
        <v>0.3</v>
      </c>
      <c r="L18" s="4">
        <f>VLOOKUP(B18,turnover_differential!B:I,3,false)</f>
        <v>-0.3</v>
      </c>
      <c r="M18" s="4">
        <f>VLOOKUP(B18,interception!B:I,3,false)</f>
        <v>0</v>
      </c>
      <c r="N18" s="5">
        <f t="shared" si="1"/>
        <v>0</v>
      </c>
      <c r="O18" s="5">
        <f t="shared" si="2"/>
        <v>35.99290903</v>
      </c>
    </row>
    <row r="19">
      <c r="A19" s="4">
        <f>VLOOKUP(B19,map!B:C,2,false)</f>
        <v>18</v>
      </c>
      <c r="B19" s="4" t="str">
        <f>IFERROR(__xludf.DUMMYFUNCTION("""COMPUTED_VALUE"""),"LA Rams")</f>
        <v>LA Rams</v>
      </c>
      <c r="C19" s="15">
        <f>VLOOKUP(B19,drive_time_of_possession!B:I,3,false)</f>
        <v>1.284722222</v>
      </c>
      <c r="D19" s="15">
        <f>VLOOKUP(B19,yards_drive_interaction!B:I,3,false)</f>
        <v>338.3</v>
      </c>
      <c r="E19" s="4">
        <f>VLOOKUP(B19,fourth_down_converted!B:I,3,false)</f>
        <v>1</v>
      </c>
      <c r="F19" s="4">
        <f>VLOOKUP(B19,yards_per_play!B:I,3,false)</f>
        <v>5.2</v>
      </c>
      <c r="G19" s="4">
        <f>VLOOKUP(B19,rush_attempt!B:I,3,false)</f>
        <v>29.3</v>
      </c>
      <c r="H19" s="4">
        <f>VLOOKUP(B19,pass_attempt!B:I,3,false)</f>
        <v>34</v>
      </c>
      <c r="I19" s="4">
        <f>VLOOKUP(B19,yards_per_play!B:I,3,false)</f>
        <v>5.2</v>
      </c>
      <c r="J19" s="4">
        <f>VLOOKUP(B19,third_down_converted!B:I,3,false)</f>
        <v>4.7</v>
      </c>
      <c r="K19" s="4">
        <f>VLOOKUP(B19,fumble_lost!B:I,3,false)</f>
        <v>0.3</v>
      </c>
      <c r="L19" s="4">
        <f>VLOOKUP(B19,turnover_differential!B:I,3,false)</f>
        <v>0.3</v>
      </c>
      <c r="M19" s="4">
        <f>VLOOKUP(B19,interception!B:I,3,false)</f>
        <v>1</v>
      </c>
      <c r="N19" s="5">
        <f t="shared" si="1"/>
        <v>0</v>
      </c>
      <c r="O19" s="5">
        <f t="shared" si="2"/>
        <v>33.49866861</v>
      </c>
    </row>
    <row r="20">
      <c r="A20" s="4">
        <f>VLOOKUP(B20,map!B:C,2,false)</f>
        <v>27</v>
      </c>
      <c r="B20" s="4" t="str">
        <f>IFERROR(__xludf.DUMMYFUNCTION("""COMPUTED_VALUE"""),"Denver")</f>
        <v>Denver</v>
      </c>
      <c r="C20" s="15">
        <f>VLOOKUP(B20,drive_time_of_possession!B:I,3,false)</f>
        <v>1.236805556</v>
      </c>
      <c r="D20" s="15">
        <f>VLOOKUP(B20,yards_drive_interaction!B:I,3,false)</f>
        <v>368.3</v>
      </c>
      <c r="E20" s="4">
        <f>VLOOKUP(B20,fourth_down_converted!B:I,3,false)</f>
        <v>1</v>
      </c>
      <c r="F20" s="4">
        <f>VLOOKUP(B20,yards_per_play!B:I,3,false)</f>
        <v>5.9</v>
      </c>
      <c r="G20" s="4">
        <f>VLOOKUP(B20,rush_attempt!B:I,3,false)</f>
        <v>28.3</v>
      </c>
      <c r="H20" s="4">
        <f>VLOOKUP(B20,pass_attempt!B:I,3,false)</f>
        <v>32.7</v>
      </c>
      <c r="I20" s="4">
        <f>VLOOKUP(B20,yards_per_play!B:I,3,false)</f>
        <v>5.9</v>
      </c>
      <c r="J20" s="4">
        <f>VLOOKUP(B20,third_down_converted!B:I,3,false)</f>
        <v>6</v>
      </c>
      <c r="K20" s="4">
        <f>VLOOKUP(B20,fumble_lost!B:I,3,false)</f>
        <v>1.3</v>
      </c>
      <c r="L20" s="4">
        <f>VLOOKUP(B20,turnover_differential!B:I,3,false)</f>
        <v>-0.7</v>
      </c>
      <c r="M20" s="4">
        <f>VLOOKUP(B20,interception!B:I,3,false)</f>
        <v>0.3</v>
      </c>
      <c r="N20" s="5">
        <f t="shared" si="1"/>
        <v>0</v>
      </c>
      <c r="O20" s="5">
        <f t="shared" si="2"/>
        <v>36.14093653</v>
      </c>
    </row>
    <row r="21" ht="15.75" customHeight="1">
      <c r="A21" s="4">
        <f>VLOOKUP(B21,map!B:C,2,false)</f>
        <v>24</v>
      </c>
      <c r="B21" s="4" t="str">
        <f>IFERROR(__xludf.DUMMYFUNCTION("""COMPUTED_VALUE"""),"Las Vegas")</f>
        <v>Las Vegas</v>
      </c>
      <c r="C21" s="15">
        <f>VLOOKUP(B21,drive_time_of_possession!B:I,3,false)</f>
        <v>1.242361111</v>
      </c>
      <c r="D21" s="15">
        <f>VLOOKUP(B21,yards_drive_interaction!B:I,3,false)</f>
        <v>273.3</v>
      </c>
      <c r="E21" s="4">
        <f>VLOOKUP(B21,fourth_down_converted!B:I,3,false)</f>
        <v>1</v>
      </c>
      <c r="F21" s="4">
        <f>VLOOKUP(B21,yards_per_play!B:I,3,false)</f>
        <v>4.3</v>
      </c>
      <c r="G21" s="4">
        <f>VLOOKUP(B21,rush_attempt!B:I,3,false)</f>
        <v>23</v>
      </c>
      <c r="H21" s="4">
        <f>VLOOKUP(B21,pass_attempt!B:I,3,false)</f>
        <v>38</v>
      </c>
      <c r="I21" s="4">
        <f>VLOOKUP(B21,yards_per_play!B:I,3,false)</f>
        <v>4.3</v>
      </c>
      <c r="J21" s="4">
        <f>VLOOKUP(B21,third_down_converted!B:I,3,false)</f>
        <v>3.7</v>
      </c>
      <c r="K21" s="4">
        <f>VLOOKUP(B21,fumble_lost!B:I,3,false)</f>
        <v>1.3</v>
      </c>
      <c r="L21" s="4">
        <f>VLOOKUP(B21,turnover_differential!B:I,3,false)</f>
        <v>-1.3</v>
      </c>
      <c r="M21" s="4">
        <f>VLOOKUP(B21,interception!B:I,3,false)</f>
        <v>1.3</v>
      </c>
      <c r="N21" s="5">
        <f t="shared" si="1"/>
        <v>0</v>
      </c>
      <c r="O21" s="5">
        <f t="shared" si="2"/>
        <v>27.48745431</v>
      </c>
    </row>
    <row r="22" ht="15.75" customHeight="1">
      <c r="A22" s="4">
        <f>VLOOKUP(B22,map!B:C,2,false)</f>
        <v>11</v>
      </c>
      <c r="B22" s="4" t="str">
        <f>IFERROR(__xludf.DUMMYFUNCTION("""COMPUTED_VALUE"""),"Buffalo")</f>
        <v>Buffalo</v>
      </c>
      <c r="C22" s="15">
        <f>VLOOKUP(B22,drive_time_of_possession!B:I,3,false)</f>
        <v>1.317361111</v>
      </c>
      <c r="D22" s="15">
        <f>VLOOKUP(B22,yards_drive_interaction!B:I,3,false)</f>
        <v>397.7</v>
      </c>
      <c r="E22" s="4">
        <f>VLOOKUP(B22,fourth_down_converted!B:I,3,false)</f>
        <v>0.3</v>
      </c>
      <c r="F22" s="4">
        <f>VLOOKUP(B22,yards_per_play!B:I,3,false)</f>
        <v>6.5</v>
      </c>
      <c r="G22" s="4">
        <f>VLOOKUP(B22,rush_attempt!B:I,3,false)</f>
        <v>29</v>
      </c>
      <c r="H22" s="4">
        <f>VLOOKUP(B22,pass_attempt!B:I,3,false)</f>
        <v>30.7</v>
      </c>
      <c r="I22" s="4">
        <f>VLOOKUP(B22,yards_per_play!B:I,3,false)</f>
        <v>6.5</v>
      </c>
      <c r="J22" s="4">
        <f>VLOOKUP(B22,third_down_converted!B:I,3,false)</f>
        <v>5.3</v>
      </c>
      <c r="K22" s="4">
        <f>VLOOKUP(B22,fumble_lost!B:I,3,false)</f>
        <v>0</v>
      </c>
      <c r="L22" s="4">
        <f>VLOOKUP(B22,turnover_differential!B:I,3,false)</f>
        <v>1.7</v>
      </c>
      <c r="M22" s="4">
        <f>VLOOKUP(B22,interception!B:I,3,false)</f>
        <v>0.3</v>
      </c>
      <c r="N22" s="5">
        <f t="shared" si="1"/>
        <v>1</v>
      </c>
      <c r="O22" s="5">
        <f t="shared" si="2"/>
        <v>38.82329931</v>
      </c>
    </row>
    <row r="23" ht="15.75" customHeight="1">
      <c r="A23" s="4">
        <f>VLOOKUP(B23,map!B:C,2,false)</f>
        <v>9</v>
      </c>
      <c r="B23" s="4" t="str">
        <f>IFERROR(__xludf.DUMMYFUNCTION("""COMPUTED_VALUE"""),"New Orleans")</f>
        <v>New Orleans</v>
      </c>
      <c r="C23" s="15">
        <f>VLOOKUP(B23,drive_time_of_possession!B:I,3,false)</f>
        <v>1.132638889</v>
      </c>
      <c r="D23" s="15">
        <f>VLOOKUP(B23,yards_drive_interaction!B:I,3,false)</f>
        <v>313.3</v>
      </c>
      <c r="E23" s="4">
        <f>VLOOKUP(B23,fourth_down_converted!B:I,3,false)</f>
        <v>1.7</v>
      </c>
      <c r="F23" s="4">
        <f>VLOOKUP(B23,yards_per_play!B:I,3,false)</f>
        <v>4.7</v>
      </c>
      <c r="G23" s="4">
        <f>VLOOKUP(B23,rush_attempt!B:I,3,false)</f>
        <v>21</v>
      </c>
      <c r="H23" s="4">
        <f>VLOOKUP(B23,pass_attempt!B:I,3,false)</f>
        <v>40.3</v>
      </c>
      <c r="I23" s="4">
        <f>VLOOKUP(B23,yards_per_play!B:I,3,false)</f>
        <v>4.7</v>
      </c>
      <c r="J23" s="4">
        <f>VLOOKUP(B23,third_down_converted!B:I,3,false)</f>
        <v>3.7</v>
      </c>
      <c r="K23" s="4">
        <f>VLOOKUP(B23,fumble_lost!B:I,3,false)</f>
        <v>1</v>
      </c>
      <c r="L23" s="4">
        <f>VLOOKUP(B23,turnover_differential!B:I,3,false)</f>
        <v>1.3</v>
      </c>
      <c r="M23" s="4">
        <f>VLOOKUP(B23,interception!B:I,3,false)</f>
        <v>0.7</v>
      </c>
      <c r="N23" s="5">
        <f t="shared" si="1"/>
        <v>1</v>
      </c>
      <c r="O23" s="5">
        <f t="shared" si="2"/>
        <v>31.06927069</v>
      </c>
    </row>
    <row r="24" ht="15.75" customHeight="1">
      <c r="A24" s="4">
        <f>VLOOKUP(B24,map!B:C,2,false)</f>
        <v>3</v>
      </c>
      <c r="B24" s="4" t="str">
        <f>IFERROR(__xludf.DUMMYFUNCTION("""COMPUTED_VALUE"""),"Minnesota")</f>
        <v>Minnesota</v>
      </c>
      <c r="C24" s="15">
        <f>VLOOKUP(B24,drive_time_of_possession!B:I,3,false)</f>
        <v>1.221527778</v>
      </c>
      <c r="D24" s="15">
        <f>VLOOKUP(B24,yards_drive_interaction!B:I,3,false)</f>
        <v>304</v>
      </c>
      <c r="E24" s="4">
        <f>VLOOKUP(B24,fourth_down_converted!B:I,3,false)</f>
        <v>0</v>
      </c>
      <c r="F24" s="4">
        <f>VLOOKUP(B24,yards_per_play!B:I,3,false)</f>
        <v>5.4</v>
      </c>
      <c r="G24" s="4">
        <f>VLOOKUP(B24,rush_attempt!B:I,3,false)</f>
        <v>24.3</v>
      </c>
      <c r="H24" s="4">
        <f>VLOOKUP(B24,pass_attempt!B:I,3,false)</f>
        <v>28</v>
      </c>
      <c r="I24" s="4">
        <f>VLOOKUP(B24,yards_per_play!B:I,3,false)</f>
        <v>5.4</v>
      </c>
      <c r="J24" s="4">
        <f>VLOOKUP(B24,third_down_converted!B:I,3,false)</f>
        <v>3.3</v>
      </c>
      <c r="K24" s="4">
        <f>VLOOKUP(B24,fumble_lost!B:I,3,false)</f>
        <v>0.3</v>
      </c>
      <c r="L24" s="4">
        <f>VLOOKUP(B24,turnover_differential!B:I,3,false)</f>
        <v>0.7</v>
      </c>
      <c r="M24" s="4">
        <f>VLOOKUP(B24,interception!B:I,3,false)</f>
        <v>0.7</v>
      </c>
      <c r="N24" s="5">
        <f t="shared" si="1"/>
        <v>0</v>
      </c>
      <c r="O24" s="5">
        <f t="shared" si="2"/>
        <v>30.02790514</v>
      </c>
    </row>
    <row r="25" ht="15.75" customHeight="1">
      <c r="A25" s="4">
        <f>VLOOKUP(B25,map!B:C,2,false)</f>
        <v>22</v>
      </c>
      <c r="B25" s="4" t="str">
        <f>IFERROR(__xludf.DUMMYFUNCTION("""COMPUTED_VALUE"""),"New England")</f>
        <v>New England</v>
      </c>
      <c r="C25" s="15">
        <f>VLOOKUP(B25,drive_time_of_possession!B:I,3,false)</f>
        <v>1.2</v>
      </c>
      <c r="D25" s="15">
        <f>VLOOKUP(B25,yards_drive_interaction!B:I,3,false)</f>
        <v>277.7</v>
      </c>
      <c r="E25" s="4">
        <f>VLOOKUP(B25,fourth_down_converted!B:I,3,false)</f>
        <v>1</v>
      </c>
      <c r="F25" s="4">
        <f>VLOOKUP(B25,yards_per_play!B:I,3,false)</f>
        <v>4.6</v>
      </c>
      <c r="G25" s="4">
        <f>VLOOKUP(B25,rush_attempt!B:I,3,false)</f>
        <v>24</v>
      </c>
      <c r="H25" s="4">
        <f>VLOOKUP(B25,pass_attempt!B:I,3,false)</f>
        <v>33.3</v>
      </c>
      <c r="I25" s="4">
        <f>VLOOKUP(B25,yards_per_play!B:I,3,false)</f>
        <v>4.6</v>
      </c>
      <c r="J25" s="4">
        <f>VLOOKUP(B25,third_down_converted!B:I,3,false)</f>
        <v>5.3</v>
      </c>
      <c r="K25" s="4">
        <f>VLOOKUP(B25,fumble_lost!B:I,3,false)</f>
        <v>0.7</v>
      </c>
      <c r="L25" s="4">
        <f>VLOOKUP(B25,turnover_differential!B:I,3,false)</f>
        <v>0.3</v>
      </c>
      <c r="M25" s="4">
        <f>VLOOKUP(B25,interception!B:I,3,false)</f>
        <v>0.7</v>
      </c>
      <c r="N25" s="5">
        <f t="shared" si="1"/>
        <v>0</v>
      </c>
      <c r="O25" s="5">
        <f t="shared" si="2"/>
        <v>27.79485</v>
      </c>
    </row>
    <row r="26" ht="15.75" customHeight="1">
      <c r="A26" s="4">
        <f>VLOOKUP(B26,map!B:C,2,false)</f>
        <v>6</v>
      </c>
      <c r="B26" s="4" t="str">
        <f>IFERROR(__xludf.DUMMYFUNCTION("""COMPUTED_VALUE"""),"Jacksonville")</f>
        <v>Jacksonville</v>
      </c>
      <c r="C26" s="15">
        <f>VLOOKUP(B26,drive_time_of_possession!B:I,3,false)</f>
        <v>1.227777778</v>
      </c>
      <c r="D26" s="15">
        <f>VLOOKUP(B26,yards_drive_interaction!B:I,3,false)</f>
        <v>344</v>
      </c>
      <c r="E26" s="4">
        <f>VLOOKUP(B26,fourth_down_converted!B:I,3,false)</f>
        <v>1</v>
      </c>
      <c r="F26" s="4">
        <f>VLOOKUP(B26,yards_per_play!B:I,3,false)</f>
        <v>5.9</v>
      </c>
      <c r="G26" s="4">
        <f>VLOOKUP(B26,rush_attempt!B:I,3,false)</f>
        <v>27.3</v>
      </c>
      <c r="H26" s="4">
        <f>VLOOKUP(B26,pass_attempt!B:I,3,false)</f>
        <v>29.3</v>
      </c>
      <c r="I26" s="4">
        <f>VLOOKUP(B26,yards_per_play!B:I,3,false)</f>
        <v>5.9</v>
      </c>
      <c r="J26" s="4">
        <f>VLOOKUP(B26,third_down_converted!B:I,3,false)</f>
        <v>4.7</v>
      </c>
      <c r="K26" s="4">
        <f>VLOOKUP(B26,fumble_lost!B:I,3,false)</f>
        <v>0.7</v>
      </c>
      <c r="L26" s="4">
        <f>VLOOKUP(B26,turnover_differential!B:I,3,false)</f>
        <v>-1</v>
      </c>
      <c r="M26" s="4">
        <f>VLOOKUP(B26,interception!B:I,3,false)</f>
        <v>0.7</v>
      </c>
      <c r="N26" s="5">
        <f t="shared" si="1"/>
        <v>0</v>
      </c>
      <c r="O26" s="5">
        <f t="shared" si="2"/>
        <v>33.81885889</v>
      </c>
    </row>
    <row r="27" ht="15.75" customHeight="1">
      <c r="A27" s="4">
        <f>VLOOKUP(B27,map!B:C,2,false)</f>
        <v>4</v>
      </c>
      <c r="B27" s="4" t="str">
        <f>IFERROR(__xludf.DUMMYFUNCTION("""COMPUTED_VALUE"""),"Cincinnati")</f>
        <v>Cincinnati</v>
      </c>
      <c r="C27" s="15">
        <f>VLOOKUP(B27,drive_time_of_possession!B:I,3,false)</f>
        <v>1.105555556</v>
      </c>
      <c r="D27" s="15">
        <f>VLOOKUP(B27,yards_drive_interaction!B:I,3,false)</f>
        <v>269</v>
      </c>
      <c r="E27" s="4">
        <f>VLOOKUP(B27,fourth_down_converted!B:I,3,false)</f>
        <v>0</v>
      </c>
      <c r="F27" s="4">
        <f>VLOOKUP(B27,yards_per_play!B:I,3,false)</f>
        <v>5</v>
      </c>
      <c r="G27" s="4">
        <f>VLOOKUP(B27,rush_attempt!B:I,3,false)</f>
        <v>21.7</v>
      </c>
      <c r="H27" s="4">
        <f>VLOOKUP(B27,pass_attempt!B:I,3,false)</f>
        <v>30</v>
      </c>
      <c r="I27" s="4">
        <f>VLOOKUP(B27,yards_per_play!B:I,3,false)</f>
        <v>5</v>
      </c>
      <c r="J27" s="4">
        <f>VLOOKUP(B27,third_down_converted!B:I,3,false)</f>
        <v>5.3</v>
      </c>
      <c r="K27" s="4">
        <f>VLOOKUP(B27,fumble_lost!B:I,3,false)</f>
        <v>0.7</v>
      </c>
      <c r="L27" s="4">
        <f>VLOOKUP(B27,turnover_differential!B:I,3,false)</f>
        <v>0</v>
      </c>
      <c r="M27" s="4">
        <f>VLOOKUP(B27,interception!B:I,3,false)</f>
        <v>0.3</v>
      </c>
      <c r="N27" s="5">
        <f t="shared" si="1"/>
        <v>0</v>
      </c>
      <c r="O27" s="5">
        <f t="shared" si="2"/>
        <v>26.77500778</v>
      </c>
    </row>
    <row r="28" ht="15.75" customHeight="1">
      <c r="A28" s="4">
        <f>VLOOKUP(B28,map!B:C,2,false)</f>
        <v>21</v>
      </c>
      <c r="B28" s="4" t="str">
        <f>IFERROR(__xludf.DUMMYFUNCTION("""COMPUTED_VALUE"""),"Arizona")</f>
        <v>Arizona</v>
      </c>
      <c r="C28" s="15">
        <f>VLOOKUP(B28,drive_time_of_possession!B:I,3,false)</f>
        <v>1.092361111</v>
      </c>
      <c r="D28" s="15">
        <f>VLOOKUP(B28,yards_drive_interaction!B:I,3,false)</f>
        <v>339.3</v>
      </c>
      <c r="E28" s="4">
        <f>VLOOKUP(B28,fourth_down_converted!B:I,3,false)</f>
        <v>0</v>
      </c>
      <c r="F28" s="4">
        <f>VLOOKUP(B28,yards_per_play!B:I,3,false)</f>
        <v>5.9</v>
      </c>
      <c r="G28" s="4">
        <f>VLOOKUP(B28,rush_attempt!B:I,3,false)</f>
        <v>26</v>
      </c>
      <c r="H28" s="4">
        <f>VLOOKUP(B28,pass_attempt!B:I,3,false)</f>
        <v>31.3</v>
      </c>
      <c r="I28" s="4">
        <f>VLOOKUP(B28,yards_per_play!B:I,3,false)</f>
        <v>5.9</v>
      </c>
      <c r="J28" s="4">
        <f>VLOOKUP(B28,third_down_converted!B:I,3,false)</f>
        <v>4.3</v>
      </c>
      <c r="K28" s="4">
        <f>VLOOKUP(B28,fumble_lost!B:I,3,false)</f>
        <v>1</v>
      </c>
      <c r="L28" s="4">
        <f>VLOOKUP(B28,turnover_differential!B:I,3,false)</f>
        <v>0</v>
      </c>
      <c r="M28" s="4">
        <f>VLOOKUP(B28,interception!B:I,3,false)</f>
        <v>0.3</v>
      </c>
      <c r="N28" s="5">
        <f t="shared" si="1"/>
        <v>0</v>
      </c>
      <c r="O28" s="5">
        <f t="shared" si="2"/>
        <v>33.27848431</v>
      </c>
    </row>
    <row r="29" ht="15.75" customHeight="1">
      <c r="A29" s="4">
        <f>VLOOKUP(B29,map!B:C,2,false)</f>
        <v>23</v>
      </c>
      <c r="B29" s="4" t="str">
        <f>IFERROR(__xludf.DUMMYFUNCTION("""COMPUTED_VALUE"""),"Carolina")</f>
        <v>Carolina</v>
      </c>
      <c r="C29" s="15">
        <f>VLOOKUP(B29,drive_time_of_possession!B:I,3,false)</f>
        <v>1.125694444</v>
      </c>
      <c r="D29" s="15">
        <f>VLOOKUP(B29,yards_drive_interaction!B:I,3,false)</f>
        <v>266.3</v>
      </c>
      <c r="E29" s="4">
        <f>VLOOKUP(B29,fourth_down_converted!B:I,3,false)</f>
        <v>0.3</v>
      </c>
      <c r="F29" s="4">
        <f>VLOOKUP(B29,yards_per_play!B:I,3,false)</f>
        <v>4.8</v>
      </c>
      <c r="G29" s="4">
        <f>VLOOKUP(B29,rush_attempt!B:I,3,false)</f>
        <v>22.3</v>
      </c>
      <c r="H29" s="4">
        <f>VLOOKUP(B29,pass_attempt!B:I,3,false)</f>
        <v>31.3</v>
      </c>
      <c r="I29" s="4">
        <f>VLOOKUP(B29,yards_per_play!B:I,3,false)</f>
        <v>4.8</v>
      </c>
      <c r="J29" s="4">
        <f>VLOOKUP(B29,third_down_converted!B:I,3,false)</f>
        <v>4.3</v>
      </c>
      <c r="K29" s="4">
        <f>VLOOKUP(B29,fumble_lost!B:I,3,false)</f>
        <v>0</v>
      </c>
      <c r="L29" s="4">
        <f>VLOOKUP(B29,turnover_differential!B:I,3,false)</f>
        <v>0</v>
      </c>
      <c r="M29" s="4">
        <f>VLOOKUP(B29,interception!B:I,3,false)</f>
        <v>2</v>
      </c>
      <c r="N29" s="5">
        <f t="shared" si="1"/>
        <v>0</v>
      </c>
      <c r="O29" s="5">
        <f t="shared" si="2"/>
        <v>26.59016097</v>
      </c>
    </row>
    <row r="30" ht="15.75" customHeight="1">
      <c r="A30" s="4">
        <f>VLOOKUP(B30,map!B:C,2,false)</f>
        <v>13</v>
      </c>
      <c r="B30" s="4" t="str">
        <f>IFERROR(__xludf.DUMMYFUNCTION("""COMPUTED_VALUE"""),"Seattle")</f>
        <v>Seattle</v>
      </c>
      <c r="C30" s="15">
        <f>VLOOKUP(B30,drive_time_of_possession!B:I,3,false)</f>
        <v>1.079861111</v>
      </c>
      <c r="D30" s="15">
        <f>VLOOKUP(B30,yards_drive_interaction!B:I,3,false)</f>
        <v>310</v>
      </c>
      <c r="E30" s="4">
        <f>VLOOKUP(B30,fourth_down_converted!B:I,3,false)</f>
        <v>1</v>
      </c>
      <c r="F30" s="4">
        <f>VLOOKUP(B30,yards_per_play!B:I,3,false)</f>
        <v>5.3</v>
      </c>
      <c r="G30" s="4">
        <f>VLOOKUP(B30,rush_attempt!B:I,3,false)</f>
        <v>21</v>
      </c>
      <c r="H30" s="4">
        <f>VLOOKUP(B30,pass_attempt!B:I,3,false)</f>
        <v>36.7</v>
      </c>
      <c r="I30" s="4">
        <f>VLOOKUP(B30,yards_per_play!B:I,3,false)</f>
        <v>5.3</v>
      </c>
      <c r="J30" s="4">
        <f>VLOOKUP(B30,third_down_converted!B:I,3,false)</f>
        <v>4</v>
      </c>
      <c r="K30" s="4">
        <f>VLOOKUP(B30,fumble_lost!B:I,3,false)</f>
        <v>0.7</v>
      </c>
      <c r="L30" s="4">
        <f>VLOOKUP(B30,turnover_differential!B:I,3,false)</f>
        <v>-0.3</v>
      </c>
      <c r="M30" s="4">
        <f>VLOOKUP(B30,interception!B:I,3,false)</f>
        <v>1</v>
      </c>
      <c r="N30" s="5">
        <f t="shared" si="1"/>
        <v>0</v>
      </c>
      <c r="O30" s="5">
        <f t="shared" si="2"/>
        <v>30.64412681</v>
      </c>
    </row>
    <row r="31" ht="15.75" customHeight="1">
      <c r="A31" s="4">
        <f>VLOOKUP(B31,map!B:C,2,false)</f>
        <v>1</v>
      </c>
      <c r="B31" s="4" t="str">
        <f>IFERROR(__xludf.DUMMYFUNCTION("""COMPUTED_VALUE"""),"Dallas")</f>
        <v>Dallas</v>
      </c>
      <c r="C31" s="15">
        <f>VLOOKUP(B31,drive_time_of_possession!B:I,3,false)</f>
        <v>1.174305556</v>
      </c>
      <c r="D31" s="15">
        <f>VLOOKUP(B31,yards_drive_interaction!B:I,3,false)</f>
        <v>329.3</v>
      </c>
      <c r="E31" s="4">
        <f>VLOOKUP(B31,fourth_down_converted!B:I,3,false)</f>
        <v>1</v>
      </c>
      <c r="F31" s="4">
        <f>VLOOKUP(B31,yards_per_play!B:I,3,false)</f>
        <v>5</v>
      </c>
      <c r="G31" s="4">
        <f>VLOOKUP(B31,rush_attempt!B:I,3,false)</f>
        <v>22.3</v>
      </c>
      <c r="H31" s="4">
        <f>VLOOKUP(B31,pass_attempt!B:I,3,false)</f>
        <v>41.3</v>
      </c>
      <c r="I31" s="4">
        <f>VLOOKUP(B31,yards_per_play!B:I,3,false)</f>
        <v>5</v>
      </c>
      <c r="J31" s="4">
        <f>VLOOKUP(B31,third_down_converted!B:I,3,false)</f>
        <v>5.3</v>
      </c>
      <c r="K31" s="4">
        <f>VLOOKUP(B31,fumble_lost!B:I,3,false)</f>
        <v>1</v>
      </c>
      <c r="L31" s="4">
        <f>VLOOKUP(B31,turnover_differential!B:I,3,false)</f>
        <v>0</v>
      </c>
      <c r="M31" s="4">
        <f>VLOOKUP(B31,interception!B:I,3,false)</f>
        <v>2.3</v>
      </c>
      <c r="N31" s="5">
        <f t="shared" si="1"/>
        <v>0</v>
      </c>
      <c r="O31" s="5">
        <f t="shared" si="2"/>
        <v>32.60126903</v>
      </c>
    </row>
    <row r="32" ht="15.75" customHeight="1">
      <c r="A32" s="4">
        <f>VLOOKUP(B32,map!B:C,2,false)</f>
        <v>28</v>
      </c>
      <c r="B32" s="4" t="str">
        <f>IFERROR(__xludf.DUMMYFUNCTION("""COMPUTED_VALUE"""),"Atlanta")</f>
        <v>Atlanta</v>
      </c>
      <c r="C32" s="15">
        <f>VLOOKUP(B32,drive_time_of_possession!B:I,3,false)</f>
        <v>1.238888889</v>
      </c>
      <c r="D32" s="15">
        <f>VLOOKUP(B32,yards_drive_interaction!B:I,3,false)</f>
        <v>395.3</v>
      </c>
      <c r="E32" s="4">
        <f>VLOOKUP(B32,fourth_down_converted!B:I,3,false)</f>
        <v>1.3</v>
      </c>
      <c r="F32" s="4">
        <f>VLOOKUP(B32,yards_per_play!B:I,3,false)</f>
        <v>6</v>
      </c>
      <c r="G32" s="4">
        <f>VLOOKUP(B32,rush_attempt!B:I,3,false)</f>
        <v>33</v>
      </c>
      <c r="H32" s="4">
        <f>VLOOKUP(B32,pass_attempt!B:I,3,false)</f>
        <v>31.7</v>
      </c>
      <c r="I32" s="4">
        <f>VLOOKUP(B32,yards_per_play!B:I,3,false)</f>
        <v>6</v>
      </c>
      <c r="J32" s="4">
        <f>VLOOKUP(B32,third_down_converted!B:I,3,false)</f>
        <v>6.7</v>
      </c>
      <c r="K32" s="4">
        <f>VLOOKUP(B32,fumble_lost!B:I,3,false)</f>
        <v>0.7</v>
      </c>
      <c r="L32" s="4">
        <f>VLOOKUP(B32,turnover_differential!B:I,3,false)</f>
        <v>-0.7</v>
      </c>
      <c r="M32" s="4">
        <f>VLOOKUP(B32,interception!B:I,3,false)</f>
        <v>0.7</v>
      </c>
      <c r="N32" s="5">
        <f t="shared" si="1"/>
        <v>0</v>
      </c>
      <c r="O32" s="5">
        <f t="shared" si="2"/>
        <v>38.69830444</v>
      </c>
    </row>
    <row r="33" ht="15.75" customHeight="1">
      <c r="A33" s="4">
        <f>VLOOKUP(B33,map!B:C,2,false)</f>
        <v>20</v>
      </c>
      <c r="B33" s="4" t="str">
        <f>IFERROR(__xludf.DUMMYFUNCTION("""COMPUTED_VALUE"""),"Indianapolis")</f>
        <v>Indianapolis</v>
      </c>
      <c r="C33" s="15">
        <f>VLOOKUP(B33,drive_time_of_possession!B:I,3,false)</f>
        <v>1.152083333</v>
      </c>
      <c r="D33" s="15">
        <f>VLOOKUP(B33,yards_drive_interaction!B:I,3,false)</f>
        <v>285.3</v>
      </c>
      <c r="E33" s="4">
        <f>VLOOKUP(B33,fourth_down_converted!B:I,3,false)</f>
        <v>1</v>
      </c>
      <c r="F33" s="4">
        <f>VLOOKUP(B33,yards_per_play!B:I,3,false)</f>
        <v>4.5</v>
      </c>
      <c r="G33" s="4">
        <f>VLOOKUP(B33,rush_attempt!B:I,3,false)</f>
        <v>30.3</v>
      </c>
      <c r="H33" s="4">
        <f>VLOOKUP(B33,pass_attempt!B:I,3,false)</f>
        <v>31.3</v>
      </c>
      <c r="I33" s="4">
        <f>VLOOKUP(B33,yards_per_play!B:I,3,false)</f>
        <v>4.5</v>
      </c>
      <c r="J33" s="4">
        <f>VLOOKUP(B33,third_down_converted!B:I,3,false)</f>
        <v>4.3</v>
      </c>
      <c r="K33" s="4">
        <f>VLOOKUP(B33,fumble_lost!B:I,3,false)</f>
        <v>0.7</v>
      </c>
      <c r="L33" s="4">
        <f>VLOOKUP(B33,turnover_differential!B:I,3,false)</f>
        <v>-0.7</v>
      </c>
      <c r="M33" s="4">
        <f>VLOOKUP(B33,interception!B:I,3,false)</f>
        <v>0.7</v>
      </c>
      <c r="N33" s="5">
        <f t="shared" si="1"/>
        <v>0</v>
      </c>
      <c r="O33" s="5">
        <f t="shared" si="2"/>
        <v>28.54493792</v>
      </c>
    </row>
    <row r="34" ht="15.75" customHeight="1">
      <c r="B34" s="4"/>
      <c r="C34" s="15"/>
      <c r="D34" s="15"/>
      <c r="N34" s="16"/>
      <c r="O34" s="16"/>
    </row>
    <row r="35" ht="15.75" customHeight="1">
      <c r="C35" s="15"/>
      <c r="D35" s="15"/>
      <c r="N35" s="16"/>
      <c r="O35" s="16"/>
    </row>
    <row r="36" ht="15.75" customHeight="1">
      <c r="C36" s="15"/>
      <c r="D36" s="15"/>
      <c r="N36" s="16"/>
      <c r="O36" s="16"/>
    </row>
    <row r="37" ht="15.75" customHeight="1">
      <c r="C37" s="15"/>
      <c r="D37" s="15"/>
      <c r="N37" s="16"/>
      <c r="O37" s="16"/>
    </row>
    <row r="38" ht="15.75" customHeight="1">
      <c r="C38" s="15"/>
      <c r="D38" s="15"/>
      <c r="N38" s="16"/>
      <c r="O38" s="16"/>
    </row>
    <row r="39" ht="15.75" customHeight="1">
      <c r="C39" s="15"/>
      <c r="D39" s="15"/>
      <c r="N39" s="16"/>
      <c r="O39" s="16"/>
    </row>
    <row r="40" ht="15.75" customHeight="1">
      <c r="C40" s="15"/>
      <c r="D40" s="15"/>
      <c r="N40" s="16"/>
      <c r="O40" s="16"/>
    </row>
    <row r="41" ht="15.75" customHeight="1">
      <c r="C41" s="15"/>
      <c r="D41" s="15"/>
      <c r="N41" s="16"/>
      <c r="O41" s="16"/>
    </row>
    <row r="42" ht="15.75" customHeight="1">
      <c r="C42" s="15"/>
      <c r="D42" s="15"/>
      <c r="N42" s="16"/>
      <c r="O42" s="16"/>
    </row>
    <row r="43" ht="15.75" customHeight="1">
      <c r="C43" s="15"/>
      <c r="D43" s="15"/>
      <c r="N43" s="16"/>
      <c r="O43" s="16"/>
    </row>
    <row r="44" ht="15.75" customHeight="1">
      <c r="C44" s="15"/>
      <c r="D44" s="15"/>
      <c r="N44" s="16"/>
      <c r="O44" s="16"/>
    </row>
    <row r="45" ht="15.75" customHeight="1">
      <c r="C45" s="15"/>
      <c r="D45" s="15"/>
      <c r="N45" s="16"/>
      <c r="O45" s="16"/>
    </row>
    <row r="46" ht="15.75" customHeight="1">
      <c r="C46" s="15"/>
      <c r="D46" s="15"/>
      <c r="N46" s="16"/>
      <c r="O46" s="16"/>
    </row>
    <row r="47" ht="15.75" customHeight="1">
      <c r="C47" s="15"/>
      <c r="D47" s="15"/>
      <c r="N47" s="16"/>
      <c r="O47" s="16"/>
    </row>
    <row r="48" ht="15.75" customHeight="1">
      <c r="C48" s="15"/>
      <c r="D48" s="15"/>
      <c r="N48" s="16"/>
      <c r="O48" s="16"/>
    </row>
    <row r="49" ht="15.75" customHeight="1">
      <c r="C49" s="15"/>
      <c r="D49" s="15"/>
      <c r="N49" s="16"/>
      <c r="O49" s="16"/>
    </row>
    <row r="50" ht="15.75" customHeight="1">
      <c r="C50" s="15"/>
      <c r="D50" s="15"/>
      <c r="N50" s="16"/>
      <c r="O50" s="16"/>
    </row>
    <row r="51" ht="15.75" customHeight="1">
      <c r="C51" s="15"/>
      <c r="D51" s="15"/>
      <c r="N51" s="16"/>
      <c r="O51" s="16"/>
    </row>
    <row r="52" ht="15.75" customHeight="1">
      <c r="C52" s="15"/>
      <c r="D52" s="15"/>
      <c r="N52" s="16"/>
      <c r="O52" s="16"/>
    </row>
    <row r="53" ht="15.75" customHeight="1">
      <c r="C53" s="15"/>
      <c r="D53" s="15"/>
      <c r="N53" s="16"/>
      <c r="O53" s="16"/>
    </row>
    <row r="54" ht="15.75" customHeight="1">
      <c r="C54" s="15"/>
      <c r="D54" s="15"/>
      <c r="N54" s="16"/>
      <c r="O54" s="16"/>
    </row>
    <row r="55" ht="15.75" customHeight="1">
      <c r="C55" s="15"/>
      <c r="D55" s="15"/>
      <c r="N55" s="16"/>
      <c r="O55" s="16"/>
    </row>
    <row r="56" ht="15.75" customHeight="1">
      <c r="C56" s="15"/>
      <c r="D56" s="15"/>
      <c r="N56" s="16"/>
      <c r="O56" s="16"/>
    </row>
    <row r="57" ht="15.75" customHeight="1">
      <c r="C57" s="15"/>
      <c r="D57" s="15"/>
      <c r="N57" s="16"/>
      <c r="O57" s="16"/>
    </row>
    <row r="58" ht="15.75" customHeight="1">
      <c r="C58" s="15"/>
      <c r="D58" s="15"/>
      <c r="N58" s="16"/>
      <c r="O58" s="16"/>
    </row>
    <row r="59" ht="15.75" customHeight="1">
      <c r="C59" s="15"/>
      <c r="D59" s="15"/>
      <c r="N59" s="16"/>
      <c r="O59" s="16"/>
    </row>
    <row r="60" ht="15.75" customHeight="1">
      <c r="C60" s="15"/>
      <c r="D60" s="15"/>
      <c r="N60" s="16"/>
      <c r="O60" s="16"/>
    </row>
    <row r="61" ht="15.75" customHeight="1">
      <c r="C61" s="15"/>
      <c r="D61" s="15"/>
      <c r="N61" s="16"/>
      <c r="O61" s="16"/>
    </row>
    <row r="62" ht="15.75" customHeight="1">
      <c r="C62" s="15"/>
      <c r="D62" s="15"/>
      <c r="N62" s="16"/>
      <c r="O62" s="16"/>
    </row>
    <row r="63" ht="15.75" customHeight="1">
      <c r="C63" s="15"/>
      <c r="D63" s="15"/>
      <c r="N63" s="16"/>
      <c r="O63" s="16"/>
    </row>
    <row r="64" ht="15.75" customHeight="1">
      <c r="C64" s="15"/>
      <c r="D64" s="15"/>
      <c r="N64" s="16"/>
      <c r="O64" s="16"/>
    </row>
    <row r="65" ht="15.75" customHeight="1">
      <c r="C65" s="15"/>
      <c r="D65" s="15"/>
      <c r="N65" s="16"/>
      <c r="O65" s="16"/>
    </row>
    <row r="66" ht="15.75" customHeight="1">
      <c r="C66" s="15"/>
      <c r="D66" s="15"/>
      <c r="N66" s="16"/>
      <c r="O66" s="16"/>
    </row>
    <row r="67" ht="15.75" customHeight="1">
      <c r="C67" s="15"/>
      <c r="D67" s="15"/>
      <c r="N67" s="16"/>
      <c r="O67" s="16"/>
    </row>
    <row r="68" ht="15.75" customHeight="1">
      <c r="C68" s="15"/>
      <c r="D68" s="15"/>
      <c r="N68" s="16"/>
      <c r="O68" s="16"/>
    </row>
    <row r="69" ht="15.75" customHeight="1">
      <c r="C69" s="15"/>
      <c r="D69" s="15"/>
      <c r="N69" s="16"/>
      <c r="O69" s="16"/>
    </row>
    <row r="70" ht="15.75" customHeight="1">
      <c r="C70" s="15"/>
      <c r="D70" s="15"/>
      <c r="N70" s="16"/>
      <c r="O70" s="16"/>
    </row>
    <row r="71" ht="15.75" customHeight="1">
      <c r="C71" s="15"/>
      <c r="D71" s="15"/>
      <c r="N71" s="16"/>
      <c r="O71" s="16"/>
    </row>
    <row r="72" ht="15.75" customHeight="1">
      <c r="C72" s="15"/>
      <c r="D72" s="15"/>
      <c r="N72" s="16"/>
      <c r="O72" s="16"/>
    </row>
    <row r="73" ht="15.75" customHeight="1">
      <c r="C73" s="15"/>
      <c r="D73" s="15"/>
      <c r="N73" s="16"/>
      <c r="O73" s="16"/>
    </row>
    <row r="74" ht="15.75" customHeight="1">
      <c r="C74" s="15"/>
      <c r="D74" s="15"/>
      <c r="N74" s="16"/>
      <c r="O74" s="16"/>
    </row>
    <row r="75" ht="15.75" customHeight="1">
      <c r="C75" s="15"/>
      <c r="D75" s="15"/>
      <c r="N75" s="16"/>
      <c r="O75" s="16"/>
    </row>
    <row r="76" ht="15.75" customHeight="1">
      <c r="C76" s="15"/>
      <c r="D76" s="15"/>
      <c r="N76" s="16"/>
      <c r="O76" s="16"/>
    </row>
    <row r="77" ht="15.75" customHeight="1">
      <c r="C77" s="15"/>
      <c r="D77" s="15"/>
      <c r="N77" s="16"/>
      <c r="O77" s="16"/>
    </row>
    <row r="78" ht="15.75" customHeight="1">
      <c r="C78" s="15"/>
      <c r="D78" s="15"/>
      <c r="N78" s="16"/>
      <c r="O78" s="16"/>
    </row>
    <row r="79" ht="15.75" customHeight="1">
      <c r="C79" s="15"/>
      <c r="D79" s="15"/>
      <c r="N79" s="16"/>
      <c r="O79" s="16"/>
    </row>
    <row r="80" ht="15.75" customHeight="1">
      <c r="C80" s="15"/>
      <c r="D80" s="15"/>
      <c r="N80" s="16"/>
      <c r="O80" s="16"/>
    </row>
    <row r="81" ht="15.75" customHeight="1">
      <c r="C81" s="15"/>
      <c r="D81" s="15"/>
      <c r="N81" s="16"/>
      <c r="O81" s="16"/>
    </row>
    <row r="82" ht="15.75" customHeight="1">
      <c r="C82" s="15"/>
      <c r="D82" s="15"/>
      <c r="N82" s="16"/>
      <c r="O82" s="16"/>
    </row>
    <row r="83" ht="15.75" customHeight="1">
      <c r="C83" s="15"/>
      <c r="D83" s="15"/>
      <c r="N83" s="16"/>
      <c r="O83" s="16"/>
    </row>
    <row r="84" ht="15.75" customHeight="1">
      <c r="C84" s="15"/>
      <c r="D84" s="15"/>
      <c r="N84" s="16"/>
      <c r="O84" s="16"/>
    </row>
    <row r="85" ht="15.75" customHeight="1">
      <c r="C85" s="15"/>
      <c r="D85" s="15"/>
      <c r="N85" s="16"/>
      <c r="O85" s="16"/>
    </row>
    <row r="86" ht="15.75" customHeight="1">
      <c r="C86" s="15"/>
      <c r="D86" s="15"/>
      <c r="N86" s="16"/>
      <c r="O86" s="16"/>
    </row>
    <row r="87" ht="15.75" customHeight="1">
      <c r="C87" s="15"/>
      <c r="D87" s="15"/>
      <c r="N87" s="16"/>
      <c r="O87" s="16"/>
    </row>
    <row r="88" ht="15.75" customHeight="1">
      <c r="C88" s="15"/>
      <c r="D88" s="15"/>
      <c r="N88" s="16"/>
      <c r="O88" s="16"/>
    </row>
    <row r="89" ht="15.75" customHeight="1">
      <c r="C89" s="15"/>
      <c r="D89" s="15"/>
      <c r="N89" s="16"/>
      <c r="O89" s="16"/>
    </row>
    <row r="90" ht="15.75" customHeight="1">
      <c r="C90" s="15"/>
      <c r="D90" s="15"/>
      <c r="N90" s="16"/>
      <c r="O90" s="16"/>
    </row>
    <row r="91" ht="15.75" customHeight="1">
      <c r="C91" s="15"/>
      <c r="D91" s="15"/>
      <c r="N91" s="16"/>
      <c r="O91" s="16"/>
    </row>
    <row r="92" ht="15.75" customHeight="1">
      <c r="C92" s="15"/>
      <c r="D92" s="15"/>
      <c r="N92" s="16"/>
      <c r="O92" s="16"/>
    </row>
    <row r="93" ht="15.75" customHeight="1">
      <c r="C93" s="15"/>
      <c r="D93" s="15"/>
      <c r="N93" s="16"/>
      <c r="O93" s="16"/>
    </row>
    <row r="94" ht="15.75" customHeight="1">
      <c r="C94" s="15"/>
      <c r="D94" s="15"/>
      <c r="N94" s="16"/>
      <c r="O94" s="16"/>
    </row>
    <row r="95" ht="15.75" customHeight="1">
      <c r="C95" s="15"/>
      <c r="D95" s="15"/>
      <c r="N95" s="16"/>
      <c r="O95" s="16"/>
    </row>
    <row r="96" ht="15.75" customHeight="1">
      <c r="C96" s="15"/>
      <c r="D96" s="15"/>
      <c r="N96" s="16"/>
      <c r="O96" s="16"/>
    </row>
    <row r="97" ht="15.75" customHeight="1">
      <c r="C97" s="15"/>
      <c r="D97" s="15"/>
      <c r="N97" s="16"/>
      <c r="O97" s="16"/>
    </row>
    <row r="98" ht="15.75" customHeight="1">
      <c r="C98" s="15"/>
      <c r="D98" s="15"/>
      <c r="N98" s="16"/>
      <c r="O98" s="16"/>
    </row>
    <row r="99" ht="15.75" customHeight="1">
      <c r="C99" s="15"/>
      <c r="D99" s="15"/>
      <c r="N99" s="16"/>
      <c r="O99" s="16"/>
    </row>
    <row r="100" ht="15.75" customHeight="1">
      <c r="C100" s="15"/>
      <c r="D100" s="15"/>
      <c r="N100" s="16"/>
      <c r="O100" s="16"/>
    </row>
    <row r="101" ht="15.75" customHeight="1">
      <c r="C101" s="15"/>
      <c r="D101" s="15"/>
      <c r="N101" s="16"/>
      <c r="O101" s="16"/>
    </row>
    <row r="102" ht="15.75" customHeight="1">
      <c r="C102" s="15"/>
      <c r="D102" s="15"/>
      <c r="N102" s="16"/>
      <c r="O102" s="16"/>
    </row>
    <row r="103" ht="15.75" customHeight="1">
      <c r="C103" s="15"/>
      <c r="D103" s="15"/>
      <c r="N103" s="16"/>
      <c r="O103" s="16"/>
    </row>
    <row r="104" ht="15.75" customHeight="1">
      <c r="C104" s="15"/>
      <c r="D104" s="15"/>
      <c r="N104" s="16"/>
      <c r="O104" s="16"/>
    </row>
    <row r="105" ht="15.75" customHeight="1">
      <c r="C105" s="15"/>
      <c r="D105" s="15"/>
      <c r="N105" s="16"/>
      <c r="O105" s="16"/>
    </row>
    <row r="106" ht="15.75" customHeight="1">
      <c r="C106" s="15"/>
      <c r="D106" s="15"/>
      <c r="N106" s="16"/>
      <c r="O106" s="16"/>
    </row>
    <row r="107" ht="15.75" customHeight="1">
      <c r="C107" s="15"/>
      <c r="D107" s="15"/>
      <c r="N107" s="16"/>
      <c r="O107" s="16"/>
    </row>
    <row r="108" ht="15.75" customHeight="1">
      <c r="C108" s="15"/>
      <c r="D108" s="15"/>
      <c r="N108" s="16"/>
      <c r="O108" s="16"/>
    </row>
    <row r="109" ht="15.75" customHeight="1">
      <c r="C109" s="15"/>
      <c r="D109" s="15"/>
      <c r="N109" s="16"/>
      <c r="O109" s="16"/>
    </row>
    <row r="110" ht="15.75" customHeight="1">
      <c r="C110" s="15"/>
      <c r="D110" s="15"/>
      <c r="N110" s="16"/>
      <c r="O110" s="16"/>
    </row>
    <row r="111" ht="15.75" customHeight="1">
      <c r="C111" s="15"/>
      <c r="D111" s="15"/>
      <c r="N111" s="16"/>
      <c r="O111" s="16"/>
    </row>
    <row r="112" ht="15.75" customHeight="1">
      <c r="C112" s="15"/>
      <c r="D112" s="15"/>
      <c r="N112" s="16"/>
      <c r="O112" s="16"/>
    </row>
    <row r="113" ht="15.75" customHeight="1">
      <c r="C113" s="15"/>
      <c r="D113" s="15"/>
      <c r="N113" s="16"/>
      <c r="O113" s="16"/>
    </row>
    <row r="114" ht="15.75" customHeight="1">
      <c r="C114" s="15"/>
      <c r="D114" s="15"/>
      <c r="N114" s="16"/>
      <c r="O114" s="16"/>
    </row>
    <row r="115" ht="15.75" customHeight="1">
      <c r="C115" s="15"/>
      <c r="D115" s="15"/>
      <c r="N115" s="16"/>
      <c r="O115" s="16"/>
    </row>
    <row r="116" ht="15.75" customHeight="1">
      <c r="C116" s="15"/>
      <c r="D116" s="15"/>
      <c r="N116" s="16"/>
      <c r="O116" s="16"/>
    </row>
    <row r="117" ht="15.75" customHeight="1">
      <c r="C117" s="15"/>
      <c r="D117" s="15"/>
      <c r="N117" s="16"/>
      <c r="O117" s="16"/>
    </row>
    <row r="118" ht="15.75" customHeight="1">
      <c r="C118" s="15"/>
      <c r="D118" s="15"/>
      <c r="N118" s="16"/>
      <c r="O118" s="16"/>
    </row>
    <row r="119" ht="15.75" customHeight="1">
      <c r="C119" s="15"/>
      <c r="D119" s="15"/>
      <c r="N119" s="16"/>
      <c r="O119" s="16"/>
    </row>
    <row r="120" ht="15.75" customHeight="1">
      <c r="C120" s="15"/>
      <c r="D120" s="15"/>
      <c r="N120" s="16"/>
      <c r="O120" s="16"/>
    </row>
    <row r="121" ht="15.75" customHeight="1">
      <c r="C121" s="15"/>
      <c r="D121" s="15"/>
      <c r="N121" s="16"/>
      <c r="O121" s="16"/>
    </row>
    <row r="122" ht="15.75" customHeight="1">
      <c r="C122" s="15"/>
      <c r="D122" s="15"/>
      <c r="N122" s="16"/>
      <c r="O122" s="16"/>
    </row>
    <row r="123" ht="15.75" customHeight="1">
      <c r="C123" s="15"/>
      <c r="D123" s="15"/>
      <c r="N123" s="16"/>
      <c r="O123" s="16"/>
    </row>
    <row r="124" ht="15.75" customHeight="1">
      <c r="C124" s="15"/>
      <c r="D124" s="15"/>
      <c r="N124" s="16"/>
      <c r="O124" s="16"/>
    </row>
    <row r="125" ht="15.75" customHeight="1">
      <c r="C125" s="15"/>
      <c r="D125" s="15"/>
      <c r="N125" s="16"/>
      <c r="O125" s="16"/>
    </row>
    <row r="126" ht="15.75" customHeight="1">
      <c r="C126" s="15"/>
      <c r="D126" s="15"/>
      <c r="N126" s="16"/>
      <c r="O126" s="16"/>
    </row>
    <row r="127" ht="15.75" customHeight="1">
      <c r="C127" s="15"/>
      <c r="D127" s="15"/>
      <c r="N127" s="16"/>
      <c r="O127" s="16"/>
    </row>
    <row r="128" ht="15.75" customHeight="1">
      <c r="C128" s="15"/>
      <c r="D128" s="15"/>
      <c r="N128" s="16"/>
      <c r="O128" s="16"/>
    </row>
    <row r="129" ht="15.75" customHeight="1">
      <c r="C129" s="15"/>
      <c r="D129" s="15"/>
      <c r="N129" s="16"/>
      <c r="O129" s="16"/>
    </row>
    <row r="130" ht="15.75" customHeight="1">
      <c r="C130" s="15"/>
      <c r="D130" s="15"/>
      <c r="N130" s="16"/>
      <c r="O130" s="16"/>
    </row>
    <row r="131" ht="15.75" customHeight="1">
      <c r="C131" s="15"/>
      <c r="D131" s="15"/>
      <c r="N131" s="16"/>
      <c r="O131" s="16"/>
    </row>
    <row r="132" ht="15.75" customHeight="1">
      <c r="C132" s="15"/>
      <c r="D132" s="15"/>
      <c r="N132" s="16"/>
      <c r="O132" s="16"/>
    </row>
    <row r="133" ht="15.75" customHeight="1">
      <c r="C133" s="15"/>
      <c r="D133" s="15"/>
      <c r="N133" s="16"/>
      <c r="O133" s="16"/>
    </row>
    <row r="134" ht="15.75" customHeight="1">
      <c r="C134" s="15"/>
      <c r="D134" s="15"/>
      <c r="N134" s="16"/>
      <c r="O134" s="16"/>
    </row>
    <row r="135" ht="15.75" customHeight="1">
      <c r="C135" s="15"/>
      <c r="D135" s="15"/>
      <c r="N135" s="16"/>
      <c r="O135" s="16"/>
    </row>
    <row r="136" ht="15.75" customHeight="1">
      <c r="C136" s="15"/>
      <c r="D136" s="15"/>
      <c r="N136" s="16"/>
      <c r="O136" s="16"/>
    </row>
    <row r="137" ht="15.75" customHeight="1">
      <c r="C137" s="15"/>
      <c r="D137" s="15"/>
      <c r="N137" s="16"/>
      <c r="O137" s="16"/>
    </row>
    <row r="138" ht="15.75" customHeight="1">
      <c r="C138" s="15"/>
      <c r="D138" s="15"/>
      <c r="N138" s="16"/>
      <c r="O138" s="16"/>
    </row>
    <row r="139" ht="15.75" customHeight="1">
      <c r="C139" s="15"/>
      <c r="D139" s="15"/>
      <c r="N139" s="16"/>
      <c r="O139" s="16"/>
    </row>
    <row r="140" ht="15.75" customHeight="1">
      <c r="C140" s="15"/>
      <c r="D140" s="15"/>
      <c r="N140" s="16"/>
      <c r="O140" s="16"/>
    </row>
    <row r="141" ht="15.75" customHeight="1">
      <c r="C141" s="15"/>
      <c r="D141" s="15"/>
      <c r="N141" s="16"/>
      <c r="O141" s="16"/>
    </row>
    <row r="142" ht="15.75" customHeight="1">
      <c r="C142" s="15"/>
      <c r="D142" s="15"/>
      <c r="N142" s="16"/>
      <c r="O142" s="16"/>
    </row>
    <row r="143" ht="15.75" customHeight="1">
      <c r="C143" s="15"/>
      <c r="D143" s="15"/>
      <c r="N143" s="16"/>
      <c r="O143" s="16"/>
    </row>
    <row r="144" ht="15.75" customHeight="1">
      <c r="C144" s="15"/>
      <c r="D144" s="15"/>
      <c r="N144" s="16"/>
      <c r="O144" s="16"/>
    </row>
    <row r="145" ht="15.75" customHeight="1">
      <c r="C145" s="15"/>
      <c r="D145" s="15"/>
      <c r="N145" s="16"/>
      <c r="O145" s="16"/>
    </row>
    <row r="146" ht="15.75" customHeight="1">
      <c r="C146" s="15"/>
      <c r="D146" s="15"/>
      <c r="N146" s="16"/>
      <c r="O146" s="16"/>
    </row>
    <row r="147" ht="15.75" customHeight="1">
      <c r="C147" s="15"/>
      <c r="D147" s="15"/>
      <c r="N147" s="16"/>
      <c r="O147" s="16"/>
    </row>
    <row r="148" ht="15.75" customHeight="1">
      <c r="C148" s="15"/>
      <c r="D148" s="15"/>
      <c r="N148" s="16"/>
      <c r="O148" s="16"/>
    </row>
    <row r="149" ht="15.75" customHeight="1">
      <c r="C149" s="15"/>
      <c r="D149" s="15"/>
      <c r="N149" s="16"/>
      <c r="O149" s="16"/>
    </row>
    <row r="150" ht="15.75" customHeight="1">
      <c r="C150" s="15"/>
      <c r="D150" s="15"/>
      <c r="N150" s="16"/>
      <c r="O150" s="16"/>
    </row>
    <row r="151" ht="15.75" customHeight="1">
      <c r="C151" s="15"/>
      <c r="D151" s="15"/>
      <c r="N151" s="16"/>
      <c r="O151" s="16"/>
    </row>
    <row r="152" ht="15.75" customHeight="1">
      <c r="C152" s="15"/>
      <c r="D152" s="15"/>
      <c r="N152" s="16"/>
      <c r="O152" s="16"/>
    </row>
    <row r="153" ht="15.75" customHeight="1">
      <c r="C153" s="15"/>
      <c r="D153" s="15"/>
      <c r="N153" s="16"/>
      <c r="O153" s="16"/>
    </row>
    <row r="154" ht="15.75" customHeight="1">
      <c r="C154" s="15"/>
      <c r="D154" s="15"/>
      <c r="N154" s="16"/>
      <c r="O154" s="16"/>
    </row>
    <row r="155" ht="15.75" customHeight="1">
      <c r="C155" s="15"/>
      <c r="D155" s="15"/>
      <c r="N155" s="16"/>
      <c r="O155" s="16"/>
    </row>
    <row r="156" ht="15.75" customHeight="1">
      <c r="C156" s="15"/>
      <c r="D156" s="15"/>
      <c r="N156" s="16"/>
      <c r="O156" s="16"/>
    </row>
    <row r="157" ht="15.75" customHeight="1">
      <c r="C157" s="15"/>
      <c r="D157" s="15"/>
      <c r="N157" s="16"/>
      <c r="O157" s="16"/>
    </row>
    <row r="158" ht="15.75" customHeight="1">
      <c r="C158" s="15"/>
      <c r="D158" s="15"/>
      <c r="N158" s="16"/>
      <c r="O158" s="16"/>
    </row>
    <row r="159" ht="15.75" customHeight="1">
      <c r="C159" s="15"/>
      <c r="D159" s="15"/>
      <c r="N159" s="16"/>
      <c r="O159" s="16"/>
    </row>
    <row r="160" ht="15.75" customHeight="1">
      <c r="C160" s="15"/>
      <c r="D160" s="15"/>
      <c r="N160" s="16"/>
      <c r="O160" s="16"/>
    </row>
    <row r="161" ht="15.75" customHeight="1">
      <c r="C161" s="15"/>
      <c r="D161" s="15"/>
      <c r="N161" s="16"/>
      <c r="O161" s="16"/>
    </row>
    <row r="162" ht="15.75" customHeight="1">
      <c r="C162" s="15"/>
      <c r="D162" s="15"/>
      <c r="N162" s="16"/>
      <c r="O162" s="16"/>
    </row>
    <row r="163" ht="15.75" customHeight="1">
      <c r="C163" s="15"/>
      <c r="D163" s="15"/>
      <c r="N163" s="16"/>
      <c r="O163" s="16"/>
    </row>
    <row r="164" ht="15.75" customHeight="1">
      <c r="C164" s="15"/>
      <c r="D164" s="15"/>
      <c r="N164" s="16"/>
      <c r="O164" s="16"/>
    </row>
    <row r="165" ht="15.75" customHeight="1">
      <c r="C165" s="15"/>
      <c r="D165" s="15"/>
      <c r="N165" s="16"/>
      <c r="O165" s="16"/>
    </row>
    <row r="166" ht="15.75" customHeight="1">
      <c r="C166" s="15"/>
      <c r="D166" s="15"/>
      <c r="N166" s="16"/>
      <c r="O166" s="16"/>
    </row>
    <row r="167" ht="15.75" customHeight="1">
      <c r="C167" s="15"/>
      <c r="D167" s="15"/>
      <c r="N167" s="16"/>
      <c r="O167" s="16"/>
    </row>
    <row r="168" ht="15.75" customHeight="1">
      <c r="C168" s="15"/>
      <c r="D168" s="15"/>
      <c r="N168" s="16"/>
      <c r="O168" s="16"/>
    </row>
    <row r="169" ht="15.75" customHeight="1">
      <c r="C169" s="15"/>
      <c r="D169" s="15"/>
      <c r="N169" s="16"/>
      <c r="O169" s="16"/>
    </row>
    <row r="170" ht="15.75" customHeight="1">
      <c r="C170" s="15"/>
      <c r="D170" s="15"/>
      <c r="N170" s="16"/>
      <c r="O170" s="16"/>
    </row>
    <row r="171" ht="15.75" customHeight="1">
      <c r="C171" s="15"/>
      <c r="D171" s="15"/>
      <c r="N171" s="16"/>
      <c r="O171" s="16"/>
    </row>
    <row r="172" ht="15.75" customHeight="1">
      <c r="C172" s="15"/>
      <c r="D172" s="15"/>
      <c r="N172" s="16"/>
      <c r="O172" s="16"/>
    </row>
    <row r="173" ht="15.75" customHeight="1">
      <c r="C173" s="15"/>
      <c r="D173" s="15"/>
      <c r="N173" s="16"/>
      <c r="O173" s="16"/>
    </row>
    <row r="174" ht="15.75" customHeight="1">
      <c r="C174" s="15"/>
      <c r="D174" s="15"/>
      <c r="N174" s="16"/>
      <c r="O174" s="16"/>
    </row>
    <row r="175" ht="15.75" customHeight="1">
      <c r="C175" s="15"/>
      <c r="D175" s="15"/>
      <c r="N175" s="16"/>
      <c r="O175" s="16"/>
    </row>
    <row r="176" ht="15.75" customHeight="1">
      <c r="C176" s="15"/>
      <c r="D176" s="15"/>
      <c r="N176" s="16"/>
      <c r="O176" s="16"/>
    </row>
    <row r="177" ht="15.75" customHeight="1">
      <c r="C177" s="15"/>
      <c r="D177" s="15"/>
      <c r="N177" s="16"/>
      <c r="O177" s="16"/>
    </row>
    <row r="178" ht="15.75" customHeight="1">
      <c r="C178" s="15"/>
      <c r="D178" s="15"/>
      <c r="N178" s="16"/>
      <c r="O178" s="16"/>
    </row>
    <row r="179" ht="15.75" customHeight="1">
      <c r="C179" s="15"/>
      <c r="D179" s="15"/>
      <c r="N179" s="16"/>
      <c r="O179" s="16"/>
    </row>
    <row r="180" ht="15.75" customHeight="1">
      <c r="C180" s="15"/>
      <c r="D180" s="15"/>
      <c r="N180" s="16"/>
      <c r="O180" s="16"/>
    </row>
    <row r="181" ht="15.75" customHeight="1">
      <c r="C181" s="15"/>
      <c r="D181" s="15"/>
      <c r="N181" s="16"/>
      <c r="O181" s="16"/>
    </row>
    <row r="182" ht="15.75" customHeight="1">
      <c r="C182" s="15"/>
      <c r="D182" s="15"/>
      <c r="N182" s="16"/>
      <c r="O182" s="16"/>
    </row>
    <row r="183" ht="15.75" customHeight="1">
      <c r="C183" s="15"/>
      <c r="D183" s="15"/>
      <c r="N183" s="16"/>
      <c r="O183" s="16"/>
    </row>
    <row r="184" ht="15.75" customHeight="1">
      <c r="C184" s="15"/>
      <c r="D184" s="15"/>
      <c r="N184" s="16"/>
      <c r="O184" s="16"/>
    </row>
    <row r="185" ht="15.75" customHeight="1">
      <c r="C185" s="15"/>
      <c r="D185" s="15"/>
      <c r="N185" s="16"/>
      <c r="O185" s="16"/>
    </row>
    <row r="186" ht="15.75" customHeight="1">
      <c r="C186" s="15"/>
      <c r="D186" s="15"/>
      <c r="N186" s="16"/>
      <c r="O186" s="16"/>
    </row>
    <row r="187" ht="15.75" customHeight="1">
      <c r="C187" s="15"/>
      <c r="D187" s="15"/>
      <c r="N187" s="16"/>
      <c r="O187" s="16"/>
    </row>
    <row r="188" ht="15.75" customHeight="1">
      <c r="C188" s="15"/>
      <c r="D188" s="15"/>
      <c r="N188" s="16"/>
      <c r="O188" s="16"/>
    </row>
    <row r="189" ht="15.75" customHeight="1">
      <c r="C189" s="15"/>
      <c r="D189" s="15"/>
      <c r="N189" s="16"/>
      <c r="O189" s="16"/>
    </row>
    <row r="190" ht="15.75" customHeight="1">
      <c r="C190" s="15"/>
      <c r="D190" s="15"/>
      <c r="N190" s="16"/>
      <c r="O190" s="16"/>
    </row>
    <row r="191" ht="15.75" customHeight="1">
      <c r="C191" s="15"/>
      <c r="D191" s="15"/>
      <c r="N191" s="16"/>
      <c r="O191" s="16"/>
    </row>
    <row r="192" ht="15.75" customHeight="1">
      <c r="C192" s="15"/>
      <c r="D192" s="15"/>
      <c r="N192" s="16"/>
      <c r="O192" s="16"/>
    </row>
    <row r="193" ht="15.75" customHeight="1">
      <c r="C193" s="15"/>
      <c r="D193" s="15"/>
      <c r="N193" s="16"/>
      <c r="O193" s="16"/>
    </row>
    <row r="194" ht="15.75" customHeight="1">
      <c r="C194" s="15"/>
      <c r="D194" s="15"/>
      <c r="N194" s="16"/>
      <c r="O194" s="16"/>
    </row>
    <row r="195" ht="15.75" customHeight="1">
      <c r="C195" s="15"/>
      <c r="D195" s="15"/>
      <c r="N195" s="16"/>
      <c r="O195" s="16"/>
    </row>
    <row r="196" ht="15.75" customHeight="1">
      <c r="C196" s="15"/>
      <c r="D196" s="15"/>
      <c r="N196" s="16"/>
      <c r="O196" s="16"/>
    </row>
    <row r="197" ht="15.75" customHeight="1">
      <c r="C197" s="15"/>
      <c r="D197" s="15"/>
      <c r="N197" s="16"/>
      <c r="O197" s="16"/>
    </row>
    <row r="198" ht="15.75" customHeight="1">
      <c r="C198" s="15"/>
      <c r="D198" s="15"/>
      <c r="N198" s="16"/>
      <c r="O198" s="16"/>
    </row>
    <row r="199" ht="15.75" customHeight="1">
      <c r="C199" s="15"/>
      <c r="D199" s="15"/>
      <c r="N199" s="16"/>
      <c r="O199" s="16"/>
    </row>
    <row r="200" ht="15.75" customHeight="1">
      <c r="C200" s="15"/>
      <c r="D200" s="15"/>
      <c r="N200" s="16"/>
      <c r="O200" s="16"/>
    </row>
    <row r="201" ht="15.75" customHeight="1">
      <c r="C201" s="15"/>
      <c r="D201" s="15"/>
      <c r="N201" s="16"/>
      <c r="O201" s="16"/>
    </row>
    <row r="202" ht="15.75" customHeight="1">
      <c r="C202" s="15"/>
      <c r="D202" s="15"/>
      <c r="N202" s="16"/>
      <c r="O202" s="16"/>
    </row>
    <row r="203" ht="15.75" customHeight="1">
      <c r="C203" s="15"/>
      <c r="D203" s="15"/>
      <c r="N203" s="16"/>
      <c r="O203" s="16"/>
    </row>
    <row r="204" ht="15.75" customHeight="1">
      <c r="C204" s="15"/>
      <c r="D204" s="15"/>
      <c r="N204" s="16"/>
      <c r="O204" s="16"/>
    </row>
    <row r="205" ht="15.75" customHeight="1">
      <c r="C205" s="15"/>
      <c r="D205" s="15"/>
      <c r="N205" s="16"/>
      <c r="O205" s="16"/>
    </row>
    <row r="206" ht="15.75" customHeight="1">
      <c r="C206" s="15"/>
      <c r="D206" s="15"/>
      <c r="N206" s="16"/>
      <c r="O206" s="16"/>
    </row>
    <row r="207" ht="15.75" customHeight="1">
      <c r="C207" s="15"/>
      <c r="D207" s="15"/>
      <c r="N207" s="16"/>
      <c r="O207" s="16"/>
    </row>
    <row r="208" ht="15.75" customHeight="1">
      <c r="C208" s="15"/>
      <c r="D208" s="15"/>
      <c r="N208" s="16"/>
      <c r="O208" s="16"/>
    </row>
    <row r="209" ht="15.75" customHeight="1">
      <c r="C209" s="15"/>
      <c r="D209" s="15"/>
      <c r="N209" s="16"/>
      <c r="O209" s="16"/>
    </row>
    <row r="210" ht="15.75" customHeight="1">
      <c r="C210" s="15"/>
      <c r="D210" s="15"/>
      <c r="N210" s="16"/>
      <c r="O210" s="16"/>
    </row>
    <row r="211" ht="15.75" customHeight="1">
      <c r="C211" s="15"/>
      <c r="D211" s="15"/>
      <c r="N211" s="16"/>
      <c r="O211" s="16"/>
    </row>
    <row r="212" ht="15.75" customHeight="1">
      <c r="C212" s="15"/>
      <c r="D212" s="15"/>
      <c r="N212" s="16"/>
      <c r="O212" s="16"/>
    </row>
    <row r="213" ht="15.75" customHeight="1">
      <c r="C213" s="15"/>
      <c r="D213" s="15"/>
      <c r="N213" s="16"/>
      <c r="O213" s="16"/>
    </row>
    <row r="214" ht="15.75" customHeight="1">
      <c r="C214" s="15"/>
      <c r="D214" s="15"/>
      <c r="N214" s="16"/>
      <c r="O214" s="16"/>
    </row>
    <row r="215" ht="15.75" customHeight="1">
      <c r="C215" s="15"/>
      <c r="D215" s="15"/>
      <c r="N215" s="16"/>
      <c r="O215" s="16"/>
    </row>
    <row r="216" ht="15.75" customHeight="1">
      <c r="C216" s="15"/>
      <c r="D216" s="15"/>
      <c r="N216" s="16"/>
      <c r="O216" s="16"/>
    </row>
    <row r="217" ht="15.75" customHeight="1">
      <c r="C217" s="15"/>
      <c r="D217" s="15"/>
      <c r="N217" s="16"/>
      <c r="O217" s="16"/>
    </row>
    <row r="218" ht="15.75" customHeight="1">
      <c r="C218" s="15"/>
      <c r="D218" s="15"/>
      <c r="N218" s="16"/>
      <c r="O218" s="16"/>
    </row>
    <row r="219" ht="15.75" customHeight="1">
      <c r="C219" s="15"/>
      <c r="D219" s="15"/>
      <c r="N219" s="16"/>
      <c r="O219" s="16"/>
    </row>
    <row r="220" ht="15.75" customHeight="1">
      <c r="C220" s="15"/>
      <c r="D220" s="15"/>
      <c r="N220" s="16"/>
      <c r="O220" s="16"/>
    </row>
    <row r="221" ht="15.75" customHeight="1">
      <c r="C221" s="15"/>
      <c r="D221" s="15"/>
      <c r="N221" s="16"/>
      <c r="O221" s="16"/>
    </row>
    <row r="222" ht="15.75" customHeight="1">
      <c r="C222" s="15"/>
      <c r="D222" s="15"/>
      <c r="N222" s="16"/>
      <c r="O222" s="16"/>
    </row>
    <row r="223" ht="15.75" customHeight="1">
      <c r="C223" s="15"/>
      <c r="D223" s="15"/>
      <c r="N223" s="16"/>
      <c r="O223" s="16"/>
    </row>
    <row r="224" ht="15.75" customHeight="1">
      <c r="C224" s="15"/>
      <c r="D224" s="15"/>
      <c r="N224" s="16"/>
      <c r="O224" s="16"/>
    </row>
    <row r="225" ht="15.75" customHeight="1">
      <c r="C225" s="15"/>
      <c r="D225" s="15"/>
      <c r="N225" s="16"/>
      <c r="O225" s="16"/>
    </row>
    <row r="226" ht="15.75" customHeight="1">
      <c r="C226" s="15"/>
      <c r="D226" s="15"/>
      <c r="N226" s="16"/>
      <c r="O226" s="16"/>
    </row>
    <row r="227" ht="15.75" customHeight="1">
      <c r="C227" s="15"/>
      <c r="D227" s="15"/>
      <c r="N227" s="16"/>
      <c r="O227" s="16"/>
    </row>
    <row r="228" ht="15.75" customHeight="1">
      <c r="C228" s="15"/>
      <c r="D228" s="15"/>
      <c r="N228" s="16"/>
      <c r="O228" s="16"/>
    </row>
    <row r="229" ht="15.75" customHeight="1">
      <c r="C229" s="15"/>
      <c r="D229" s="15"/>
      <c r="N229" s="16"/>
      <c r="O229" s="16"/>
    </row>
    <row r="230" ht="15.75" customHeight="1">
      <c r="C230" s="15"/>
      <c r="D230" s="15"/>
      <c r="N230" s="16"/>
      <c r="O230" s="16"/>
    </row>
    <row r="231" ht="15.75" customHeight="1">
      <c r="C231" s="15"/>
      <c r="D231" s="15"/>
      <c r="N231" s="16"/>
      <c r="O231" s="16"/>
    </row>
    <row r="232" ht="15.75" customHeight="1">
      <c r="C232" s="15"/>
      <c r="D232" s="15"/>
      <c r="N232" s="16"/>
      <c r="O232" s="16"/>
    </row>
    <row r="233" ht="15.75" customHeight="1">
      <c r="C233" s="15"/>
      <c r="D233" s="15"/>
      <c r="N233" s="16"/>
      <c r="O233" s="16"/>
    </row>
    <row r="234" ht="15.75" customHeight="1">
      <c r="C234" s="15"/>
      <c r="D234" s="15"/>
      <c r="N234" s="16"/>
      <c r="O234" s="16"/>
    </row>
    <row r="235" ht="15.75" customHeight="1">
      <c r="C235" s="15"/>
      <c r="D235" s="15"/>
      <c r="N235" s="16"/>
      <c r="O235" s="16"/>
    </row>
    <row r="236" ht="15.75" customHeight="1">
      <c r="C236" s="15"/>
      <c r="D236" s="15"/>
      <c r="N236" s="16"/>
      <c r="O236" s="16"/>
    </row>
    <row r="237" ht="15.75" customHeight="1">
      <c r="C237" s="15"/>
      <c r="D237" s="15"/>
      <c r="N237" s="16"/>
      <c r="O237" s="16"/>
    </row>
    <row r="238" ht="15.75" customHeight="1">
      <c r="C238" s="15"/>
      <c r="D238" s="15"/>
      <c r="N238" s="16"/>
      <c r="O238" s="16"/>
    </row>
    <row r="239" ht="15.75" customHeight="1">
      <c r="C239" s="15"/>
      <c r="D239" s="15"/>
      <c r="N239" s="16"/>
      <c r="O239" s="16"/>
    </row>
    <row r="240" ht="15.75" customHeight="1">
      <c r="C240" s="15"/>
      <c r="D240" s="15"/>
      <c r="N240" s="16"/>
      <c r="O240" s="16"/>
    </row>
    <row r="241" ht="15.75" customHeight="1">
      <c r="C241" s="15"/>
      <c r="D241" s="15"/>
      <c r="N241" s="16"/>
      <c r="O241" s="16"/>
    </row>
    <row r="242" ht="15.75" customHeight="1">
      <c r="C242" s="15"/>
      <c r="D242" s="15"/>
      <c r="N242" s="16"/>
      <c r="O242" s="16"/>
    </row>
    <row r="243" ht="15.75" customHeight="1">
      <c r="C243" s="15"/>
      <c r="D243" s="15"/>
      <c r="N243" s="16"/>
      <c r="O243" s="16"/>
    </row>
    <row r="244" ht="15.75" customHeight="1">
      <c r="C244" s="15"/>
      <c r="D244" s="15"/>
      <c r="N244" s="16"/>
      <c r="O244" s="16"/>
    </row>
    <row r="245" ht="15.75" customHeight="1">
      <c r="C245" s="15"/>
      <c r="D245" s="15"/>
      <c r="N245" s="16"/>
      <c r="O245" s="16"/>
    </row>
    <row r="246" ht="15.75" customHeight="1">
      <c r="C246" s="15"/>
      <c r="D246" s="15"/>
      <c r="N246" s="16"/>
      <c r="O246" s="16"/>
    </row>
    <row r="247" ht="15.75" customHeight="1">
      <c r="C247" s="15"/>
      <c r="D247" s="15"/>
      <c r="N247" s="16"/>
      <c r="O247" s="16"/>
    </row>
    <row r="248" ht="15.75" customHeight="1">
      <c r="C248" s="15"/>
      <c r="D248" s="15"/>
      <c r="N248" s="16"/>
      <c r="O248" s="16"/>
    </row>
    <row r="249" ht="15.75" customHeight="1">
      <c r="C249" s="15"/>
      <c r="D249" s="15"/>
      <c r="N249" s="16"/>
      <c r="O249" s="16"/>
    </row>
    <row r="250" ht="15.75" customHeight="1">
      <c r="C250" s="15"/>
      <c r="D250" s="15"/>
      <c r="N250" s="16"/>
      <c r="O250" s="16"/>
    </row>
    <row r="251" ht="15.75" customHeight="1">
      <c r="C251" s="15"/>
      <c r="D251" s="15"/>
      <c r="N251" s="16"/>
      <c r="O251" s="16"/>
    </row>
    <row r="252" ht="15.75" customHeight="1">
      <c r="C252" s="15"/>
      <c r="D252" s="15"/>
      <c r="N252" s="16"/>
      <c r="O252" s="16"/>
    </row>
    <row r="253" ht="15.75" customHeight="1">
      <c r="C253" s="15"/>
      <c r="D253" s="15"/>
      <c r="N253" s="16"/>
      <c r="O253" s="16"/>
    </row>
    <row r="254" ht="15.75" customHeight="1">
      <c r="C254" s="15"/>
      <c r="D254" s="15"/>
      <c r="N254" s="16"/>
      <c r="O254" s="16"/>
    </row>
    <row r="255" ht="15.75" customHeight="1">
      <c r="C255" s="15"/>
      <c r="D255" s="15"/>
      <c r="N255" s="16"/>
      <c r="O255" s="16"/>
    </row>
    <row r="256" ht="15.75" customHeight="1">
      <c r="C256" s="15"/>
      <c r="D256" s="15"/>
      <c r="N256" s="16"/>
      <c r="O256" s="16"/>
    </row>
    <row r="257" ht="15.75" customHeight="1">
      <c r="C257" s="15"/>
      <c r="D257" s="15"/>
      <c r="N257" s="16"/>
      <c r="O257" s="16"/>
    </row>
    <row r="258" ht="15.75" customHeight="1">
      <c r="C258" s="15"/>
      <c r="D258" s="15"/>
      <c r="N258" s="16"/>
      <c r="O258" s="16"/>
    </row>
    <row r="259" ht="15.75" customHeight="1">
      <c r="C259" s="15"/>
      <c r="D259" s="15"/>
      <c r="N259" s="16"/>
      <c r="O259" s="16"/>
    </row>
    <row r="260" ht="15.75" customHeight="1">
      <c r="C260" s="15"/>
      <c r="D260" s="15"/>
      <c r="N260" s="16"/>
      <c r="O260" s="16"/>
    </row>
    <row r="261" ht="15.75" customHeight="1">
      <c r="C261" s="15"/>
      <c r="D261" s="15"/>
      <c r="N261" s="16"/>
      <c r="O261" s="16"/>
    </row>
    <row r="262" ht="15.75" customHeight="1">
      <c r="C262" s="15"/>
      <c r="D262" s="15"/>
      <c r="N262" s="16"/>
      <c r="O262" s="16"/>
    </row>
    <row r="263" ht="15.75" customHeight="1">
      <c r="C263" s="15"/>
      <c r="D263" s="15"/>
      <c r="N263" s="16"/>
      <c r="O263" s="16"/>
    </row>
    <row r="264" ht="15.75" customHeight="1">
      <c r="C264" s="15"/>
      <c r="D264" s="15"/>
      <c r="N264" s="16"/>
      <c r="O264" s="16"/>
    </row>
    <row r="265" ht="15.75" customHeight="1">
      <c r="C265" s="15"/>
      <c r="D265" s="15"/>
      <c r="N265" s="16"/>
      <c r="O265" s="16"/>
    </row>
    <row r="266" ht="15.75" customHeight="1">
      <c r="C266" s="15"/>
      <c r="D266" s="15"/>
      <c r="N266" s="16"/>
      <c r="O266" s="16"/>
    </row>
    <row r="267" ht="15.75" customHeight="1">
      <c r="C267" s="15"/>
      <c r="D267" s="15"/>
      <c r="N267" s="16"/>
      <c r="O267" s="16"/>
    </row>
    <row r="268" ht="15.75" customHeight="1">
      <c r="C268" s="15"/>
      <c r="D268" s="15"/>
      <c r="N268" s="16"/>
      <c r="O268" s="16"/>
    </row>
    <row r="269" ht="15.75" customHeight="1">
      <c r="C269" s="15"/>
      <c r="D269" s="15"/>
      <c r="N269" s="16"/>
      <c r="O269" s="16"/>
    </row>
    <row r="270" ht="15.75" customHeight="1">
      <c r="C270" s="15"/>
      <c r="D270" s="15"/>
      <c r="N270" s="16"/>
      <c r="O270" s="16"/>
    </row>
    <row r="271" ht="15.75" customHeight="1">
      <c r="C271" s="15"/>
      <c r="D271" s="15"/>
      <c r="N271" s="16"/>
      <c r="O271" s="16"/>
    </row>
    <row r="272" ht="15.75" customHeight="1">
      <c r="C272" s="15"/>
      <c r="D272" s="15"/>
      <c r="N272" s="16"/>
      <c r="O272" s="16"/>
    </row>
    <row r="273" ht="15.75" customHeight="1">
      <c r="C273" s="15"/>
      <c r="D273" s="15"/>
      <c r="N273" s="16"/>
      <c r="O273" s="16"/>
    </row>
    <row r="274" ht="15.75" customHeight="1">
      <c r="C274" s="15"/>
      <c r="D274" s="15"/>
      <c r="N274" s="16"/>
      <c r="O274" s="16"/>
    </row>
    <row r="275" ht="15.75" customHeight="1">
      <c r="C275" s="15"/>
      <c r="D275" s="15"/>
      <c r="N275" s="16"/>
      <c r="O275" s="16"/>
    </row>
    <row r="276" ht="15.75" customHeight="1">
      <c r="C276" s="15"/>
      <c r="D276" s="15"/>
      <c r="N276" s="16"/>
      <c r="O276" s="16"/>
    </row>
    <row r="277" ht="15.75" customHeight="1">
      <c r="C277" s="15"/>
      <c r="D277" s="15"/>
      <c r="N277" s="16"/>
      <c r="O277" s="16"/>
    </row>
    <row r="278" ht="15.75" customHeight="1">
      <c r="C278" s="15"/>
      <c r="D278" s="15"/>
      <c r="N278" s="16"/>
      <c r="O278" s="16"/>
    </row>
    <row r="279" ht="15.75" customHeight="1">
      <c r="C279" s="15"/>
      <c r="D279" s="15"/>
      <c r="N279" s="16"/>
      <c r="O279" s="16"/>
    </row>
    <row r="280" ht="15.75" customHeight="1">
      <c r="C280" s="15"/>
      <c r="D280" s="15"/>
      <c r="N280" s="16"/>
      <c r="O280" s="16"/>
    </row>
    <row r="281" ht="15.75" customHeight="1">
      <c r="C281" s="15"/>
      <c r="D281" s="15"/>
      <c r="N281" s="16"/>
      <c r="O281" s="16"/>
    </row>
    <row r="282" ht="15.75" customHeight="1">
      <c r="C282" s="15"/>
      <c r="D282" s="15"/>
      <c r="N282" s="16"/>
      <c r="O282" s="16"/>
    </row>
    <row r="283" ht="15.75" customHeight="1">
      <c r="C283" s="15"/>
      <c r="D283" s="15"/>
      <c r="N283" s="16"/>
      <c r="O283" s="16"/>
    </row>
    <row r="284" ht="15.75" customHeight="1">
      <c r="C284" s="15"/>
      <c r="D284" s="15"/>
      <c r="N284" s="16"/>
      <c r="O284" s="16"/>
    </row>
    <row r="285" ht="15.75" customHeight="1">
      <c r="C285" s="15"/>
      <c r="D285" s="15"/>
      <c r="N285" s="16"/>
      <c r="O285" s="16"/>
    </row>
    <row r="286" ht="15.75" customHeight="1">
      <c r="C286" s="15"/>
      <c r="D286" s="15"/>
      <c r="N286" s="16"/>
      <c r="O286" s="16"/>
    </row>
    <row r="287" ht="15.75" customHeight="1">
      <c r="C287" s="15"/>
      <c r="D287" s="15"/>
      <c r="N287" s="16"/>
      <c r="O287" s="16"/>
    </row>
    <row r="288" ht="15.75" customHeight="1">
      <c r="C288" s="15"/>
      <c r="D288" s="15"/>
      <c r="N288" s="16"/>
      <c r="O288" s="16"/>
    </row>
    <row r="289" ht="15.75" customHeight="1">
      <c r="C289" s="15"/>
      <c r="D289" s="15"/>
      <c r="N289" s="16"/>
      <c r="O289" s="16"/>
    </row>
    <row r="290" ht="15.75" customHeight="1">
      <c r="C290" s="15"/>
      <c r="D290" s="15"/>
      <c r="N290" s="16"/>
      <c r="O290" s="16"/>
    </row>
    <row r="291" ht="15.75" customHeight="1">
      <c r="C291" s="15"/>
      <c r="D291" s="15"/>
      <c r="N291" s="16"/>
      <c r="O291" s="16"/>
    </row>
    <row r="292" ht="15.75" customHeight="1">
      <c r="C292" s="15"/>
      <c r="D292" s="15"/>
      <c r="N292" s="16"/>
      <c r="O292" s="16"/>
    </row>
    <row r="293" ht="15.75" customHeight="1">
      <c r="C293" s="15"/>
      <c r="D293" s="15"/>
      <c r="N293" s="16"/>
      <c r="O293" s="16"/>
    </row>
    <row r="294" ht="15.75" customHeight="1">
      <c r="C294" s="15"/>
      <c r="D294" s="15"/>
      <c r="N294" s="16"/>
      <c r="O294" s="16"/>
    </row>
    <row r="295" ht="15.75" customHeight="1">
      <c r="C295" s="15"/>
      <c r="D295" s="15"/>
      <c r="N295" s="16"/>
      <c r="O295" s="16"/>
    </row>
    <row r="296" ht="15.75" customHeight="1">
      <c r="C296" s="15"/>
      <c r="D296" s="15"/>
      <c r="N296" s="16"/>
      <c r="O296" s="16"/>
    </row>
    <row r="297" ht="15.75" customHeight="1">
      <c r="C297" s="15"/>
      <c r="D297" s="15"/>
      <c r="N297" s="16"/>
      <c r="O297" s="16"/>
    </row>
    <row r="298" ht="15.75" customHeight="1">
      <c r="C298" s="15"/>
      <c r="D298" s="15"/>
      <c r="N298" s="16"/>
      <c r="O298" s="16"/>
    </row>
    <row r="299" ht="15.75" customHeight="1">
      <c r="C299" s="15"/>
      <c r="D299" s="15"/>
      <c r="N299" s="16"/>
      <c r="O299" s="16"/>
    </row>
    <row r="300" ht="15.75" customHeight="1">
      <c r="C300" s="15"/>
      <c r="D300" s="15"/>
      <c r="N300" s="16"/>
      <c r="O300" s="16"/>
    </row>
    <row r="301" ht="15.75" customHeight="1">
      <c r="C301" s="15"/>
      <c r="D301" s="15"/>
      <c r="N301" s="16"/>
      <c r="O301" s="16"/>
    </row>
    <row r="302" ht="15.75" customHeight="1">
      <c r="C302" s="15"/>
      <c r="D302" s="15"/>
      <c r="N302" s="16"/>
      <c r="O302" s="16"/>
    </row>
    <row r="303" ht="15.75" customHeight="1">
      <c r="C303" s="15"/>
      <c r="D303" s="15"/>
      <c r="N303" s="16"/>
      <c r="O303" s="16"/>
    </row>
    <row r="304" ht="15.75" customHeight="1">
      <c r="C304" s="15"/>
      <c r="D304" s="15"/>
      <c r="N304" s="16"/>
      <c r="O304" s="16"/>
    </row>
    <row r="305" ht="15.75" customHeight="1">
      <c r="C305" s="15"/>
      <c r="D305" s="15"/>
      <c r="N305" s="16"/>
      <c r="O305" s="16"/>
    </row>
    <row r="306" ht="15.75" customHeight="1">
      <c r="C306" s="15"/>
      <c r="D306" s="15"/>
      <c r="N306" s="16"/>
      <c r="O306" s="16"/>
    </row>
    <row r="307" ht="15.75" customHeight="1">
      <c r="C307" s="15"/>
      <c r="D307" s="15"/>
      <c r="N307" s="16"/>
      <c r="O307" s="16"/>
    </row>
    <row r="308" ht="15.75" customHeight="1">
      <c r="C308" s="15"/>
      <c r="D308" s="15"/>
      <c r="N308" s="16"/>
      <c r="O308" s="16"/>
    </row>
    <row r="309" ht="15.75" customHeight="1">
      <c r="C309" s="15"/>
      <c r="D309" s="15"/>
      <c r="N309" s="16"/>
      <c r="O309" s="16"/>
    </row>
    <row r="310" ht="15.75" customHeight="1">
      <c r="C310" s="15"/>
      <c r="D310" s="15"/>
      <c r="N310" s="16"/>
      <c r="O310" s="16"/>
    </row>
    <row r="311" ht="15.75" customHeight="1">
      <c r="C311" s="15"/>
      <c r="D311" s="15"/>
      <c r="N311" s="16"/>
      <c r="O311" s="16"/>
    </row>
    <row r="312" ht="15.75" customHeight="1">
      <c r="C312" s="15"/>
      <c r="D312" s="15"/>
      <c r="N312" s="16"/>
      <c r="O312" s="16"/>
    </row>
    <row r="313" ht="15.75" customHeight="1">
      <c r="C313" s="15"/>
      <c r="D313" s="15"/>
      <c r="N313" s="16"/>
      <c r="O313" s="16"/>
    </row>
    <row r="314" ht="15.75" customHeight="1">
      <c r="C314" s="15"/>
      <c r="D314" s="15"/>
      <c r="N314" s="16"/>
      <c r="O314" s="16"/>
    </row>
    <row r="315" ht="15.75" customHeight="1">
      <c r="C315" s="15"/>
      <c r="D315" s="15"/>
      <c r="N315" s="16"/>
      <c r="O315" s="16"/>
    </row>
    <row r="316" ht="15.75" customHeight="1">
      <c r="C316" s="15"/>
      <c r="D316" s="15"/>
      <c r="N316" s="16"/>
      <c r="O316" s="16"/>
    </row>
    <row r="317" ht="15.75" customHeight="1">
      <c r="C317" s="15"/>
      <c r="D317" s="15"/>
      <c r="N317" s="16"/>
      <c r="O317" s="16"/>
    </row>
    <row r="318" ht="15.75" customHeight="1">
      <c r="C318" s="15"/>
      <c r="D318" s="15"/>
      <c r="N318" s="16"/>
      <c r="O318" s="16"/>
    </row>
    <row r="319" ht="15.75" customHeight="1">
      <c r="C319" s="15"/>
      <c r="D319" s="15"/>
      <c r="N319" s="16"/>
      <c r="O319" s="16"/>
    </row>
    <row r="320" ht="15.75" customHeight="1">
      <c r="C320" s="15"/>
      <c r="D320" s="15"/>
      <c r="N320" s="16"/>
      <c r="O320" s="16"/>
    </row>
    <row r="321" ht="15.75" customHeight="1">
      <c r="C321" s="15"/>
      <c r="D321" s="15"/>
      <c r="N321" s="16"/>
      <c r="O321" s="16"/>
    </row>
    <row r="322" ht="15.75" customHeight="1">
      <c r="C322" s="15"/>
      <c r="D322" s="15"/>
      <c r="N322" s="16"/>
      <c r="O322" s="16"/>
    </row>
    <row r="323" ht="15.75" customHeight="1">
      <c r="C323" s="15"/>
      <c r="D323" s="15"/>
      <c r="N323" s="16"/>
      <c r="O323" s="16"/>
    </row>
    <row r="324" ht="15.75" customHeight="1">
      <c r="C324" s="15"/>
      <c r="D324" s="15"/>
      <c r="N324" s="16"/>
      <c r="O324" s="16"/>
    </row>
    <row r="325" ht="15.75" customHeight="1">
      <c r="C325" s="15"/>
      <c r="D325" s="15"/>
      <c r="N325" s="16"/>
      <c r="O325" s="16"/>
    </row>
    <row r="326" ht="15.75" customHeight="1">
      <c r="C326" s="15"/>
      <c r="D326" s="15"/>
      <c r="N326" s="16"/>
      <c r="O326" s="16"/>
    </row>
    <row r="327" ht="15.75" customHeight="1">
      <c r="C327" s="15"/>
      <c r="D327" s="15"/>
      <c r="N327" s="16"/>
      <c r="O327" s="16"/>
    </row>
    <row r="328" ht="15.75" customHeight="1">
      <c r="C328" s="15"/>
      <c r="D328" s="15"/>
      <c r="N328" s="16"/>
      <c r="O328" s="16"/>
    </row>
    <row r="329" ht="15.75" customHeight="1">
      <c r="C329" s="15"/>
      <c r="D329" s="15"/>
      <c r="N329" s="16"/>
      <c r="O329" s="16"/>
    </row>
    <row r="330" ht="15.75" customHeight="1">
      <c r="C330" s="15"/>
      <c r="D330" s="15"/>
      <c r="N330" s="16"/>
      <c r="O330" s="16"/>
    </row>
    <row r="331" ht="15.75" customHeight="1">
      <c r="C331" s="15"/>
      <c r="D331" s="15"/>
      <c r="N331" s="16"/>
      <c r="O331" s="16"/>
    </row>
    <row r="332" ht="15.75" customHeight="1">
      <c r="C332" s="15"/>
      <c r="D332" s="15"/>
      <c r="N332" s="16"/>
      <c r="O332" s="16"/>
    </row>
    <row r="333" ht="15.75" customHeight="1">
      <c r="C333" s="15"/>
      <c r="D333" s="15"/>
      <c r="N333" s="16"/>
      <c r="O333" s="16"/>
    </row>
    <row r="334" ht="15.75" customHeight="1">
      <c r="C334" s="15"/>
      <c r="D334" s="15"/>
      <c r="N334" s="16"/>
      <c r="O334" s="16"/>
    </row>
    <row r="335" ht="15.75" customHeight="1">
      <c r="C335" s="15"/>
      <c r="D335" s="15"/>
      <c r="N335" s="16"/>
      <c r="O335" s="16"/>
    </row>
    <row r="336" ht="15.75" customHeight="1">
      <c r="C336" s="15"/>
      <c r="D336" s="15"/>
      <c r="N336" s="16"/>
      <c r="O336" s="16"/>
    </row>
    <row r="337" ht="15.75" customHeight="1">
      <c r="C337" s="15"/>
      <c r="D337" s="15"/>
      <c r="N337" s="16"/>
      <c r="O337" s="16"/>
    </row>
    <row r="338" ht="15.75" customHeight="1">
      <c r="C338" s="15"/>
      <c r="D338" s="15"/>
      <c r="N338" s="16"/>
      <c r="O338" s="16"/>
    </row>
    <row r="339" ht="15.75" customHeight="1">
      <c r="C339" s="15"/>
      <c r="D339" s="15"/>
      <c r="N339" s="16"/>
      <c r="O339" s="16"/>
    </row>
    <row r="340" ht="15.75" customHeight="1">
      <c r="C340" s="15"/>
      <c r="D340" s="15"/>
      <c r="N340" s="16"/>
      <c r="O340" s="16"/>
    </row>
    <row r="341" ht="15.75" customHeight="1">
      <c r="C341" s="15"/>
      <c r="D341" s="15"/>
      <c r="N341" s="16"/>
      <c r="O341" s="16"/>
    </row>
    <row r="342" ht="15.75" customHeight="1">
      <c r="C342" s="15"/>
      <c r="D342" s="15"/>
      <c r="N342" s="16"/>
      <c r="O342" s="16"/>
    </row>
    <row r="343" ht="15.75" customHeight="1">
      <c r="C343" s="15"/>
      <c r="D343" s="15"/>
      <c r="N343" s="16"/>
      <c r="O343" s="16"/>
    </row>
    <row r="344" ht="15.75" customHeight="1">
      <c r="C344" s="15"/>
      <c r="D344" s="15"/>
      <c r="N344" s="16"/>
      <c r="O344" s="16"/>
    </row>
    <row r="345" ht="15.75" customHeight="1">
      <c r="C345" s="15"/>
      <c r="D345" s="15"/>
      <c r="N345" s="16"/>
      <c r="O345" s="16"/>
    </row>
    <row r="346" ht="15.75" customHeight="1">
      <c r="C346" s="15"/>
      <c r="D346" s="15"/>
      <c r="N346" s="16"/>
      <c r="O346" s="16"/>
    </row>
    <row r="347" ht="15.75" customHeight="1">
      <c r="C347" s="15"/>
      <c r="D347" s="15"/>
      <c r="N347" s="16"/>
      <c r="O347" s="16"/>
    </row>
    <row r="348" ht="15.75" customHeight="1">
      <c r="C348" s="15"/>
      <c r="D348" s="15"/>
      <c r="N348" s="16"/>
      <c r="O348" s="16"/>
    </row>
    <row r="349" ht="15.75" customHeight="1">
      <c r="C349" s="15"/>
      <c r="D349" s="15"/>
      <c r="N349" s="16"/>
      <c r="O349" s="16"/>
    </row>
    <row r="350" ht="15.75" customHeight="1">
      <c r="C350" s="15"/>
      <c r="D350" s="15"/>
      <c r="N350" s="16"/>
      <c r="O350" s="16"/>
    </row>
    <row r="351" ht="15.75" customHeight="1">
      <c r="C351" s="15"/>
      <c r="D351" s="15"/>
      <c r="N351" s="16"/>
      <c r="O351" s="16"/>
    </row>
    <row r="352" ht="15.75" customHeight="1">
      <c r="C352" s="15"/>
      <c r="D352" s="15"/>
      <c r="N352" s="16"/>
      <c r="O352" s="16"/>
    </row>
    <row r="353" ht="15.75" customHeight="1">
      <c r="C353" s="15"/>
      <c r="D353" s="15"/>
      <c r="N353" s="16"/>
      <c r="O353" s="16"/>
    </row>
    <row r="354" ht="15.75" customHeight="1">
      <c r="C354" s="15"/>
      <c r="D354" s="15"/>
      <c r="N354" s="16"/>
      <c r="O354" s="16"/>
    </row>
    <row r="355" ht="15.75" customHeight="1">
      <c r="C355" s="15"/>
      <c r="D355" s="15"/>
      <c r="N355" s="16"/>
      <c r="O355" s="16"/>
    </row>
    <row r="356" ht="15.75" customHeight="1">
      <c r="C356" s="15"/>
      <c r="D356" s="15"/>
      <c r="N356" s="16"/>
      <c r="O356" s="16"/>
    </row>
    <row r="357" ht="15.75" customHeight="1">
      <c r="C357" s="15"/>
      <c r="D357" s="15"/>
      <c r="N357" s="16"/>
      <c r="O357" s="16"/>
    </row>
    <row r="358" ht="15.75" customHeight="1">
      <c r="C358" s="15"/>
      <c r="D358" s="15"/>
      <c r="N358" s="16"/>
      <c r="O358" s="16"/>
    </row>
    <row r="359" ht="15.75" customHeight="1">
      <c r="C359" s="15"/>
      <c r="D359" s="15"/>
      <c r="N359" s="16"/>
      <c r="O359" s="16"/>
    </row>
    <row r="360" ht="15.75" customHeight="1">
      <c r="C360" s="15"/>
      <c r="D360" s="15"/>
      <c r="N360" s="16"/>
      <c r="O360" s="16"/>
    </row>
    <row r="361" ht="15.75" customHeight="1">
      <c r="C361" s="15"/>
      <c r="D361" s="15"/>
      <c r="N361" s="16"/>
      <c r="O361" s="16"/>
    </row>
    <row r="362" ht="15.75" customHeight="1">
      <c r="C362" s="15"/>
      <c r="D362" s="15"/>
      <c r="N362" s="16"/>
      <c r="O362" s="16"/>
    </row>
    <row r="363" ht="15.75" customHeight="1">
      <c r="C363" s="15"/>
      <c r="D363" s="15"/>
      <c r="N363" s="16"/>
      <c r="O363" s="16"/>
    </row>
    <row r="364" ht="15.75" customHeight="1">
      <c r="C364" s="15"/>
      <c r="D364" s="15"/>
      <c r="N364" s="16"/>
      <c r="O364" s="16"/>
    </row>
    <row r="365" ht="15.75" customHeight="1">
      <c r="C365" s="15"/>
      <c r="D365" s="15"/>
      <c r="N365" s="16"/>
      <c r="O365" s="16"/>
    </row>
    <row r="366" ht="15.75" customHeight="1">
      <c r="C366" s="15"/>
      <c r="D366" s="15"/>
      <c r="N366" s="16"/>
      <c r="O366" s="16"/>
    </row>
    <row r="367" ht="15.75" customHeight="1">
      <c r="C367" s="15"/>
      <c r="D367" s="15"/>
      <c r="N367" s="16"/>
      <c r="O367" s="16"/>
    </row>
    <row r="368" ht="15.75" customHeight="1">
      <c r="C368" s="15"/>
      <c r="D368" s="15"/>
      <c r="N368" s="16"/>
      <c r="O368" s="16"/>
    </row>
    <row r="369" ht="15.75" customHeight="1">
      <c r="C369" s="15"/>
      <c r="D369" s="15"/>
      <c r="N369" s="16"/>
      <c r="O369" s="16"/>
    </row>
    <row r="370" ht="15.75" customHeight="1">
      <c r="C370" s="15"/>
      <c r="D370" s="15"/>
      <c r="N370" s="16"/>
      <c r="O370" s="16"/>
    </row>
    <row r="371" ht="15.75" customHeight="1">
      <c r="C371" s="15"/>
      <c r="D371" s="15"/>
      <c r="N371" s="16"/>
      <c r="O371" s="16"/>
    </row>
    <row r="372" ht="15.75" customHeight="1">
      <c r="C372" s="15"/>
      <c r="D372" s="15"/>
      <c r="N372" s="16"/>
      <c r="O372" s="16"/>
    </row>
    <row r="373" ht="15.75" customHeight="1">
      <c r="C373" s="15"/>
      <c r="D373" s="15"/>
      <c r="N373" s="16"/>
      <c r="O373" s="16"/>
    </row>
    <row r="374" ht="15.75" customHeight="1">
      <c r="C374" s="15"/>
      <c r="D374" s="15"/>
      <c r="N374" s="16"/>
      <c r="O374" s="16"/>
    </row>
    <row r="375" ht="15.75" customHeight="1">
      <c r="C375" s="15"/>
      <c r="D375" s="15"/>
      <c r="N375" s="16"/>
      <c r="O375" s="16"/>
    </row>
    <row r="376" ht="15.75" customHeight="1">
      <c r="C376" s="15"/>
      <c r="D376" s="15"/>
      <c r="N376" s="16"/>
      <c r="O376" s="16"/>
    </row>
    <row r="377" ht="15.75" customHeight="1">
      <c r="C377" s="15"/>
      <c r="D377" s="15"/>
      <c r="N377" s="16"/>
      <c r="O377" s="16"/>
    </row>
    <row r="378" ht="15.75" customHeight="1">
      <c r="C378" s="15"/>
      <c r="D378" s="15"/>
      <c r="N378" s="16"/>
      <c r="O378" s="16"/>
    </row>
    <row r="379" ht="15.75" customHeight="1">
      <c r="C379" s="15"/>
      <c r="D379" s="15"/>
      <c r="N379" s="16"/>
      <c r="O379" s="16"/>
    </row>
    <row r="380" ht="15.75" customHeight="1">
      <c r="C380" s="15"/>
      <c r="D380" s="15"/>
      <c r="N380" s="16"/>
      <c r="O380" s="16"/>
    </row>
    <row r="381" ht="15.75" customHeight="1">
      <c r="C381" s="15"/>
      <c r="D381" s="15"/>
      <c r="N381" s="16"/>
      <c r="O381" s="16"/>
    </row>
    <row r="382" ht="15.75" customHeight="1">
      <c r="C382" s="15"/>
      <c r="D382" s="15"/>
      <c r="N382" s="16"/>
      <c r="O382" s="16"/>
    </row>
    <row r="383" ht="15.75" customHeight="1">
      <c r="C383" s="15"/>
      <c r="D383" s="15"/>
      <c r="N383" s="16"/>
      <c r="O383" s="16"/>
    </row>
    <row r="384" ht="15.75" customHeight="1">
      <c r="C384" s="15"/>
      <c r="D384" s="15"/>
      <c r="N384" s="16"/>
      <c r="O384" s="16"/>
    </row>
    <row r="385" ht="15.75" customHeight="1">
      <c r="C385" s="15"/>
      <c r="D385" s="15"/>
      <c r="N385" s="16"/>
      <c r="O385" s="16"/>
    </row>
    <row r="386" ht="15.75" customHeight="1">
      <c r="C386" s="15"/>
      <c r="D386" s="15"/>
      <c r="N386" s="16"/>
      <c r="O386" s="16"/>
    </row>
    <row r="387" ht="15.75" customHeight="1">
      <c r="C387" s="15"/>
      <c r="D387" s="15"/>
      <c r="N387" s="16"/>
      <c r="O387" s="16"/>
    </row>
    <row r="388" ht="15.75" customHeight="1">
      <c r="C388" s="15"/>
      <c r="D388" s="15"/>
      <c r="N388" s="16"/>
      <c r="O388" s="16"/>
    </row>
    <row r="389" ht="15.75" customHeight="1">
      <c r="C389" s="15"/>
      <c r="D389" s="15"/>
      <c r="N389" s="16"/>
      <c r="O389" s="16"/>
    </row>
    <row r="390" ht="15.75" customHeight="1">
      <c r="C390" s="15"/>
      <c r="D390" s="15"/>
      <c r="N390" s="16"/>
      <c r="O390" s="16"/>
    </row>
    <row r="391" ht="15.75" customHeight="1">
      <c r="C391" s="15"/>
      <c r="D391" s="15"/>
      <c r="N391" s="16"/>
      <c r="O391" s="16"/>
    </row>
    <row r="392" ht="15.75" customHeight="1">
      <c r="C392" s="15"/>
      <c r="D392" s="15"/>
      <c r="N392" s="16"/>
      <c r="O392" s="16"/>
    </row>
    <row r="393" ht="15.75" customHeight="1">
      <c r="C393" s="15"/>
      <c r="D393" s="15"/>
      <c r="N393" s="16"/>
      <c r="O393" s="16"/>
    </row>
    <row r="394" ht="15.75" customHeight="1">
      <c r="C394" s="15"/>
      <c r="D394" s="15"/>
      <c r="N394" s="16"/>
      <c r="O394" s="16"/>
    </row>
    <row r="395" ht="15.75" customHeight="1">
      <c r="C395" s="15"/>
      <c r="D395" s="15"/>
      <c r="N395" s="16"/>
      <c r="O395" s="16"/>
    </row>
    <row r="396" ht="15.75" customHeight="1">
      <c r="C396" s="15"/>
      <c r="D396" s="15"/>
      <c r="N396" s="16"/>
      <c r="O396" s="16"/>
    </row>
    <row r="397" ht="15.75" customHeight="1">
      <c r="C397" s="15"/>
      <c r="D397" s="15"/>
      <c r="N397" s="16"/>
      <c r="O397" s="16"/>
    </row>
    <row r="398" ht="15.75" customHeight="1">
      <c r="C398" s="15"/>
      <c r="D398" s="15"/>
      <c r="N398" s="16"/>
      <c r="O398" s="16"/>
    </row>
    <row r="399" ht="15.75" customHeight="1">
      <c r="C399" s="15"/>
      <c r="D399" s="15"/>
      <c r="N399" s="16"/>
      <c r="O399" s="16"/>
    </row>
    <row r="400" ht="15.75" customHeight="1">
      <c r="C400" s="15"/>
      <c r="D400" s="15"/>
      <c r="N400" s="16"/>
      <c r="O400" s="16"/>
    </row>
    <row r="401" ht="15.75" customHeight="1">
      <c r="C401" s="15"/>
      <c r="D401" s="15"/>
      <c r="N401" s="16"/>
      <c r="O401" s="16"/>
    </row>
    <row r="402" ht="15.75" customHeight="1">
      <c r="C402" s="15"/>
      <c r="D402" s="15"/>
      <c r="N402" s="16"/>
      <c r="O402" s="16"/>
    </row>
    <row r="403" ht="15.75" customHeight="1">
      <c r="C403" s="15"/>
      <c r="D403" s="15"/>
      <c r="N403" s="16"/>
      <c r="O403" s="16"/>
    </row>
    <row r="404" ht="15.75" customHeight="1">
      <c r="C404" s="15"/>
      <c r="D404" s="15"/>
      <c r="N404" s="16"/>
      <c r="O404" s="16"/>
    </row>
    <row r="405" ht="15.75" customHeight="1">
      <c r="C405" s="15"/>
      <c r="D405" s="15"/>
      <c r="N405" s="16"/>
      <c r="O405" s="16"/>
    </row>
    <row r="406" ht="15.75" customHeight="1">
      <c r="C406" s="15"/>
      <c r="D406" s="15"/>
      <c r="N406" s="16"/>
      <c r="O406" s="16"/>
    </row>
    <row r="407" ht="15.75" customHeight="1">
      <c r="C407" s="15"/>
      <c r="D407" s="15"/>
      <c r="N407" s="16"/>
      <c r="O407" s="16"/>
    </row>
    <row r="408" ht="15.75" customHeight="1">
      <c r="C408" s="15"/>
      <c r="D408" s="15"/>
      <c r="N408" s="16"/>
      <c r="O408" s="16"/>
    </row>
    <row r="409" ht="15.75" customHeight="1">
      <c r="C409" s="15"/>
      <c r="D409" s="15"/>
      <c r="N409" s="16"/>
      <c r="O409" s="16"/>
    </row>
    <row r="410" ht="15.75" customHeight="1">
      <c r="C410" s="15"/>
      <c r="D410" s="15"/>
      <c r="N410" s="16"/>
      <c r="O410" s="16"/>
    </row>
    <row r="411" ht="15.75" customHeight="1">
      <c r="C411" s="15"/>
      <c r="D411" s="15"/>
      <c r="N411" s="16"/>
      <c r="O411" s="16"/>
    </row>
    <row r="412" ht="15.75" customHeight="1">
      <c r="C412" s="15"/>
      <c r="D412" s="15"/>
      <c r="N412" s="16"/>
      <c r="O412" s="16"/>
    </row>
    <row r="413" ht="15.75" customHeight="1">
      <c r="C413" s="15"/>
      <c r="D413" s="15"/>
      <c r="N413" s="16"/>
      <c r="O413" s="16"/>
    </row>
    <row r="414" ht="15.75" customHeight="1">
      <c r="C414" s="15"/>
      <c r="D414" s="15"/>
      <c r="N414" s="16"/>
      <c r="O414" s="16"/>
    </row>
    <row r="415" ht="15.75" customHeight="1">
      <c r="C415" s="15"/>
      <c r="D415" s="15"/>
      <c r="N415" s="16"/>
      <c r="O415" s="16"/>
    </row>
    <row r="416" ht="15.75" customHeight="1">
      <c r="C416" s="15"/>
      <c r="D416" s="15"/>
      <c r="N416" s="16"/>
      <c r="O416" s="16"/>
    </row>
    <row r="417" ht="15.75" customHeight="1">
      <c r="C417" s="15"/>
      <c r="D417" s="15"/>
      <c r="N417" s="16"/>
      <c r="O417" s="16"/>
    </row>
    <row r="418" ht="15.75" customHeight="1">
      <c r="C418" s="15"/>
      <c r="D418" s="15"/>
      <c r="N418" s="16"/>
      <c r="O418" s="16"/>
    </row>
    <row r="419" ht="15.75" customHeight="1">
      <c r="C419" s="15"/>
      <c r="D419" s="15"/>
      <c r="N419" s="16"/>
      <c r="O419" s="16"/>
    </row>
    <row r="420" ht="15.75" customHeight="1">
      <c r="C420" s="15"/>
      <c r="D420" s="15"/>
      <c r="N420" s="16"/>
      <c r="O420" s="16"/>
    </row>
    <row r="421" ht="15.75" customHeight="1">
      <c r="C421" s="15"/>
      <c r="D421" s="15"/>
      <c r="N421" s="16"/>
      <c r="O421" s="16"/>
    </row>
    <row r="422" ht="15.75" customHeight="1">
      <c r="C422" s="15"/>
      <c r="D422" s="15"/>
      <c r="N422" s="16"/>
      <c r="O422" s="16"/>
    </row>
    <row r="423" ht="15.75" customHeight="1">
      <c r="C423" s="15"/>
      <c r="D423" s="15"/>
      <c r="N423" s="16"/>
      <c r="O423" s="16"/>
    </row>
    <row r="424" ht="15.75" customHeight="1">
      <c r="C424" s="15"/>
      <c r="D424" s="15"/>
      <c r="N424" s="16"/>
      <c r="O424" s="16"/>
    </row>
    <row r="425" ht="15.75" customHeight="1">
      <c r="C425" s="15"/>
      <c r="D425" s="15"/>
      <c r="N425" s="16"/>
      <c r="O425" s="16"/>
    </row>
    <row r="426" ht="15.75" customHeight="1">
      <c r="C426" s="15"/>
      <c r="D426" s="15"/>
      <c r="N426" s="16"/>
      <c r="O426" s="16"/>
    </row>
    <row r="427" ht="15.75" customHeight="1">
      <c r="C427" s="15"/>
      <c r="D427" s="15"/>
      <c r="N427" s="16"/>
      <c r="O427" s="16"/>
    </row>
    <row r="428" ht="15.75" customHeight="1">
      <c r="C428" s="15"/>
      <c r="D428" s="15"/>
      <c r="N428" s="16"/>
      <c r="O428" s="16"/>
    </row>
    <row r="429" ht="15.75" customHeight="1">
      <c r="C429" s="15"/>
      <c r="D429" s="15"/>
      <c r="N429" s="16"/>
      <c r="O429" s="16"/>
    </row>
    <row r="430" ht="15.75" customHeight="1">
      <c r="C430" s="15"/>
      <c r="D430" s="15"/>
      <c r="N430" s="16"/>
      <c r="O430" s="16"/>
    </row>
    <row r="431" ht="15.75" customHeight="1">
      <c r="C431" s="15"/>
      <c r="D431" s="15"/>
      <c r="N431" s="16"/>
      <c r="O431" s="16"/>
    </row>
    <row r="432" ht="15.75" customHeight="1">
      <c r="C432" s="15"/>
      <c r="D432" s="15"/>
      <c r="N432" s="16"/>
      <c r="O432" s="16"/>
    </row>
    <row r="433" ht="15.75" customHeight="1">
      <c r="C433" s="15"/>
      <c r="D433" s="15"/>
      <c r="N433" s="16"/>
      <c r="O433" s="16"/>
    </row>
    <row r="434" ht="15.75" customHeight="1">
      <c r="C434" s="15"/>
      <c r="D434" s="15"/>
      <c r="N434" s="16"/>
      <c r="O434" s="16"/>
    </row>
    <row r="435" ht="15.75" customHeight="1">
      <c r="C435" s="15"/>
      <c r="D435" s="15"/>
      <c r="N435" s="16"/>
      <c r="O435" s="16"/>
    </row>
    <row r="436" ht="15.75" customHeight="1">
      <c r="C436" s="15"/>
      <c r="D436" s="15"/>
      <c r="N436" s="16"/>
      <c r="O436" s="16"/>
    </row>
    <row r="437" ht="15.75" customHeight="1">
      <c r="C437" s="15"/>
      <c r="D437" s="15"/>
      <c r="N437" s="16"/>
      <c r="O437" s="16"/>
    </row>
    <row r="438" ht="15.75" customHeight="1">
      <c r="C438" s="15"/>
      <c r="D438" s="15"/>
      <c r="N438" s="16"/>
      <c r="O438" s="16"/>
    </row>
    <row r="439" ht="15.75" customHeight="1">
      <c r="C439" s="15"/>
      <c r="D439" s="15"/>
      <c r="N439" s="16"/>
      <c r="O439" s="16"/>
    </row>
    <row r="440" ht="15.75" customHeight="1">
      <c r="C440" s="15"/>
      <c r="D440" s="15"/>
      <c r="N440" s="16"/>
      <c r="O440" s="16"/>
    </row>
    <row r="441" ht="15.75" customHeight="1">
      <c r="C441" s="15"/>
      <c r="D441" s="15"/>
      <c r="N441" s="16"/>
      <c r="O441" s="16"/>
    </row>
    <row r="442" ht="15.75" customHeight="1">
      <c r="C442" s="15"/>
      <c r="D442" s="15"/>
      <c r="N442" s="16"/>
      <c r="O442" s="16"/>
    </row>
    <row r="443" ht="15.75" customHeight="1">
      <c r="C443" s="15"/>
      <c r="D443" s="15"/>
      <c r="N443" s="16"/>
      <c r="O443" s="16"/>
    </row>
    <row r="444" ht="15.75" customHeight="1">
      <c r="C444" s="15"/>
      <c r="D444" s="15"/>
      <c r="N444" s="16"/>
      <c r="O444" s="16"/>
    </row>
    <row r="445" ht="15.75" customHeight="1">
      <c r="C445" s="15"/>
      <c r="D445" s="15"/>
      <c r="N445" s="16"/>
      <c r="O445" s="16"/>
    </row>
    <row r="446" ht="15.75" customHeight="1">
      <c r="C446" s="15"/>
      <c r="D446" s="15"/>
      <c r="N446" s="16"/>
      <c r="O446" s="16"/>
    </row>
    <row r="447" ht="15.75" customHeight="1">
      <c r="C447" s="15"/>
      <c r="D447" s="15"/>
      <c r="N447" s="16"/>
      <c r="O447" s="16"/>
    </row>
    <row r="448" ht="15.75" customHeight="1">
      <c r="C448" s="15"/>
      <c r="D448" s="15"/>
      <c r="N448" s="16"/>
      <c r="O448" s="16"/>
    </row>
    <row r="449" ht="15.75" customHeight="1">
      <c r="C449" s="15"/>
      <c r="D449" s="15"/>
      <c r="N449" s="16"/>
      <c r="O449" s="16"/>
    </row>
    <row r="450" ht="15.75" customHeight="1">
      <c r="C450" s="15"/>
      <c r="D450" s="15"/>
      <c r="N450" s="16"/>
      <c r="O450" s="16"/>
    </row>
    <row r="451" ht="15.75" customHeight="1">
      <c r="C451" s="15"/>
      <c r="D451" s="15"/>
      <c r="N451" s="16"/>
      <c r="O451" s="16"/>
    </row>
    <row r="452" ht="15.75" customHeight="1">
      <c r="C452" s="15"/>
      <c r="D452" s="15"/>
      <c r="N452" s="16"/>
      <c r="O452" s="16"/>
    </row>
    <row r="453" ht="15.75" customHeight="1">
      <c r="C453" s="15"/>
      <c r="D453" s="15"/>
      <c r="N453" s="16"/>
      <c r="O453" s="16"/>
    </row>
    <row r="454" ht="15.75" customHeight="1">
      <c r="C454" s="15"/>
      <c r="D454" s="15"/>
      <c r="N454" s="16"/>
      <c r="O454" s="16"/>
    </row>
    <row r="455" ht="15.75" customHeight="1">
      <c r="C455" s="15"/>
      <c r="D455" s="15"/>
      <c r="N455" s="16"/>
      <c r="O455" s="16"/>
    </row>
    <row r="456" ht="15.75" customHeight="1">
      <c r="C456" s="15"/>
      <c r="D456" s="15"/>
      <c r="N456" s="16"/>
      <c r="O456" s="16"/>
    </row>
    <row r="457" ht="15.75" customHeight="1">
      <c r="C457" s="15"/>
      <c r="D457" s="15"/>
      <c r="N457" s="16"/>
      <c r="O457" s="16"/>
    </row>
    <row r="458" ht="15.75" customHeight="1">
      <c r="C458" s="15"/>
      <c r="D458" s="15"/>
      <c r="N458" s="16"/>
      <c r="O458" s="16"/>
    </row>
    <row r="459" ht="15.75" customHeight="1">
      <c r="C459" s="15"/>
      <c r="D459" s="15"/>
      <c r="N459" s="16"/>
      <c r="O459" s="16"/>
    </row>
    <row r="460" ht="15.75" customHeight="1">
      <c r="C460" s="15"/>
      <c r="D460" s="15"/>
      <c r="N460" s="16"/>
      <c r="O460" s="16"/>
    </row>
    <row r="461" ht="15.75" customHeight="1">
      <c r="C461" s="15"/>
      <c r="D461" s="15"/>
      <c r="N461" s="16"/>
      <c r="O461" s="16"/>
    </row>
    <row r="462" ht="15.75" customHeight="1">
      <c r="C462" s="15"/>
      <c r="D462" s="15"/>
      <c r="N462" s="16"/>
      <c r="O462" s="16"/>
    </row>
    <row r="463" ht="15.75" customHeight="1">
      <c r="C463" s="15"/>
      <c r="D463" s="15"/>
      <c r="N463" s="16"/>
      <c r="O463" s="16"/>
    </row>
    <row r="464" ht="15.75" customHeight="1">
      <c r="C464" s="15"/>
      <c r="D464" s="15"/>
      <c r="N464" s="16"/>
      <c r="O464" s="16"/>
    </row>
    <row r="465" ht="15.75" customHeight="1">
      <c r="C465" s="15"/>
      <c r="D465" s="15"/>
      <c r="N465" s="16"/>
      <c r="O465" s="16"/>
    </row>
    <row r="466" ht="15.75" customHeight="1">
      <c r="C466" s="15"/>
      <c r="D466" s="15"/>
      <c r="N466" s="16"/>
      <c r="O466" s="16"/>
    </row>
    <row r="467" ht="15.75" customHeight="1">
      <c r="C467" s="15"/>
      <c r="D467" s="15"/>
      <c r="N467" s="16"/>
      <c r="O467" s="16"/>
    </row>
    <row r="468" ht="15.75" customHeight="1">
      <c r="C468" s="15"/>
      <c r="D468" s="15"/>
      <c r="N468" s="16"/>
      <c r="O468" s="16"/>
    </row>
    <row r="469" ht="15.75" customHeight="1">
      <c r="C469" s="15"/>
      <c r="D469" s="15"/>
      <c r="N469" s="16"/>
      <c r="O469" s="16"/>
    </row>
    <row r="470" ht="15.75" customHeight="1">
      <c r="C470" s="15"/>
      <c r="D470" s="15"/>
      <c r="N470" s="16"/>
      <c r="O470" s="16"/>
    </row>
    <row r="471" ht="15.75" customHeight="1">
      <c r="C471" s="15"/>
      <c r="D471" s="15"/>
      <c r="N471" s="16"/>
      <c r="O471" s="16"/>
    </row>
    <row r="472" ht="15.75" customHeight="1">
      <c r="C472" s="15"/>
      <c r="D472" s="15"/>
      <c r="N472" s="16"/>
      <c r="O472" s="16"/>
    </row>
    <row r="473" ht="15.75" customHeight="1">
      <c r="C473" s="15"/>
      <c r="D473" s="15"/>
      <c r="N473" s="16"/>
      <c r="O473" s="16"/>
    </row>
    <row r="474" ht="15.75" customHeight="1">
      <c r="C474" s="15"/>
      <c r="D474" s="15"/>
      <c r="N474" s="16"/>
      <c r="O474" s="16"/>
    </row>
    <row r="475" ht="15.75" customHeight="1">
      <c r="C475" s="15"/>
      <c r="D475" s="15"/>
      <c r="N475" s="16"/>
      <c r="O475" s="16"/>
    </row>
    <row r="476" ht="15.75" customHeight="1">
      <c r="C476" s="15"/>
      <c r="D476" s="15"/>
      <c r="N476" s="16"/>
      <c r="O476" s="16"/>
    </row>
    <row r="477" ht="15.75" customHeight="1">
      <c r="C477" s="15"/>
      <c r="D477" s="15"/>
      <c r="N477" s="16"/>
      <c r="O477" s="16"/>
    </row>
    <row r="478" ht="15.75" customHeight="1">
      <c r="C478" s="15"/>
      <c r="D478" s="15"/>
      <c r="N478" s="16"/>
      <c r="O478" s="16"/>
    </row>
    <row r="479" ht="15.75" customHeight="1">
      <c r="C479" s="15"/>
      <c r="D479" s="15"/>
      <c r="N479" s="16"/>
      <c r="O479" s="16"/>
    </row>
    <row r="480" ht="15.75" customHeight="1">
      <c r="C480" s="15"/>
      <c r="D480" s="15"/>
      <c r="N480" s="16"/>
      <c r="O480" s="16"/>
    </row>
    <row r="481" ht="15.75" customHeight="1">
      <c r="C481" s="15"/>
      <c r="D481" s="15"/>
      <c r="N481" s="16"/>
      <c r="O481" s="16"/>
    </row>
    <row r="482" ht="15.75" customHeight="1">
      <c r="C482" s="15"/>
      <c r="D482" s="15"/>
      <c r="N482" s="16"/>
      <c r="O482" s="16"/>
    </row>
    <row r="483" ht="15.75" customHeight="1">
      <c r="C483" s="15"/>
      <c r="D483" s="15"/>
      <c r="N483" s="16"/>
      <c r="O483" s="16"/>
    </row>
    <row r="484" ht="15.75" customHeight="1">
      <c r="C484" s="15"/>
      <c r="D484" s="15"/>
      <c r="N484" s="16"/>
      <c r="O484" s="16"/>
    </row>
    <row r="485" ht="15.75" customHeight="1">
      <c r="C485" s="15"/>
      <c r="D485" s="15"/>
      <c r="N485" s="16"/>
      <c r="O485" s="16"/>
    </row>
    <row r="486" ht="15.75" customHeight="1">
      <c r="C486" s="15"/>
      <c r="D486" s="15"/>
      <c r="N486" s="16"/>
      <c r="O486" s="16"/>
    </row>
    <row r="487" ht="15.75" customHeight="1">
      <c r="C487" s="15"/>
      <c r="D487" s="15"/>
      <c r="N487" s="16"/>
      <c r="O487" s="16"/>
    </row>
    <row r="488" ht="15.75" customHeight="1">
      <c r="C488" s="15"/>
      <c r="D488" s="15"/>
      <c r="N488" s="16"/>
      <c r="O488" s="16"/>
    </row>
    <row r="489" ht="15.75" customHeight="1">
      <c r="C489" s="15"/>
      <c r="D489" s="15"/>
      <c r="N489" s="16"/>
      <c r="O489" s="16"/>
    </row>
    <row r="490" ht="15.75" customHeight="1">
      <c r="C490" s="15"/>
      <c r="D490" s="15"/>
      <c r="N490" s="16"/>
      <c r="O490" s="16"/>
    </row>
    <row r="491" ht="15.75" customHeight="1">
      <c r="C491" s="15"/>
      <c r="D491" s="15"/>
      <c r="N491" s="16"/>
      <c r="O491" s="16"/>
    </row>
    <row r="492" ht="15.75" customHeight="1">
      <c r="C492" s="15"/>
      <c r="D492" s="15"/>
      <c r="N492" s="16"/>
      <c r="O492" s="16"/>
    </row>
    <row r="493" ht="15.75" customHeight="1">
      <c r="C493" s="15"/>
      <c r="D493" s="15"/>
      <c r="N493" s="16"/>
      <c r="O493" s="16"/>
    </row>
    <row r="494" ht="15.75" customHeight="1">
      <c r="C494" s="15"/>
      <c r="D494" s="15"/>
      <c r="N494" s="16"/>
      <c r="O494" s="16"/>
    </row>
    <row r="495" ht="15.75" customHeight="1">
      <c r="C495" s="15"/>
      <c r="D495" s="15"/>
      <c r="N495" s="16"/>
      <c r="O495" s="16"/>
    </row>
    <row r="496" ht="15.75" customHeight="1">
      <c r="C496" s="15"/>
      <c r="D496" s="15"/>
      <c r="N496" s="16"/>
      <c r="O496" s="16"/>
    </row>
    <row r="497" ht="15.75" customHeight="1">
      <c r="C497" s="15"/>
      <c r="D497" s="15"/>
      <c r="N497" s="16"/>
      <c r="O497" s="16"/>
    </row>
    <row r="498" ht="15.75" customHeight="1">
      <c r="C498" s="15"/>
      <c r="D498" s="15"/>
      <c r="N498" s="16"/>
      <c r="O498" s="16"/>
    </row>
    <row r="499" ht="15.75" customHeight="1">
      <c r="C499" s="15"/>
      <c r="D499" s="15"/>
      <c r="N499" s="16"/>
      <c r="O499" s="16"/>
    </row>
    <row r="500" ht="15.75" customHeight="1">
      <c r="C500" s="15"/>
      <c r="D500" s="15"/>
      <c r="N500" s="16"/>
      <c r="O500" s="16"/>
    </row>
    <row r="501" ht="15.75" customHeight="1">
      <c r="C501" s="15"/>
      <c r="D501" s="15"/>
      <c r="N501" s="16"/>
      <c r="O501" s="16"/>
    </row>
    <row r="502" ht="15.75" customHeight="1">
      <c r="C502" s="15"/>
      <c r="D502" s="15"/>
      <c r="N502" s="16"/>
      <c r="O502" s="16"/>
    </row>
    <row r="503" ht="15.75" customHeight="1">
      <c r="C503" s="15"/>
      <c r="D503" s="15"/>
      <c r="N503" s="16"/>
      <c r="O503" s="16"/>
    </row>
    <row r="504" ht="15.75" customHeight="1">
      <c r="C504" s="15"/>
      <c r="D504" s="15"/>
      <c r="N504" s="16"/>
      <c r="O504" s="16"/>
    </row>
    <row r="505" ht="15.75" customHeight="1">
      <c r="C505" s="15"/>
      <c r="D505" s="15"/>
      <c r="N505" s="16"/>
      <c r="O505" s="16"/>
    </row>
    <row r="506" ht="15.75" customHeight="1">
      <c r="C506" s="15"/>
      <c r="D506" s="15"/>
      <c r="N506" s="16"/>
      <c r="O506" s="16"/>
    </row>
    <row r="507" ht="15.75" customHeight="1">
      <c r="C507" s="15"/>
      <c r="D507" s="15"/>
      <c r="N507" s="16"/>
      <c r="O507" s="16"/>
    </row>
    <row r="508" ht="15.75" customHeight="1">
      <c r="C508" s="15"/>
      <c r="D508" s="15"/>
      <c r="N508" s="16"/>
      <c r="O508" s="16"/>
    </row>
    <row r="509" ht="15.75" customHeight="1">
      <c r="C509" s="15"/>
      <c r="D509" s="15"/>
      <c r="N509" s="16"/>
      <c r="O509" s="16"/>
    </row>
    <row r="510" ht="15.75" customHeight="1">
      <c r="C510" s="15"/>
      <c r="D510" s="15"/>
      <c r="N510" s="16"/>
      <c r="O510" s="16"/>
    </row>
    <row r="511" ht="15.75" customHeight="1">
      <c r="C511" s="15"/>
      <c r="D511" s="15"/>
      <c r="N511" s="16"/>
      <c r="O511" s="16"/>
    </row>
    <row r="512" ht="15.75" customHeight="1">
      <c r="C512" s="15"/>
      <c r="D512" s="15"/>
      <c r="N512" s="16"/>
      <c r="O512" s="16"/>
    </row>
    <row r="513" ht="15.75" customHeight="1">
      <c r="C513" s="15"/>
      <c r="D513" s="15"/>
      <c r="N513" s="16"/>
      <c r="O513" s="16"/>
    </row>
    <row r="514" ht="15.75" customHeight="1">
      <c r="C514" s="15"/>
      <c r="D514" s="15"/>
      <c r="N514" s="16"/>
      <c r="O514" s="16"/>
    </row>
    <row r="515" ht="15.75" customHeight="1">
      <c r="C515" s="15"/>
      <c r="D515" s="15"/>
      <c r="N515" s="16"/>
      <c r="O515" s="16"/>
    </row>
    <row r="516" ht="15.75" customHeight="1">
      <c r="C516" s="15"/>
      <c r="D516" s="15"/>
      <c r="N516" s="16"/>
      <c r="O516" s="16"/>
    </row>
    <row r="517" ht="15.75" customHeight="1">
      <c r="C517" s="15"/>
      <c r="D517" s="15"/>
      <c r="N517" s="16"/>
      <c r="O517" s="16"/>
    </row>
    <row r="518" ht="15.75" customHeight="1">
      <c r="C518" s="15"/>
      <c r="D518" s="15"/>
      <c r="N518" s="16"/>
      <c r="O518" s="16"/>
    </row>
    <row r="519" ht="15.75" customHeight="1">
      <c r="C519" s="15"/>
      <c r="D519" s="15"/>
      <c r="N519" s="16"/>
      <c r="O519" s="16"/>
    </row>
    <row r="520" ht="15.75" customHeight="1">
      <c r="C520" s="15"/>
      <c r="D520" s="15"/>
      <c r="N520" s="16"/>
      <c r="O520" s="16"/>
    </row>
    <row r="521" ht="15.75" customHeight="1">
      <c r="C521" s="15"/>
      <c r="D521" s="15"/>
      <c r="N521" s="16"/>
      <c r="O521" s="16"/>
    </row>
    <row r="522" ht="15.75" customHeight="1">
      <c r="C522" s="15"/>
      <c r="D522" s="15"/>
      <c r="N522" s="16"/>
      <c r="O522" s="16"/>
    </row>
    <row r="523" ht="15.75" customHeight="1">
      <c r="C523" s="15"/>
      <c r="D523" s="15"/>
      <c r="N523" s="16"/>
      <c r="O523" s="16"/>
    </row>
    <row r="524" ht="15.75" customHeight="1">
      <c r="C524" s="15"/>
      <c r="D524" s="15"/>
      <c r="N524" s="16"/>
      <c r="O524" s="16"/>
    </row>
    <row r="525" ht="15.75" customHeight="1">
      <c r="C525" s="15"/>
      <c r="D525" s="15"/>
      <c r="N525" s="16"/>
      <c r="O525" s="16"/>
    </row>
    <row r="526" ht="15.75" customHeight="1">
      <c r="C526" s="15"/>
      <c r="D526" s="15"/>
      <c r="N526" s="16"/>
      <c r="O526" s="16"/>
    </row>
    <row r="527" ht="15.75" customHeight="1">
      <c r="C527" s="15"/>
      <c r="D527" s="15"/>
      <c r="N527" s="16"/>
      <c r="O527" s="16"/>
    </row>
    <row r="528" ht="15.75" customHeight="1">
      <c r="C528" s="15"/>
      <c r="D528" s="15"/>
      <c r="N528" s="16"/>
      <c r="O528" s="16"/>
    </row>
    <row r="529" ht="15.75" customHeight="1">
      <c r="C529" s="15"/>
      <c r="D529" s="15"/>
      <c r="N529" s="16"/>
      <c r="O529" s="16"/>
    </row>
    <row r="530" ht="15.75" customHeight="1">
      <c r="C530" s="15"/>
      <c r="D530" s="15"/>
      <c r="N530" s="16"/>
      <c r="O530" s="16"/>
    </row>
    <row r="531" ht="15.75" customHeight="1">
      <c r="C531" s="15"/>
      <c r="D531" s="15"/>
      <c r="N531" s="16"/>
      <c r="O531" s="16"/>
    </row>
    <row r="532" ht="15.75" customHeight="1">
      <c r="C532" s="15"/>
      <c r="D532" s="15"/>
      <c r="N532" s="16"/>
      <c r="O532" s="16"/>
    </row>
    <row r="533" ht="15.75" customHeight="1">
      <c r="C533" s="15"/>
      <c r="D533" s="15"/>
      <c r="N533" s="16"/>
      <c r="O533" s="16"/>
    </row>
    <row r="534" ht="15.75" customHeight="1">
      <c r="C534" s="15"/>
      <c r="D534" s="15"/>
      <c r="N534" s="16"/>
      <c r="O534" s="16"/>
    </row>
    <row r="535" ht="15.75" customHeight="1">
      <c r="C535" s="15"/>
      <c r="D535" s="15"/>
      <c r="N535" s="16"/>
      <c r="O535" s="16"/>
    </row>
    <row r="536" ht="15.75" customHeight="1">
      <c r="C536" s="15"/>
      <c r="D536" s="15"/>
      <c r="N536" s="16"/>
      <c r="O536" s="16"/>
    </row>
    <row r="537" ht="15.75" customHeight="1">
      <c r="C537" s="15"/>
      <c r="D537" s="15"/>
      <c r="N537" s="16"/>
      <c r="O537" s="16"/>
    </row>
    <row r="538" ht="15.75" customHeight="1">
      <c r="C538" s="15"/>
      <c r="D538" s="15"/>
      <c r="N538" s="16"/>
      <c r="O538" s="16"/>
    </row>
    <row r="539" ht="15.75" customHeight="1">
      <c r="C539" s="15"/>
      <c r="D539" s="15"/>
      <c r="N539" s="16"/>
      <c r="O539" s="16"/>
    </row>
    <row r="540" ht="15.75" customHeight="1">
      <c r="C540" s="15"/>
      <c r="D540" s="15"/>
      <c r="N540" s="16"/>
      <c r="O540" s="16"/>
    </row>
    <row r="541" ht="15.75" customHeight="1">
      <c r="C541" s="15"/>
      <c r="D541" s="15"/>
      <c r="N541" s="16"/>
      <c r="O541" s="16"/>
    </row>
    <row r="542" ht="15.75" customHeight="1">
      <c r="C542" s="15"/>
      <c r="D542" s="15"/>
      <c r="N542" s="16"/>
      <c r="O542" s="16"/>
    </row>
    <row r="543" ht="15.75" customHeight="1">
      <c r="C543" s="15"/>
      <c r="D543" s="15"/>
      <c r="N543" s="16"/>
      <c r="O543" s="16"/>
    </row>
    <row r="544" ht="15.75" customHeight="1">
      <c r="C544" s="15"/>
      <c r="D544" s="15"/>
      <c r="N544" s="16"/>
      <c r="O544" s="16"/>
    </row>
    <row r="545" ht="15.75" customHeight="1">
      <c r="C545" s="15"/>
      <c r="D545" s="15"/>
      <c r="N545" s="16"/>
      <c r="O545" s="16"/>
    </row>
    <row r="546" ht="15.75" customHeight="1">
      <c r="C546" s="15"/>
      <c r="D546" s="15"/>
      <c r="N546" s="16"/>
      <c r="O546" s="16"/>
    </row>
    <row r="547" ht="15.75" customHeight="1">
      <c r="C547" s="15"/>
      <c r="D547" s="15"/>
      <c r="N547" s="16"/>
      <c r="O547" s="16"/>
    </row>
    <row r="548" ht="15.75" customHeight="1">
      <c r="C548" s="15"/>
      <c r="D548" s="15"/>
      <c r="N548" s="16"/>
      <c r="O548" s="16"/>
    </row>
    <row r="549" ht="15.75" customHeight="1">
      <c r="C549" s="15"/>
      <c r="D549" s="15"/>
      <c r="N549" s="16"/>
      <c r="O549" s="16"/>
    </row>
    <row r="550" ht="15.75" customHeight="1">
      <c r="C550" s="15"/>
      <c r="D550" s="15"/>
      <c r="N550" s="16"/>
      <c r="O550" s="16"/>
    </row>
    <row r="551" ht="15.75" customHeight="1">
      <c r="C551" s="15"/>
      <c r="D551" s="15"/>
      <c r="N551" s="16"/>
      <c r="O551" s="16"/>
    </row>
    <row r="552" ht="15.75" customHeight="1">
      <c r="C552" s="15"/>
      <c r="D552" s="15"/>
      <c r="N552" s="16"/>
      <c r="O552" s="16"/>
    </row>
    <row r="553" ht="15.75" customHeight="1">
      <c r="C553" s="15"/>
      <c r="D553" s="15"/>
      <c r="N553" s="16"/>
      <c r="O553" s="16"/>
    </row>
    <row r="554" ht="15.75" customHeight="1">
      <c r="C554" s="15"/>
      <c r="D554" s="15"/>
      <c r="N554" s="16"/>
      <c r="O554" s="16"/>
    </row>
    <row r="555" ht="15.75" customHeight="1">
      <c r="C555" s="15"/>
      <c r="D555" s="15"/>
      <c r="N555" s="16"/>
      <c r="O555" s="16"/>
    </row>
    <row r="556" ht="15.75" customHeight="1">
      <c r="C556" s="15"/>
      <c r="D556" s="15"/>
      <c r="N556" s="16"/>
      <c r="O556" s="16"/>
    </row>
    <row r="557" ht="15.75" customHeight="1">
      <c r="C557" s="15"/>
      <c r="D557" s="15"/>
      <c r="N557" s="16"/>
      <c r="O557" s="16"/>
    </row>
    <row r="558" ht="15.75" customHeight="1">
      <c r="C558" s="15"/>
      <c r="D558" s="15"/>
      <c r="N558" s="16"/>
      <c r="O558" s="16"/>
    </row>
    <row r="559" ht="15.75" customHeight="1">
      <c r="C559" s="15"/>
      <c r="D559" s="15"/>
      <c r="N559" s="16"/>
      <c r="O559" s="16"/>
    </row>
    <row r="560" ht="15.75" customHeight="1">
      <c r="C560" s="15"/>
      <c r="D560" s="15"/>
      <c r="N560" s="16"/>
      <c r="O560" s="16"/>
    </row>
    <row r="561" ht="15.75" customHeight="1">
      <c r="C561" s="15"/>
      <c r="D561" s="15"/>
      <c r="N561" s="16"/>
      <c r="O561" s="16"/>
    </row>
    <row r="562" ht="15.75" customHeight="1">
      <c r="C562" s="15"/>
      <c r="D562" s="15"/>
      <c r="N562" s="16"/>
      <c r="O562" s="16"/>
    </row>
    <row r="563" ht="15.75" customHeight="1">
      <c r="C563" s="15"/>
      <c r="D563" s="15"/>
      <c r="N563" s="16"/>
      <c r="O563" s="16"/>
    </row>
    <row r="564" ht="15.75" customHeight="1">
      <c r="C564" s="15"/>
      <c r="D564" s="15"/>
      <c r="N564" s="16"/>
      <c r="O564" s="16"/>
    </row>
    <row r="565" ht="15.75" customHeight="1">
      <c r="C565" s="15"/>
      <c r="D565" s="15"/>
      <c r="N565" s="16"/>
      <c r="O565" s="16"/>
    </row>
    <row r="566" ht="15.75" customHeight="1">
      <c r="C566" s="15"/>
      <c r="D566" s="15"/>
      <c r="N566" s="16"/>
      <c r="O566" s="16"/>
    </row>
    <row r="567" ht="15.75" customHeight="1">
      <c r="C567" s="15"/>
      <c r="D567" s="15"/>
      <c r="N567" s="16"/>
      <c r="O567" s="16"/>
    </row>
    <row r="568" ht="15.75" customHeight="1">
      <c r="C568" s="15"/>
      <c r="D568" s="15"/>
      <c r="N568" s="16"/>
      <c r="O568" s="16"/>
    </row>
    <row r="569" ht="15.75" customHeight="1">
      <c r="C569" s="15"/>
      <c r="D569" s="15"/>
      <c r="N569" s="16"/>
      <c r="O569" s="16"/>
    </row>
    <row r="570" ht="15.75" customHeight="1">
      <c r="C570" s="15"/>
      <c r="D570" s="15"/>
      <c r="N570" s="16"/>
      <c r="O570" s="16"/>
    </row>
    <row r="571" ht="15.75" customHeight="1">
      <c r="C571" s="15"/>
      <c r="D571" s="15"/>
      <c r="N571" s="16"/>
      <c r="O571" s="16"/>
    </row>
    <row r="572" ht="15.75" customHeight="1">
      <c r="C572" s="15"/>
      <c r="D572" s="15"/>
      <c r="N572" s="16"/>
      <c r="O572" s="16"/>
    </row>
    <row r="573" ht="15.75" customHeight="1">
      <c r="C573" s="15"/>
      <c r="D573" s="15"/>
      <c r="N573" s="16"/>
      <c r="O573" s="16"/>
    </row>
    <row r="574" ht="15.75" customHeight="1">
      <c r="C574" s="15"/>
      <c r="D574" s="15"/>
      <c r="N574" s="16"/>
      <c r="O574" s="16"/>
    </row>
    <row r="575" ht="15.75" customHeight="1">
      <c r="C575" s="15"/>
      <c r="D575" s="15"/>
      <c r="N575" s="16"/>
      <c r="O575" s="16"/>
    </row>
    <row r="576" ht="15.75" customHeight="1">
      <c r="C576" s="15"/>
      <c r="D576" s="15"/>
      <c r="N576" s="16"/>
      <c r="O576" s="16"/>
    </row>
    <row r="577" ht="15.75" customHeight="1">
      <c r="C577" s="15"/>
      <c r="D577" s="15"/>
      <c r="N577" s="16"/>
      <c r="O577" s="16"/>
    </row>
    <row r="578" ht="15.75" customHeight="1">
      <c r="C578" s="15"/>
      <c r="D578" s="15"/>
      <c r="N578" s="16"/>
      <c r="O578" s="16"/>
    </row>
    <row r="579" ht="15.75" customHeight="1">
      <c r="C579" s="15"/>
      <c r="D579" s="15"/>
      <c r="N579" s="16"/>
      <c r="O579" s="16"/>
    </row>
    <row r="580" ht="15.75" customHeight="1">
      <c r="C580" s="15"/>
      <c r="D580" s="15"/>
      <c r="N580" s="16"/>
      <c r="O580" s="16"/>
    </row>
    <row r="581" ht="15.75" customHeight="1">
      <c r="C581" s="15"/>
      <c r="D581" s="15"/>
      <c r="N581" s="16"/>
      <c r="O581" s="16"/>
    </row>
    <row r="582" ht="15.75" customHeight="1">
      <c r="C582" s="15"/>
      <c r="D582" s="15"/>
      <c r="N582" s="16"/>
      <c r="O582" s="16"/>
    </row>
    <row r="583" ht="15.75" customHeight="1">
      <c r="C583" s="15"/>
      <c r="D583" s="15"/>
      <c r="N583" s="16"/>
      <c r="O583" s="16"/>
    </row>
    <row r="584" ht="15.75" customHeight="1">
      <c r="C584" s="15"/>
      <c r="D584" s="15"/>
      <c r="N584" s="16"/>
      <c r="O584" s="16"/>
    </row>
    <row r="585" ht="15.75" customHeight="1">
      <c r="C585" s="15"/>
      <c r="D585" s="15"/>
      <c r="N585" s="16"/>
      <c r="O585" s="16"/>
    </row>
    <row r="586" ht="15.75" customHeight="1">
      <c r="C586" s="15"/>
      <c r="D586" s="15"/>
      <c r="N586" s="16"/>
      <c r="O586" s="16"/>
    </row>
    <row r="587" ht="15.75" customHeight="1">
      <c r="C587" s="15"/>
      <c r="D587" s="15"/>
      <c r="N587" s="16"/>
      <c r="O587" s="16"/>
    </row>
    <row r="588" ht="15.75" customHeight="1">
      <c r="C588" s="15"/>
      <c r="D588" s="15"/>
      <c r="N588" s="16"/>
      <c r="O588" s="16"/>
    </row>
    <row r="589" ht="15.75" customHeight="1">
      <c r="C589" s="15"/>
      <c r="D589" s="15"/>
      <c r="N589" s="16"/>
      <c r="O589" s="16"/>
    </row>
    <row r="590" ht="15.75" customHeight="1">
      <c r="C590" s="15"/>
      <c r="D590" s="15"/>
      <c r="N590" s="16"/>
      <c r="O590" s="16"/>
    </row>
    <row r="591" ht="15.75" customHeight="1">
      <c r="C591" s="15"/>
      <c r="D591" s="15"/>
      <c r="N591" s="16"/>
      <c r="O591" s="16"/>
    </row>
    <row r="592" ht="15.75" customHeight="1">
      <c r="C592" s="15"/>
      <c r="D592" s="15"/>
      <c r="N592" s="16"/>
      <c r="O592" s="16"/>
    </row>
    <row r="593" ht="15.75" customHeight="1">
      <c r="C593" s="15"/>
      <c r="D593" s="15"/>
      <c r="N593" s="16"/>
      <c r="O593" s="16"/>
    </row>
    <row r="594" ht="15.75" customHeight="1">
      <c r="C594" s="15"/>
      <c r="D594" s="15"/>
      <c r="N594" s="16"/>
      <c r="O594" s="16"/>
    </row>
    <row r="595" ht="15.75" customHeight="1">
      <c r="C595" s="15"/>
      <c r="D595" s="15"/>
      <c r="N595" s="16"/>
      <c r="O595" s="16"/>
    </row>
    <row r="596" ht="15.75" customHeight="1">
      <c r="C596" s="15"/>
      <c r="D596" s="15"/>
      <c r="N596" s="16"/>
      <c r="O596" s="16"/>
    </row>
    <row r="597" ht="15.75" customHeight="1">
      <c r="C597" s="15"/>
      <c r="D597" s="15"/>
      <c r="N597" s="16"/>
      <c r="O597" s="16"/>
    </row>
    <row r="598" ht="15.75" customHeight="1">
      <c r="C598" s="15"/>
      <c r="D598" s="15"/>
      <c r="N598" s="16"/>
      <c r="O598" s="16"/>
    </row>
    <row r="599" ht="15.75" customHeight="1">
      <c r="C599" s="15"/>
      <c r="D599" s="15"/>
      <c r="N599" s="16"/>
      <c r="O599" s="16"/>
    </row>
    <row r="600" ht="15.75" customHeight="1">
      <c r="C600" s="15"/>
      <c r="D600" s="15"/>
      <c r="N600" s="16"/>
      <c r="O600" s="16"/>
    </row>
    <row r="601" ht="15.75" customHeight="1">
      <c r="C601" s="15"/>
      <c r="D601" s="15"/>
      <c r="N601" s="16"/>
      <c r="O601" s="16"/>
    </row>
    <row r="602" ht="15.75" customHeight="1">
      <c r="C602" s="15"/>
      <c r="D602" s="15"/>
      <c r="N602" s="16"/>
      <c r="O602" s="16"/>
    </row>
    <row r="603" ht="15.75" customHeight="1">
      <c r="C603" s="15"/>
      <c r="D603" s="15"/>
      <c r="N603" s="16"/>
      <c r="O603" s="16"/>
    </row>
    <row r="604" ht="15.75" customHeight="1">
      <c r="C604" s="15"/>
      <c r="D604" s="15"/>
      <c r="N604" s="16"/>
      <c r="O604" s="16"/>
    </row>
    <row r="605" ht="15.75" customHeight="1">
      <c r="C605" s="15"/>
      <c r="D605" s="15"/>
      <c r="N605" s="16"/>
      <c r="O605" s="16"/>
    </row>
    <row r="606" ht="15.75" customHeight="1">
      <c r="C606" s="15"/>
      <c r="D606" s="15"/>
      <c r="N606" s="16"/>
      <c r="O606" s="16"/>
    </row>
    <row r="607" ht="15.75" customHeight="1">
      <c r="C607" s="15"/>
      <c r="D607" s="15"/>
      <c r="N607" s="16"/>
      <c r="O607" s="16"/>
    </row>
    <row r="608" ht="15.75" customHeight="1">
      <c r="C608" s="15"/>
      <c r="D608" s="15"/>
      <c r="N608" s="16"/>
      <c r="O608" s="16"/>
    </row>
    <row r="609" ht="15.75" customHeight="1">
      <c r="C609" s="15"/>
      <c r="D609" s="15"/>
      <c r="N609" s="16"/>
      <c r="O609" s="16"/>
    </row>
    <row r="610" ht="15.75" customHeight="1">
      <c r="C610" s="15"/>
      <c r="D610" s="15"/>
      <c r="N610" s="16"/>
      <c r="O610" s="16"/>
    </row>
    <row r="611" ht="15.75" customHeight="1">
      <c r="C611" s="15"/>
      <c r="D611" s="15"/>
      <c r="N611" s="16"/>
      <c r="O611" s="16"/>
    </row>
    <row r="612" ht="15.75" customHeight="1">
      <c r="C612" s="15"/>
      <c r="D612" s="15"/>
      <c r="N612" s="16"/>
      <c r="O612" s="16"/>
    </row>
    <row r="613" ht="15.75" customHeight="1">
      <c r="C613" s="15"/>
      <c r="D613" s="15"/>
      <c r="N613" s="16"/>
      <c r="O613" s="16"/>
    </row>
    <row r="614" ht="15.75" customHeight="1">
      <c r="C614" s="15"/>
      <c r="D614" s="15"/>
      <c r="N614" s="16"/>
      <c r="O614" s="16"/>
    </row>
    <row r="615" ht="15.75" customHeight="1">
      <c r="C615" s="15"/>
      <c r="D615" s="15"/>
      <c r="N615" s="16"/>
      <c r="O615" s="16"/>
    </row>
    <row r="616" ht="15.75" customHeight="1">
      <c r="C616" s="15"/>
      <c r="D616" s="15"/>
      <c r="N616" s="16"/>
      <c r="O616" s="16"/>
    </row>
    <row r="617" ht="15.75" customHeight="1">
      <c r="C617" s="15"/>
      <c r="D617" s="15"/>
      <c r="N617" s="16"/>
      <c r="O617" s="16"/>
    </row>
    <row r="618" ht="15.75" customHeight="1">
      <c r="C618" s="15"/>
      <c r="D618" s="15"/>
      <c r="N618" s="16"/>
      <c r="O618" s="16"/>
    </row>
    <row r="619" ht="15.75" customHeight="1">
      <c r="C619" s="15"/>
      <c r="D619" s="15"/>
      <c r="N619" s="16"/>
      <c r="O619" s="16"/>
    </row>
    <row r="620" ht="15.75" customHeight="1">
      <c r="C620" s="15"/>
      <c r="D620" s="15"/>
      <c r="N620" s="16"/>
      <c r="O620" s="16"/>
    </row>
    <row r="621" ht="15.75" customHeight="1">
      <c r="C621" s="15"/>
      <c r="D621" s="15"/>
      <c r="N621" s="16"/>
      <c r="O621" s="16"/>
    </row>
    <row r="622" ht="15.75" customHeight="1">
      <c r="C622" s="15"/>
      <c r="D622" s="15"/>
      <c r="N622" s="16"/>
      <c r="O622" s="16"/>
    </row>
    <row r="623" ht="15.75" customHeight="1">
      <c r="C623" s="15"/>
      <c r="D623" s="15"/>
      <c r="N623" s="16"/>
      <c r="O623" s="16"/>
    </row>
    <row r="624" ht="15.75" customHeight="1">
      <c r="C624" s="15"/>
      <c r="D624" s="15"/>
      <c r="N624" s="16"/>
      <c r="O624" s="16"/>
    </row>
    <row r="625" ht="15.75" customHeight="1">
      <c r="C625" s="15"/>
      <c r="D625" s="15"/>
      <c r="N625" s="16"/>
      <c r="O625" s="16"/>
    </row>
    <row r="626" ht="15.75" customHeight="1">
      <c r="C626" s="15"/>
      <c r="D626" s="15"/>
      <c r="N626" s="16"/>
      <c r="O626" s="16"/>
    </row>
    <row r="627" ht="15.75" customHeight="1">
      <c r="C627" s="15"/>
      <c r="D627" s="15"/>
      <c r="N627" s="16"/>
      <c r="O627" s="16"/>
    </row>
    <row r="628" ht="15.75" customHeight="1">
      <c r="C628" s="15"/>
      <c r="D628" s="15"/>
      <c r="N628" s="16"/>
      <c r="O628" s="16"/>
    </row>
    <row r="629" ht="15.75" customHeight="1">
      <c r="C629" s="15"/>
      <c r="D629" s="15"/>
      <c r="N629" s="16"/>
      <c r="O629" s="16"/>
    </row>
    <row r="630" ht="15.75" customHeight="1">
      <c r="C630" s="15"/>
      <c r="D630" s="15"/>
      <c r="N630" s="16"/>
      <c r="O630" s="16"/>
    </row>
    <row r="631" ht="15.75" customHeight="1">
      <c r="C631" s="15"/>
      <c r="D631" s="15"/>
      <c r="N631" s="16"/>
      <c r="O631" s="16"/>
    </row>
    <row r="632" ht="15.75" customHeight="1">
      <c r="C632" s="15"/>
      <c r="D632" s="15"/>
      <c r="N632" s="16"/>
      <c r="O632" s="16"/>
    </row>
    <row r="633" ht="15.75" customHeight="1">
      <c r="C633" s="15"/>
      <c r="D633" s="15"/>
      <c r="N633" s="16"/>
      <c r="O633" s="16"/>
    </row>
    <row r="634" ht="15.75" customHeight="1">
      <c r="C634" s="15"/>
      <c r="D634" s="15"/>
      <c r="N634" s="16"/>
      <c r="O634" s="16"/>
    </row>
    <row r="635" ht="15.75" customHeight="1">
      <c r="C635" s="15"/>
      <c r="D635" s="15"/>
      <c r="N635" s="16"/>
      <c r="O635" s="16"/>
    </row>
    <row r="636" ht="15.75" customHeight="1">
      <c r="C636" s="15"/>
      <c r="D636" s="15"/>
      <c r="N636" s="16"/>
      <c r="O636" s="16"/>
    </row>
    <row r="637" ht="15.75" customHeight="1">
      <c r="C637" s="15"/>
      <c r="D637" s="15"/>
      <c r="N637" s="16"/>
      <c r="O637" s="16"/>
    </row>
    <row r="638" ht="15.75" customHeight="1">
      <c r="C638" s="15"/>
      <c r="D638" s="15"/>
      <c r="N638" s="16"/>
      <c r="O638" s="16"/>
    </row>
    <row r="639" ht="15.75" customHeight="1">
      <c r="C639" s="15"/>
      <c r="D639" s="15"/>
      <c r="N639" s="16"/>
      <c r="O639" s="16"/>
    </row>
    <row r="640" ht="15.75" customHeight="1">
      <c r="C640" s="15"/>
      <c r="D640" s="15"/>
      <c r="N640" s="16"/>
      <c r="O640" s="16"/>
    </row>
    <row r="641" ht="15.75" customHeight="1">
      <c r="C641" s="15"/>
      <c r="D641" s="15"/>
      <c r="N641" s="16"/>
      <c r="O641" s="16"/>
    </row>
    <row r="642" ht="15.75" customHeight="1">
      <c r="C642" s="15"/>
      <c r="D642" s="15"/>
      <c r="N642" s="16"/>
      <c r="O642" s="16"/>
    </row>
    <row r="643" ht="15.75" customHeight="1">
      <c r="C643" s="15"/>
      <c r="D643" s="15"/>
      <c r="N643" s="16"/>
      <c r="O643" s="16"/>
    </row>
    <row r="644" ht="15.75" customHeight="1">
      <c r="C644" s="15"/>
      <c r="D644" s="15"/>
      <c r="N644" s="16"/>
      <c r="O644" s="16"/>
    </row>
    <row r="645" ht="15.75" customHeight="1">
      <c r="C645" s="15"/>
      <c r="D645" s="15"/>
      <c r="N645" s="16"/>
      <c r="O645" s="16"/>
    </row>
    <row r="646" ht="15.75" customHeight="1">
      <c r="C646" s="15"/>
      <c r="D646" s="15"/>
      <c r="N646" s="16"/>
      <c r="O646" s="16"/>
    </row>
    <row r="647" ht="15.75" customHeight="1">
      <c r="C647" s="15"/>
      <c r="D647" s="15"/>
      <c r="N647" s="16"/>
      <c r="O647" s="16"/>
    </row>
    <row r="648" ht="15.75" customHeight="1">
      <c r="C648" s="15"/>
      <c r="D648" s="15"/>
      <c r="N648" s="16"/>
      <c r="O648" s="16"/>
    </row>
    <row r="649" ht="15.75" customHeight="1">
      <c r="C649" s="15"/>
      <c r="D649" s="15"/>
      <c r="N649" s="16"/>
      <c r="O649" s="16"/>
    </row>
    <row r="650" ht="15.75" customHeight="1">
      <c r="C650" s="15"/>
      <c r="D650" s="15"/>
      <c r="N650" s="16"/>
      <c r="O650" s="16"/>
    </row>
    <row r="651" ht="15.75" customHeight="1">
      <c r="C651" s="15"/>
      <c r="D651" s="15"/>
      <c r="N651" s="16"/>
      <c r="O651" s="16"/>
    </row>
    <row r="652" ht="15.75" customHeight="1">
      <c r="C652" s="15"/>
      <c r="D652" s="15"/>
      <c r="N652" s="16"/>
      <c r="O652" s="16"/>
    </row>
    <row r="653" ht="15.75" customHeight="1">
      <c r="C653" s="15"/>
      <c r="D653" s="15"/>
      <c r="N653" s="16"/>
      <c r="O653" s="16"/>
    </row>
    <row r="654" ht="15.75" customHeight="1">
      <c r="C654" s="15"/>
      <c r="D654" s="15"/>
      <c r="N654" s="16"/>
      <c r="O654" s="16"/>
    </row>
    <row r="655" ht="15.75" customHeight="1">
      <c r="C655" s="15"/>
      <c r="D655" s="15"/>
      <c r="N655" s="16"/>
      <c r="O655" s="16"/>
    </row>
    <row r="656" ht="15.75" customHeight="1">
      <c r="C656" s="15"/>
      <c r="D656" s="15"/>
      <c r="N656" s="16"/>
      <c r="O656" s="16"/>
    </row>
    <row r="657" ht="15.75" customHeight="1">
      <c r="C657" s="15"/>
      <c r="D657" s="15"/>
      <c r="N657" s="16"/>
      <c r="O657" s="16"/>
    </row>
    <row r="658" ht="15.75" customHeight="1">
      <c r="C658" s="15"/>
      <c r="D658" s="15"/>
      <c r="N658" s="16"/>
      <c r="O658" s="16"/>
    </row>
    <row r="659" ht="15.75" customHeight="1">
      <c r="C659" s="15"/>
      <c r="D659" s="15"/>
      <c r="N659" s="16"/>
      <c r="O659" s="16"/>
    </row>
    <row r="660" ht="15.75" customHeight="1">
      <c r="C660" s="15"/>
      <c r="D660" s="15"/>
      <c r="N660" s="16"/>
      <c r="O660" s="16"/>
    </row>
    <row r="661" ht="15.75" customHeight="1">
      <c r="C661" s="15"/>
      <c r="D661" s="15"/>
      <c r="N661" s="16"/>
      <c r="O661" s="16"/>
    </row>
    <row r="662" ht="15.75" customHeight="1">
      <c r="C662" s="15"/>
      <c r="D662" s="15"/>
      <c r="N662" s="16"/>
      <c r="O662" s="16"/>
    </row>
    <row r="663" ht="15.75" customHeight="1">
      <c r="C663" s="15"/>
      <c r="D663" s="15"/>
      <c r="N663" s="16"/>
      <c r="O663" s="16"/>
    </row>
    <row r="664" ht="15.75" customHeight="1">
      <c r="C664" s="15"/>
      <c r="D664" s="15"/>
      <c r="N664" s="16"/>
      <c r="O664" s="16"/>
    </row>
    <row r="665" ht="15.75" customHeight="1">
      <c r="C665" s="15"/>
      <c r="D665" s="15"/>
      <c r="N665" s="16"/>
      <c r="O665" s="16"/>
    </row>
    <row r="666" ht="15.75" customHeight="1">
      <c r="C666" s="15"/>
      <c r="D666" s="15"/>
      <c r="N666" s="16"/>
      <c r="O666" s="16"/>
    </row>
    <row r="667" ht="15.75" customHeight="1">
      <c r="C667" s="15"/>
      <c r="D667" s="15"/>
      <c r="N667" s="16"/>
      <c r="O667" s="16"/>
    </row>
    <row r="668" ht="15.75" customHeight="1">
      <c r="C668" s="15"/>
      <c r="D668" s="15"/>
      <c r="N668" s="16"/>
      <c r="O668" s="16"/>
    </row>
    <row r="669" ht="15.75" customHeight="1">
      <c r="C669" s="15"/>
      <c r="D669" s="15"/>
      <c r="N669" s="16"/>
      <c r="O669" s="16"/>
    </row>
    <row r="670" ht="15.75" customHeight="1">
      <c r="C670" s="15"/>
      <c r="D670" s="15"/>
      <c r="N670" s="16"/>
      <c r="O670" s="16"/>
    </row>
    <row r="671" ht="15.75" customHeight="1">
      <c r="C671" s="15"/>
      <c r="D671" s="15"/>
      <c r="N671" s="16"/>
      <c r="O671" s="16"/>
    </row>
    <row r="672" ht="15.75" customHeight="1">
      <c r="C672" s="15"/>
      <c r="D672" s="15"/>
      <c r="N672" s="16"/>
      <c r="O672" s="16"/>
    </row>
    <row r="673" ht="15.75" customHeight="1">
      <c r="C673" s="15"/>
      <c r="D673" s="15"/>
      <c r="N673" s="16"/>
      <c r="O673" s="16"/>
    </row>
    <row r="674" ht="15.75" customHeight="1">
      <c r="C674" s="15"/>
      <c r="D674" s="15"/>
      <c r="N674" s="16"/>
      <c r="O674" s="16"/>
    </row>
    <row r="675" ht="15.75" customHeight="1">
      <c r="C675" s="15"/>
      <c r="D675" s="15"/>
      <c r="N675" s="16"/>
      <c r="O675" s="16"/>
    </row>
    <row r="676" ht="15.75" customHeight="1">
      <c r="C676" s="15"/>
      <c r="D676" s="15"/>
      <c r="N676" s="16"/>
      <c r="O676" s="16"/>
    </row>
    <row r="677" ht="15.75" customHeight="1">
      <c r="C677" s="15"/>
      <c r="D677" s="15"/>
      <c r="N677" s="16"/>
      <c r="O677" s="16"/>
    </row>
    <row r="678" ht="15.75" customHeight="1">
      <c r="C678" s="15"/>
      <c r="D678" s="15"/>
      <c r="N678" s="16"/>
      <c r="O678" s="16"/>
    </row>
    <row r="679" ht="15.75" customHeight="1">
      <c r="C679" s="15"/>
      <c r="D679" s="15"/>
      <c r="N679" s="16"/>
      <c r="O679" s="16"/>
    </row>
    <row r="680" ht="15.75" customHeight="1">
      <c r="C680" s="15"/>
      <c r="D680" s="15"/>
      <c r="N680" s="16"/>
      <c r="O680" s="16"/>
    </row>
    <row r="681" ht="15.75" customHeight="1">
      <c r="C681" s="15"/>
      <c r="D681" s="15"/>
      <c r="N681" s="16"/>
      <c r="O681" s="16"/>
    </row>
    <row r="682" ht="15.75" customHeight="1">
      <c r="C682" s="15"/>
      <c r="D682" s="15"/>
      <c r="N682" s="16"/>
      <c r="O682" s="16"/>
    </row>
    <row r="683" ht="15.75" customHeight="1">
      <c r="C683" s="15"/>
      <c r="D683" s="15"/>
      <c r="N683" s="16"/>
      <c r="O683" s="16"/>
    </row>
    <row r="684" ht="15.75" customHeight="1">
      <c r="C684" s="15"/>
      <c r="D684" s="15"/>
      <c r="N684" s="16"/>
      <c r="O684" s="16"/>
    </row>
    <row r="685" ht="15.75" customHeight="1">
      <c r="C685" s="15"/>
      <c r="D685" s="15"/>
      <c r="N685" s="16"/>
      <c r="O685" s="16"/>
    </row>
    <row r="686" ht="15.75" customHeight="1">
      <c r="C686" s="15"/>
      <c r="D686" s="15"/>
      <c r="N686" s="16"/>
      <c r="O686" s="16"/>
    </row>
    <row r="687" ht="15.75" customHeight="1">
      <c r="C687" s="15"/>
      <c r="D687" s="15"/>
      <c r="N687" s="16"/>
      <c r="O687" s="16"/>
    </row>
    <row r="688" ht="15.75" customHeight="1">
      <c r="C688" s="15"/>
      <c r="D688" s="15"/>
      <c r="N688" s="16"/>
      <c r="O688" s="16"/>
    </row>
    <row r="689" ht="15.75" customHeight="1">
      <c r="C689" s="15"/>
      <c r="D689" s="15"/>
      <c r="N689" s="16"/>
      <c r="O689" s="16"/>
    </row>
    <row r="690" ht="15.75" customHeight="1">
      <c r="C690" s="15"/>
      <c r="D690" s="15"/>
      <c r="N690" s="16"/>
      <c r="O690" s="16"/>
    </row>
    <row r="691" ht="15.75" customHeight="1">
      <c r="C691" s="15"/>
      <c r="D691" s="15"/>
      <c r="N691" s="16"/>
      <c r="O691" s="16"/>
    </row>
    <row r="692" ht="15.75" customHeight="1">
      <c r="C692" s="15"/>
      <c r="D692" s="15"/>
      <c r="N692" s="16"/>
      <c r="O692" s="16"/>
    </row>
    <row r="693" ht="15.75" customHeight="1">
      <c r="C693" s="15"/>
      <c r="D693" s="15"/>
      <c r="N693" s="16"/>
      <c r="O693" s="16"/>
    </row>
    <row r="694" ht="15.75" customHeight="1">
      <c r="C694" s="15"/>
      <c r="D694" s="15"/>
      <c r="N694" s="16"/>
      <c r="O694" s="16"/>
    </row>
    <row r="695" ht="15.75" customHeight="1">
      <c r="C695" s="15"/>
      <c r="D695" s="15"/>
      <c r="N695" s="16"/>
      <c r="O695" s="16"/>
    </row>
    <row r="696" ht="15.75" customHeight="1">
      <c r="C696" s="15"/>
      <c r="D696" s="15"/>
      <c r="N696" s="16"/>
      <c r="O696" s="16"/>
    </row>
    <row r="697" ht="15.75" customHeight="1">
      <c r="C697" s="15"/>
      <c r="D697" s="15"/>
      <c r="N697" s="16"/>
      <c r="O697" s="16"/>
    </row>
    <row r="698" ht="15.75" customHeight="1">
      <c r="C698" s="15"/>
      <c r="D698" s="15"/>
      <c r="N698" s="16"/>
      <c r="O698" s="16"/>
    </row>
    <row r="699" ht="15.75" customHeight="1">
      <c r="C699" s="15"/>
      <c r="D699" s="15"/>
      <c r="N699" s="16"/>
      <c r="O699" s="16"/>
    </row>
    <row r="700" ht="15.75" customHeight="1">
      <c r="C700" s="15"/>
      <c r="D700" s="15"/>
      <c r="N700" s="16"/>
      <c r="O700" s="16"/>
    </row>
    <row r="701" ht="15.75" customHeight="1">
      <c r="C701" s="15"/>
      <c r="D701" s="15"/>
      <c r="N701" s="16"/>
      <c r="O701" s="16"/>
    </row>
    <row r="702" ht="15.75" customHeight="1">
      <c r="C702" s="15"/>
      <c r="D702" s="15"/>
      <c r="N702" s="16"/>
      <c r="O702" s="16"/>
    </row>
    <row r="703" ht="15.75" customHeight="1">
      <c r="C703" s="15"/>
      <c r="D703" s="15"/>
      <c r="N703" s="16"/>
      <c r="O703" s="16"/>
    </row>
    <row r="704" ht="15.75" customHeight="1">
      <c r="C704" s="15"/>
      <c r="D704" s="15"/>
      <c r="N704" s="16"/>
      <c r="O704" s="16"/>
    </row>
    <row r="705" ht="15.75" customHeight="1">
      <c r="C705" s="15"/>
      <c r="D705" s="15"/>
      <c r="N705" s="16"/>
      <c r="O705" s="16"/>
    </row>
    <row r="706" ht="15.75" customHeight="1">
      <c r="C706" s="15"/>
      <c r="D706" s="15"/>
      <c r="N706" s="16"/>
      <c r="O706" s="16"/>
    </row>
    <row r="707" ht="15.75" customHeight="1">
      <c r="C707" s="15"/>
      <c r="D707" s="15"/>
      <c r="N707" s="16"/>
      <c r="O707" s="16"/>
    </row>
    <row r="708" ht="15.75" customHeight="1">
      <c r="C708" s="15"/>
      <c r="D708" s="15"/>
      <c r="N708" s="16"/>
      <c r="O708" s="16"/>
    </row>
    <row r="709" ht="15.75" customHeight="1">
      <c r="C709" s="15"/>
      <c r="D709" s="15"/>
      <c r="N709" s="16"/>
      <c r="O709" s="16"/>
    </row>
    <row r="710" ht="15.75" customHeight="1">
      <c r="C710" s="15"/>
      <c r="D710" s="15"/>
      <c r="N710" s="16"/>
      <c r="O710" s="16"/>
    </row>
    <row r="711" ht="15.75" customHeight="1">
      <c r="C711" s="15"/>
      <c r="D711" s="15"/>
      <c r="N711" s="16"/>
      <c r="O711" s="16"/>
    </row>
    <row r="712" ht="15.75" customHeight="1">
      <c r="C712" s="15"/>
      <c r="D712" s="15"/>
      <c r="N712" s="16"/>
      <c r="O712" s="16"/>
    </row>
    <row r="713" ht="15.75" customHeight="1">
      <c r="C713" s="15"/>
      <c r="D713" s="15"/>
      <c r="N713" s="16"/>
      <c r="O713" s="16"/>
    </row>
    <row r="714" ht="15.75" customHeight="1">
      <c r="C714" s="15"/>
      <c r="D714" s="15"/>
      <c r="N714" s="16"/>
      <c r="O714" s="16"/>
    </row>
    <row r="715" ht="15.75" customHeight="1">
      <c r="C715" s="15"/>
      <c r="D715" s="15"/>
      <c r="N715" s="16"/>
      <c r="O715" s="16"/>
    </row>
    <row r="716" ht="15.75" customHeight="1">
      <c r="C716" s="15"/>
      <c r="D716" s="15"/>
      <c r="N716" s="16"/>
      <c r="O716" s="16"/>
    </row>
    <row r="717" ht="15.75" customHeight="1">
      <c r="C717" s="15"/>
      <c r="D717" s="15"/>
      <c r="N717" s="16"/>
      <c r="O717" s="16"/>
    </row>
    <row r="718" ht="15.75" customHeight="1">
      <c r="C718" s="15"/>
      <c r="D718" s="15"/>
      <c r="N718" s="16"/>
      <c r="O718" s="16"/>
    </row>
    <row r="719" ht="15.75" customHeight="1">
      <c r="C719" s="15"/>
      <c r="D719" s="15"/>
      <c r="N719" s="16"/>
      <c r="O719" s="16"/>
    </row>
    <row r="720" ht="15.75" customHeight="1">
      <c r="C720" s="15"/>
      <c r="D720" s="15"/>
      <c r="N720" s="16"/>
      <c r="O720" s="16"/>
    </row>
    <row r="721" ht="15.75" customHeight="1">
      <c r="C721" s="15"/>
      <c r="D721" s="15"/>
      <c r="N721" s="16"/>
      <c r="O721" s="16"/>
    </row>
    <row r="722" ht="15.75" customHeight="1">
      <c r="C722" s="15"/>
      <c r="D722" s="15"/>
      <c r="N722" s="16"/>
      <c r="O722" s="16"/>
    </row>
    <row r="723" ht="15.75" customHeight="1">
      <c r="C723" s="15"/>
      <c r="D723" s="15"/>
      <c r="N723" s="16"/>
      <c r="O723" s="16"/>
    </row>
    <row r="724" ht="15.75" customHeight="1">
      <c r="C724" s="15"/>
      <c r="D724" s="15"/>
      <c r="N724" s="16"/>
      <c r="O724" s="16"/>
    </row>
    <row r="725" ht="15.75" customHeight="1">
      <c r="C725" s="15"/>
      <c r="D725" s="15"/>
      <c r="N725" s="16"/>
      <c r="O725" s="16"/>
    </row>
    <row r="726" ht="15.75" customHeight="1">
      <c r="C726" s="15"/>
      <c r="D726" s="15"/>
      <c r="N726" s="16"/>
      <c r="O726" s="16"/>
    </row>
    <row r="727" ht="15.75" customHeight="1">
      <c r="C727" s="15"/>
      <c r="D727" s="15"/>
      <c r="N727" s="16"/>
      <c r="O727" s="16"/>
    </row>
    <row r="728" ht="15.75" customHeight="1">
      <c r="C728" s="15"/>
      <c r="D728" s="15"/>
      <c r="N728" s="16"/>
      <c r="O728" s="16"/>
    </row>
    <row r="729" ht="15.75" customHeight="1">
      <c r="C729" s="15"/>
      <c r="D729" s="15"/>
      <c r="N729" s="16"/>
      <c r="O729" s="16"/>
    </row>
    <row r="730" ht="15.75" customHeight="1">
      <c r="C730" s="15"/>
      <c r="D730" s="15"/>
      <c r="N730" s="16"/>
      <c r="O730" s="16"/>
    </row>
    <row r="731" ht="15.75" customHeight="1">
      <c r="C731" s="15"/>
      <c r="D731" s="15"/>
      <c r="N731" s="16"/>
      <c r="O731" s="16"/>
    </row>
    <row r="732" ht="15.75" customHeight="1">
      <c r="C732" s="15"/>
      <c r="D732" s="15"/>
      <c r="N732" s="16"/>
      <c r="O732" s="16"/>
    </row>
    <row r="733" ht="15.75" customHeight="1">
      <c r="C733" s="15"/>
      <c r="D733" s="15"/>
      <c r="N733" s="16"/>
      <c r="O733" s="16"/>
    </row>
    <row r="734" ht="15.75" customHeight="1">
      <c r="C734" s="15"/>
      <c r="D734" s="15"/>
      <c r="N734" s="16"/>
      <c r="O734" s="16"/>
    </row>
    <row r="735" ht="15.75" customHeight="1">
      <c r="C735" s="15"/>
      <c r="D735" s="15"/>
      <c r="N735" s="16"/>
      <c r="O735" s="16"/>
    </row>
    <row r="736" ht="15.75" customHeight="1">
      <c r="C736" s="15"/>
      <c r="D736" s="15"/>
      <c r="N736" s="16"/>
      <c r="O736" s="16"/>
    </row>
    <row r="737" ht="15.75" customHeight="1">
      <c r="C737" s="15"/>
      <c r="D737" s="15"/>
      <c r="N737" s="16"/>
      <c r="O737" s="16"/>
    </row>
    <row r="738" ht="15.75" customHeight="1">
      <c r="C738" s="15"/>
      <c r="D738" s="15"/>
      <c r="N738" s="16"/>
      <c r="O738" s="16"/>
    </row>
    <row r="739" ht="15.75" customHeight="1">
      <c r="C739" s="15"/>
      <c r="D739" s="15"/>
      <c r="N739" s="16"/>
      <c r="O739" s="16"/>
    </row>
    <row r="740" ht="15.75" customHeight="1">
      <c r="C740" s="15"/>
      <c r="D740" s="15"/>
      <c r="N740" s="16"/>
      <c r="O740" s="16"/>
    </row>
    <row r="741" ht="15.75" customHeight="1">
      <c r="C741" s="15"/>
      <c r="D741" s="15"/>
      <c r="N741" s="16"/>
      <c r="O741" s="16"/>
    </row>
    <row r="742" ht="15.75" customHeight="1">
      <c r="C742" s="15"/>
      <c r="D742" s="15"/>
      <c r="N742" s="16"/>
      <c r="O742" s="16"/>
    </row>
    <row r="743" ht="15.75" customHeight="1">
      <c r="C743" s="15"/>
      <c r="D743" s="15"/>
      <c r="N743" s="16"/>
      <c r="O743" s="16"/>
    </row>
    <row r="744" ht="15.75" customHeight="1">
      <c r="C744" s="15"/>
      <c r="D744" s="15"/>
      <c r="N744" s="16"/>
      <c r="O744" s="16"/>
    </row>
    <row r="745" ht="15.75" customHeight="1">
      <c r="C745" s="15"/>
      <c r="D745" s="15"/>
      <c r="N745" s="16"/>
      <c r="O745" s="16"/>
    </row>
    <row r="746" ht="15.75" customHeight="1">
      <c r="C746" s="15"/>
      <c r="D746" s="15"/>
      <c r="N746" s="16"/>
      <c r="O746" s="16"/>
    </row>
    <row r="747" ht="15.75" customHeight="1">
      <c r="C747" s="15"/>
      <c r="D747" s="15"/>
      <c r="N747" s="16"/>
      <c r="O747" s="16"/>
    </row>
    <row r="748" ht="15.75" customHeight="1">
      <c r="C748" s="15"/>
      <c r="D748" s="15"/>
      <c r="N748" s="16"/>
      <c r="O748" s="16"/>
    </row>
    <row r="749" ht="15.75" customHeight="1">
      <c r="C749" s="15"/>
      <c r="D749" s="15"/>
      <c r="N749" s="16"/>
      <c r="O749" s="16"/>
    </row>
    <row r="750" ht="15.75" customHeight="1">
      <c r="C750" s="15"/>
      <c r="D750" s="15"/>
      <c r="N750" s="16"/>
      <c r="O750" s="16"/>
    </row>
    <row r="751" ht="15.75" customHeight="1">
      <c r="C751" s="15"/>
      <c r="D751" s="15"/>
      <c r="N751" s="16"/>
      <c r="O751" s="16"/>
    </row>
    <row r="752" ht="15.75" customHeight="1">
      <c r="C752" s="15"/>
      <c r="D752" s="15"/>
      <c r="N752" s="16"/>
      <c r="O752" s="16"/>
    </row>
    <row r="753" ht="15.75" customHeight="1">
      <c r="C753" s="15"/>
      <c r="D753" s="15"/>
      <c r="N753" s="16"/>
      <c r="O753" s="16"/>
    </row>
    <row r="754" ht="15.75" customHeight="1">
      <c r="C754" s="15"/>
      <c r="D754" s="15"/>
      <c r="N754" s="16"/>
      <c r="O754" s="16"/>
    </row>
    <row r="755" ht="15.75" customHeight="1">
      <c r="C755" s="15"/>
      <c r="D755" s="15"/>
      <c r="N755" s="16"/>
      <c r="O755" s="16"/>
    </row>
    <row r="756" ht="15.75" customHeight="1">
      <c r="C756" s="15"/>
      <c r="D756" s="15"/>
      <c r="N756" s="16"/>
      <c r="O756" s="16"/>
    </row>
    <row r="757" ht="15.75" customHeight="1">
      <c r="C757" s="15"/>
      <c r="D757" s="15"/>
      <c r="N757" s="16"/>
      <c r="O757" s="16"/>
    </row>
    <row r="758" ht="15.75" customHeight="1">
      <c r="C758" s="15"/>
      <c r="D758" s="15"/>
      <c r="N758" s="16"/>
      <c r="O758" s="16"/>
    </row>
    <row r="759" ht="15.75" customHeight="1">
      <c r="C759" s="15"/>
      <c r="D759" s="15"/>
      <c r="N759" s="16"/>
      <c r="O759" s="16"/>
    </row>
    <row r="760" ht="15.75" customHeight="1">
      <c r="C760" s="15"/>
      <c r="D760" s="15"/>
      <c r="N760" s="16"/>
      <c r="O760" s="16"/>
    </row>
    <row r="761" ht="15.75" customHeight="1">
      <c r="C761" s="15"/>
      <c r="D761" s="15"/>
      <c r="N761" s="16"/>
      <c r="O761" s="16"/>
    </row>
    <row r="762" ht="15.75" customHeight="1">
      <c r="C762" s="15"/>
      <c r="D762" s="15"/>
      <c r="N762" s="16"/>
      <c r="O762" s="16"/>
    </row>
    <row r="763" ht="15.75" customHeight="1">
      <c r="C763" s="15"/>
      <c r="D763" s="15"/>
      <c r="N763" s="16"/>
      <c r="O763" s="16"/>
    </row>
    <row r="764" ht="15.75" customHeight="1">
      <c r="C764" s="15"/>
      <c r="D764" s="15"/>
      <c r="N764" s="16"/>
      <c r="O764" s="16"/>
    </row>
    <row r="765" ht="15.75" customHeight="1">
      <c r="C765" s="15"/>
      <c r="D765" s="15"/>
      <c r="N765" s="16"/>
      <c r="O765" s="16"/>
    </row>
    <row r="766" ht="15.75" customHeight="1">
      <c r="C766" s="15"/>
      <c r="D766" s="15"/>
      <c r="N766" s="16"/>
      <c r="O766" s="16"/>
    </row>
    <row r="767" ht="15.75" customHeight="1">
      <c r="C767" s="15"/>
      <c r="D767" s="15"/>
      <c r="N767" s="16"/>
      <c r="O767" s="16"/>
    </row>
    <row r="768" ht="15.75" customHeight="1">
      <c r="C768" s="15"/>
      <c r="D768" s="15"/>
      <c r="N768" s="16"/>
      <c r="O768" s="16"/>
    </row>
    <row r="769" ht="15.75" customHeight="1">
      <c r="C769" s="15"/>
      <c r="D769" s="15"/>
      <c r="N769" s="16"/>
      <c r="O769" s="16"/>
    </row>
    <row r="770" ht="15.75" customHeight="1">
      <c r="C770" s="15"/>
      <c r="D770" s="15"/>
      <c r="N770" s="16"/>
      <c r="O770" s="16"/>
    </row>
    <row r="771" ht="15.75" customHeight="1">
      <c r="C771" s="15"/>
      <c r="D771" s="15"/>
      <c r="N771" s="16"/>
      <c r="O771" s="16"/>
    </row>
    <row r="772" ht="15.75" customHeight="1">
      <c r="C772" s="15"/>
      <c r="D772" s="15"/>
      <c r="N772" s="16"/>
      <c r="O772" s="16"/>
    </row>
    <row r="773" ht="15.75" customHeight="1">
      <c r="C773" s="15"/>
      <c r="D773" s="15"/>
      <c r="N773" s="16"/>
      <c r="O773" s="16"/>
    </row>
    <row r="774" ht="15.75" customHeight="1">
      <c r="C774" s="15"/>
      <c r="D774" s="15"/>
      <c r="N774" s="16"/>
      <c r="O774" s="16"/>
    </row>
    <row r="775" ht="15.75" customHeight="1">
      <c r="C775" s="15"/>
      <c r="D775" s="15"/>
      <c r="N775" s="16"/>
      <c r="O775" s="16"/>
    </row>
    <row r="776" ht="15.75" customHeight="1">
      <c r="C776" s="15"/>
      <c r="D776" s="15"/>
      <c r="N776" s="16"/>
      <c r="O776" s="16"/>
    </row>
    <row r="777" ht="15.75" customHeight="1">
      <c r="C777" s="15"/>
      <c r="D777" s="15"/>
      <c r="N777" s="16"/>
      <c r="O777" s="16"/>
    </row>
    <row r="778" ht="15.75" customHeight="1">
      <c r="C778" s="15"/>
      <c r="D778" s="15"/>
      <c r="N778" s="16"/>
      <c r="O778" s="16"/>
    </row>
    <row r="779" ht="15.75" customHeight="1">
      <c r="C779" s="15"/>
      <c r="D779" s="15"/>
      <c r="N779" s="16"/>
      <c r="O779" s="16"/>
    </row>
    <row r="780" ht="15.75" customHeight="1">
      <c r="C780" s="15"/>
      <c r="D780" s="15"/>
      <c r="N780" s="16"/>
      <c r="O780" s="16"/>
    </row>
    <row r="781" ht="15.75" customHeight="1">
      <c r="C781" s="15"/>
      <c r="D781" s="15"/>
      <c r="N781" s="16"/>
      <c r="O781" s="16"/>
    </row>
    <row r="782" ht="15.75" customHeight="1">
      <c r="C782" s="15"/>
      <c r="D782" s="15"/>
      <c r="N782" s="16"/>
      <c r="O782" s="16"/>
    </row>
    <row r="783" ht="15.75" customHeight="1">
      <c r="C783" s="15"/>
      <c r="D783" s="15"/>
      <c r="N783" s="16"/>
      <c r="O783" s="16"/>
    </row>
    <row r="784" ht="15.75" customHeight="1">
      <c r="C784" s="15"/>
      <c r="D784" s="15"/>
      <c r="N784" s="16"/>
      <c r="O784" s="16"/>
    </row>
    <row r="785" ht="15.75" customHeight="1">
      <c r="C785" s="15"/>
      <c r="D785" s="15"/>
      <c r="N785" s="16"/>
      <c r="O785" s="16"/>
    </row>
    <row r="786" ht="15.75" customHeight="1">
      <c r="C786" s="15"/>
      <c r="D786" s="15"/>
      <c r="N786" s="16"/>
      <c r="O786" s="16"/>
    </row>
    <row r="787" ht="15.75" customHeight="1">
      <c r="C787" s="15"/>
      <c r="D787" s="15"/>
      <c r="N787" s="16"/>
      <c r="O787" s="16"/>
    </row>
    <row r="788" ht="15.75" customHeight="1">
      <c r="C788" s="15"/>
      <c r="D788" s="15"/>
      <c r="N788" s="16"/>
      <c r="O788" s="16"/>
    </row>
    <row r="789" ht="15.75" customHeight="1">
      <c r="C789" s="15"/>
      <c r="D789" s="15"/>
      <c r="N789" s="16"/>
      <c r="O789" s="16"/>
    </row>
    <row r="790" ht="15.75" customHeight="1">
      <c r="C790" s="15"/>
      <c r="D790" s="15"/>
      <c r="N790" s="16"/>
      <c r="O790" s="16"/>
    </row>
    <row r="791" ht="15.75" customHeight="1">
      <c r="C791" s="15"/>
      <c r="D791" s="15"/>
      <c r="N791" s="16"/>
      <c r="O791" s="16"/>
    </row>
    <row r="792" ht="15.75" customHeight="1">
      <c r="C792" s="15"/>
      <c r="D792" s="15"/>
      <c r="N792" s="16"/>
      <c r="O792" s="16"/>
    </row>
    <row r="793" ht="15.75" customHeight="1">
      <c r="C793" s="15"/>
      <c r="D793" s="15"/>
      <c r="N793" s="16"/>
      <c r="O793" s="16"/>
    </row>
    <row r="794" ht="15.75" customHeight="1">
      <c r="C794" s="15"/>
      <c r="D794" s="15"/>
      <c r="N794" s="16"/>
      <c r="O794" s="16"/>
    </row>
    <row r="795" ht="15.75" customHeight="1">
      <c r="C795" s="15"/>
      <c r="D795" s="15"/>
      <c r="N795" s="16"/>
      <c r="O795" s="16"/>
    </row>
    <row r="796" ht="15.75" customHeight="1">
      <c r="C796" s="15"/>
      <c r="D796" s="15"/>
      <c r="N796" s="16"/>
      <c r="O796" s="16"/>
    </row>
    <row r="797" ht="15.75" customHeight="1">
      <c r="C797" s="15"/>
      <c r="D797" s="15"/>
      <c r="N797" s="16"/>
      <c r="O797" s="16"/>
    </row>
    <row r="798" ht="15.75" customHeight="1">
      <c r="C798" s="15"/>
      <c r="D798" s="15"/>
      <c r="N798" s="16"/>
      <c r="O798" s="16"/>
    </row>
    <row r="799" ht="15.75" customHeight="1">
      <c r="C799" s="15"/>
      <c r="D799" s="15"/>
      <c r="N799" s="16"/>
      <c r="O799" s="16"/>
    </row>
    <row r="800" ht="15.75" customHeight="1">
      <c r="C800" s="15"/>
      <c r="D800" s="15"/>
      <c r="N800" s="16"/>
      <c r="O800" s="16"/>
    </row>
    <row r="801" ht="15.75" customHeight="1">
      <c r="C801" s="15"/>
      <c r="D801" s="15"/>
      <c r="N801" s="16"/>
      <c r="O801" s="16"/>
    </row>
    <row r="802" ht="15.75" customHeight="1">
      <c r="C802" s="15"/>
      <c r="D802" s="15"/>
      <c r="N802" s="16"/>
      <c r="O802" s="16"/>
    </row>
    <row r="803" ht="15.75" customHeight="1">
      <c r="C803" s="15"/>
      <c r="D803" s="15"/>
      <c r="N803" s="16"/>
      <c r="O803" s="16"/>
    </row>
    <row r="804" ht="15.75" customHeight="1">
      <c r="C804" s="15"/>
      <c r="D804" s="15"/>
      <c r="N804" s="16"/>
      <c r="O804" s="16"/>
    </row>
    <row r="805" ht="15.75" customHeight="1">
      <c r="C805" s="15"/>
      <c r="D805" s="15"/>
      <c r="N805" s="16"/>
      <c r="O805" s="16"/>
    </row>
    <row r="806" ht="15.75" customHeight="1">
      <c r="C806" s="15"/>
      <c r="D806" s="15"/>
      <c r="N806" s="16"/>
      <c r="O806" s="16"/>
    </row>
    <row r="807" ht="15.75" customHeight="1">
      <c r="C807" s="15"/>
      <c r="D807" s="15"/>
      <c r="N807" s="16"/>
      <c r="O807" s="16"/>
    </row>
    <row r="808" ht="15.75" customHeight="1">
      <c r="C808" s="15"/>
      <c r="D808" s="15"/>
      <c r="N808" s="16"/>
      <c r="O808" s="16"/>
    </row>
    <row r="809" ht="15.75" customHeight="1">
      <c r="C809" s="15"/>
      <c r="D809" s="15"/>
      <c r="N809" s="16"/>
      <c r="O809" s="16"/>
    </row>
    <row r="810" ht="15.75" customHeight="1">
      <c r="C810" s="15"/>
      <c r="D810" s="15"/>
      <c r="N810" s="16"/>
      <c r="O810" s="16"/>
    </row>
    <row r="811" ht="15.75" customHeight="1">
      <c r="C811" s="15"/>
      <c r="D811" s="15"/>
      <c r="N811" s="16"/>
      <c r="O811" s="16"/>
    </row>
    <row r="812" ht="15.75" customHeight="1">
      <c r="C812" s="15"/>
      <c r="D812" s="15"/>
      <c r="N812" s="16"/>
      <c r="O812" s="16"/>
    </row>
    <row r="813" ht="15.75" customHeight="1">
      <c r="C813" s="15"/>
      <c r="D813" s="15"/>
      <c r="N813" s="16"/>
      <c r="O813" s="16"/>
    </row>
    <row r="814" ht="15.75" customHeight="1">
      <c r="C814" s="15"/>
      <c r="D814" s="15"/>
      <c r="N814" s="16"/>
      <c r="O814" s="16"/>
    </row>
    <row r="815" ht="15.75" customHeight="1">
      <c r="C815" s="15"/>
      <c r="D815" s="15"/>
      <c r="N815" s="16"/>
      <c r="O815" s="16"/>
    </row>
    <row r="816" ht="15.75" customHeight="1">
      <c r="C816" s="15"/>
      <c r="D816" s="15"/>
      <c r="N816" s="16"/>
      <c r="O816" s="16"/>
    </row>
    <row r="817" ht="15.75" customHeight="1">
      <c r="C817" s="15"/>
      <c r="D817" s="15"/>
      <c r="N817" s="16"/>
      <c r="O817" s="16"/>
    </row>
    <row r="818" ht="15.75" customHeight="1">
      <c r="C818" s="15"/>
      <c r="D818" s="15"/>
      <c r="N818" s="16"/>
      <c r="O818" s="16"/>
    </row>
    <row r="819" ht="15.75" customHeight="1">
      <c r="C819" s="15"/>
      <c r="D819" s="15"/>
      <c r="N819" s="16"/>
      <c r="O819" s="16"/>
    </row>
    <row r="820" ht="15.75" customHeight="1">
      <c r="C820" s="15"/>
      <c r="D820" s="15"/>
      <c r="N820" s="16"/>
      <c r="O820" s="16"/>
    </row>
    <row r="821" ht="15.75" customHeight="1">
      <c r="C821" s="15"/>
      <c r="D821" s="15"/>
      <c r="N821" s="16"/>
      <c r="O821" s="16"/>
    </row>
    <row r="822" ht="15.75" customHeight="1">
      <c r="C822" s="15"/>
      <c r="D822" s="15"/>
      <c r="N822" s="16"/>
      <c r="O822" s="16"/>
    </row>
    <row r="823" ht="15.75" customHeight="1">
      <c r="C823" s="15"/>
      <c r="D823" s="15"/>
      <c r="N823" s="16"/>
      <c r="O823" s="16"/>
    </row>
    <row r="824" ht="15.75" customHeight="1">
      <c r="C824" s="15"/>
      <c r="D824" s="15"/>
      <c r="N824" s="16"/>
      <c r="O824" s="16"/>
    </row>
    <row r="825" ht="15.75" customHeight="1">
      <c r="C825" s="15"/>
      <c r="D825" s="15"/>
      <c r="N825" s="16"/>
      <c r="O825" s="16"/>
    </row>
    <row r="826" ht="15.75" customHeight="1">
      <c r="C826" s="15"/>
      <c r="D826" s="15"/>
      <c r="N826" s="16"/>
      <c r="O826" s="16"/>
    </row>
    <row r="827" ht="15.75" customHeight="1">
      <c r="C827" s="15"/>
      <c r="D827" s="15"/>
      <c r="N827" s="16"/>
      <c r="O827" s="16"/>
    </row>
    <row r="828" ht="15.75" customHeight="1">
      <c r="C828" s="15"/>
      <c r="D828" s="15"/>
      <c r="N828" s="16"/>
      <c r="O828" s="16"/>
    </row>
    <row r="829" ht="15.75" customHeight="1">
      <c r="C829" s="15"/>
      <c r="D829" s="15"/>
      <c r="N829" s="16"/>
      <c r="O829" s="16"/>
    </row>
    <row r="830" ht="15.75" customHeight="1">
      <c r="C830" s="15"/>
      <c r="D830" s="15"/>
      <c r="N830" s="16"/>
      <c r="O830" s="16"/>
    </row>
    <row r="831" ht="15.75" customHeight="1">
      <c r="C831" s="15"/>
      <c r="D831" s="15"/>
      <c r="N831" s="16"/>
      <c r="O831" s="16"/>
    </row>
    <row r="832" ht="15.75" customHeight="1">
      <c r="C832" s="15"/>
      <c r="D832" s="15"/>
      <c r="N832" s="16"/>
      <c r="O832" s="16"/>
    </row>
    <row r="833" ht="15.75" customHeight="1">
      <c r="C833" s="15"/>
      <c r="D833" s="15"/>
      <c r="N833" s="16"/>
      <c r="O833" s="16"/>
    </row>
    <row r="834" ht="15.75" customHeight="1">
      <c r="C834" s="15"/>
      <c r="D834" s="15"/>
      <c r="N834" s="16"/>
      <c r="O834" s="16"/>
    </row>
    <row r="835" ht="15.75" customHeight="1">
      <c r="C835" s="15"/>
      <c r="D835" s="15"/>
      <c r="N835" s="16"/>
      <c r="O835" s="16"/>
    </row>
    <row r="836" ht="15.75" customHeight="1">
      <c r="C836" s="15"/>
      <c r="D836" s="15"/>
      <c r="N836" s="16"/>
      <c r="O836" s="16"/>
    </row>
    <row r="837" ht="15.75" customHeight="1">
      <c r="C837" s="15"/>
      <c r="D837" s="15"/>
      <c r="N837" s="16"/>
      <c r="O837" s="16"/>
    </row>
    <row r="838" ht="15.75" customHeight="1">
      <c r="C838" s="15"/>
      <c r="D838" s="15"/>
      <c r="N838" s="16"/>
      <c r="O838" s="16"/>
    </row>
    <row r="839" ht="15.75" customHeight="1">
      <c r="C839" s="15"/>
      <c r="D839" s="15"/>
      <c r="N839" s="16"/>
      <c r="O839" s="16"/>
    </row>
    <row r="840" ht="15.75" customHeight="1">
      <c r="C840" s="15"/>
      <c r="D840" s="15"/>
      <c r="N840" s="16"/>
      <c r="O840" s="16"/>
    </row>
    <row r="841" ht="15.75" customHeight="1">
      <c r="C841" s="15"/>
      <c r="D841" s="15"/>
      <c r="N841" s="16"/>
      <c r="O841" s="16"/>
    </row>
    <row r="842" ht="15.75" customHeight="1">
      <c r="C842" s="15"/>
      <c r="D842" s="15"/>
      <c r="N842" s="16"/>
      <c r="O842" s="16"/>
    </row>
    <row r="843" ht="15.75" customHeight="1">
      <c r="C843" s="15"/>
      <c r="D843" s="15"/>
      <c r="N843" s="16"/>
      <c r="O843" s="16"/>
    </row>
    <row r="844" ht="15.75" customHeight="1">
      <c r="C844" s="15"/>
      <c r="D844" s="15"/>
      <c r="N844" s="16"/>
      <c r="O844" s="16"/>
    </row>
    <row r="845" ht="15.75" customHeight="1">
      <c r="C845" s="15"/>
      <c r="D845" s="15"/>
      <c r="N845" s="16"/>
      <c r="O845" s="16"/>
    </row>
    <row r="846" ht="15.75" customHeight="1">
      <c r="C846" s="15"/>
      <c r="D846" s="15"/>
      <c r="N846" s="16"/>
      <c r="O846" s="16"/>
    </row>
    <row r="847" ht="15.75" customHeight="1">
      <c r="C847" s="15"/>
      <c r="D847" s="15"/>
      <c r="N847" s="16"/>
      <c r="O847" s="16"/>
    </row>
    <row r="848" ht="15.75" customHeight="1">
      <c r="C848" s="15"/>
      <c r="D848" s="15"/>
      <c r="N848" s="16"/>
      <c r="O848" s="16"/>
    </row>
    <row r="849" ht="15.75" customHeight="1">
      <c r="C849" s="15"/>
      <c r="D849" s="15"/>
      <c r="N849" s="16"/>
      <c r="O849" s="16"/>
    </row>
    <row r="850" ht="15.75" customHeight="1">
      <c r="C850" s="15"/>
      <c r="D850" s="15"/>
      <c r="N850" s="16"/>
      <c r="O850" s="16"/>
    </row>
    <row r="851" ht="15.75" customHeight="1">
      <c r="C851" s="15"/>
      <c r="D851" s="15"/>
      <c r="N851" s="16"/>
      <c r="O851" s="16"/>
    </row>
    <row r="852" ht="15.75" customHeight="1">
      <c r="C852" s="15"/>
      <c r="D852" s="15"/>
      <c r="N852" s="16"/>
      <c r="O852" s="16"/>
    </row>
    <row r="853" ht="15.75" customHeight="1">
      <c r="C853" s="15"/>
      <c r="D853" s="15"/>
      <c r="N853" s="16"/>
      <c r="O853" s="16"/>
    </row>
    <row r="854" ht="15.75" customHeight="1">
      <c r="C854" s="15"/>
      <c r="D854" s="15"/>
      <c r="N854" s="16"/>
      <c r="O854" s="16"/>
    </row>
    <row r="855" ht="15.75" customHeight="1">
      <c r="C855" s="15"/>
      <c r="D855" s="15"/>
      <c r="N855" s="16"/>
      <c r="O855" s="16"/>
    </row>
    <row r="856" ht="15.75" customHeight="1">
      <c r="C856" s="15"/>
      <c r="D856" s="15"/>
      <c r="N856" s="16"/>
      <c r="O856" s="16"/>
    </row>
    <row r="857" ht="15.75" customHeight="1">
      <c r="C857" s="15"/>
      <c r="D857" s="15"/>
      <c r="N857" s="16"/>
      <c r="O857" s="16"/>
    </row>
    <row r="858" ht="15.75" customHeight="1">
      <c r="C858" s="15"/>
      <c r="D858" s="15"/>
      <c r="N858" s="16"/>
      <c r="O858" s="16"/>
    </row>
    <row r="859" ht="15.75" customHeight="1">
      <c r="C859" s="15"/>
      <c r="D859" s="15"/>
      <c r="N859" s="16"/>
      <c r="O859" s="16"/>
    </row>
    <row r="860" ht="15.75" customHeight="1">
      <c r="C860" s="15"/>
      <c r="D860" s="15"/>
      <c r="N860" s="16"/>
      <c r="O860" s="16"/>
    </row>
    <row r="861" ht="15.75" customHeight="1">
      <c r="C861" s="15"/>
      <c r="D861" s="15"/>
      <c r="N861" s="16"/>
      <c r="O861" s="16"/>
    </row>
    <row r="862" ht="15.75" customHeight="1">
      <c r="C862" s="15"/>
      <c r="D862" s="15"/>
      <c r="N862" s="16"/>
      <c r="O862" s="16"/>
    </row>
    <row r="863" ht="15.75" customHeight="1">
      <c r="C863" s="15"/>
      <c r="D863" s="15"/>
      <c r="N863" s="16"/>
      <c r="O863" s="16"/>
    </row>
    <row r="864" ht="15.75" customHeight="1">
      <c r="C864" s="15"/>
      <c r="D864" s="15"/>
      <c r="N864" s="16"/>
      <c r="O864" s="16"/>
    </row>
    <row r="865" ht="15.75" customHeight="1">
      <c r="C865" s="15"/>
      <c r="D865" s="15"/>
      <c r="N865" s="16"/>
      <c r="O865" s="16"/>
    </row>
    <row r="866" ht="15.75" customHeight="1">
      <c r="C866" s="15"/>
      <c r="D866" s="15"/>
      <c r="N866" s="16"/>
      <c r="O866" s="16"/>
    </row>
    <row r="867" ht="15.75" customHeight="1">
      <c r="C867" s="15"/>
      <c r="D867" s="15"/>
      <c r="N867" s="16"/>
      <c r="O867" s="16"/>
    </row>
    <row r="868" ht="15.75" customHeight="1">
      <c r="C868" s="15"/>
      <c r="D868" s="15"/>
      <c r="N868" s="16"/>
      <c r="O868" s="16"/>
    </row>
    <row r="869" ht="15.75" customHeight="1">
      <c r="C869" s="15"/>
      <c r="D869" s="15"/>
      <c r="N869" s="16"/>
      <c r="O869" s="16"/>
    </row>
    <row r="870" ht="15.75" customHeight="1">
      <c r="C870" s="15"/>
      <c r="D870" s="15"/>
      <c r="N870" s="16"/>
      <c r="O870" s="16"/>
    </row>
    <row r="871" ht="15.75" customHeight="1">
      <c r="C871" s="15"/>
      <c r="D871" s="15"/>
      <c r="N871" s="16"/>
      <c r="O871" s="16"/>
    </row>
    <row r="872" ht="15.75" customHeight="1">
      <c r="C872" s="15"/>
      <c r="D872" s="15"/>
      <c r="N872" s="16"/>
      <c r="O872" s="16"/>
    </row>
    <row r="873" ht="15.75" customHeight="1">
      <c r="C873" s="15"/>
      <c r="D873" s="15"/>
      <c r="N873" s="16"/>
      <c r="O873" s="16"/>
    </row>
    <row r="874" ht="15.75" customHeight="1">
      <c r="C874" s="15"/>
      <c r="D874" s="15"/>
      <c r="N874" s="16"/>
      <c r="O874" s="16"/>
    </row>
    <row r="875" ht="15.75" customHeight="1">
      <c r="C875" s="15"/>
      <c r="D875" s="15"/>
      <c r="N875" s="16"/>
      <c r="O875" s="16"/>
    </row>
    <row r="876" ht="15.75" customHeight="1">
      <c r="C876" s="15"/>
      <c r="D876" s="15"/>
      <c r="N876" s="16"/>
      <c r="O876" s="16"/>
    </row>
    <row r="877" ht="15.75" customHeight="1">
      <c r="C877" s="15"/>
      <c r="D877" s="15"/>
      <c r="N877" s="16"/>
      <c r="O877" s="16"/>
    </row>
    <row r="878" ht="15.75" customHeight="1">
      <c r="C878" s="15"/>
      <c r="D878" s="15"/>
      <c r="N878" s="16"/>
      <c r="O878" s="16"/>
    </row>
    <row r="879" ht="15.75" customHeight="1">
      <c r="C879" s="15"/>
      <c r="D879" s="15"/>
      <c r="N879" s="16"/>
      <c r="O879" s="16"/>
    </row>
    <row r="880" ht="15.75" customHeight="1">
      <c r="C880" s="15"/>
      <c r="D880" s="15"/>
      <c r="N880" s="16"/>
      <c r="O880" s="16"/>
    </row>
    <row r="881" ht="15.75" customHeight="1">
      <c r="C881" s="15"/>
      <c r="D881" s="15"/>
      <c r="N881" s="16"/>
      <c r="O881" s="16"/>
    </row>
    <row r="882" ht="15.75" customHeight="1">
      <c r="C882" s="15"/>
      <c r="D882" s="15"/>
      <c r="N882" s="16"/>
      <c r="O882" s="16"/>
    </row>
    <row r="883" ht="15.75" customHeight="1">
      <c r="C883" s="15"/>
      <c r="D883" s="15"/>
      <c r="N883" s="16"/>
      <c r="O883" s="16"/>
    </row>
    <row r="884" ht="15.75" customHeight="1">
      <c r="C884" s="15"/>
      <c r="D884" s="15"/>
      <c r="N884" s="16"/>
      <c r="O884" s="16"/>
    </row>
    <row r="885" ht="15.75" customHeight="1">
      <c r="C885" s="15"/>
      <c r="D885" s="15"/>
      <c r="N885" s="16"/>
      <c r="O885" s="16"/>
    </row>
    <row r="886" ht="15.75" customHeight="1">
      <c r="C886" s="15"/>
      <c r="D886" s="15"/>
      <c r="N886" s="16"/>
      <c r="O886" s="16"/>
    </row>
    <row r="887" ht="15.75" customHeight="1">
      <c r="C887" s="15"/>
      <c r="D887" s="15"/>
      <c r="N887" s="16"/>
      <c r="O887" s="16"/>
    </row>
    <row r="888" ht="15.75" customHeight="1">
      <c r="C888" s="15"/>
      <c r="D888" s="15"/>
      <c r="N888" s="16"/>
      <c r="O888" s="16"/>
    </row>
    <row r="889" ht="15.75" customHeight="1">
      <c r="C889" s="15"/>
      <c r="D889" s="15"/>
      <c r="N889" s="16"/>
      <c r="O889" s="16"/>
    </row>
    <row r="890" ht="15.75" customHeight="1">
      <c r="C890" s="15"/>
      <c r="D890" s="15"/>
      <c r="N890" s="16"/>
      <c r="O890" s="16"/>
    </row>
    <row r="891" ht="15.75" customHeight="1">
      <c r="C891" s="15"/>
      <c r="D891" s="15"/>
      <c r="N891" s="16"/>
      <c r="O891" s="16"/>
    </row>
    <row r="892" ht="15.75" customHeight="1">
      <c r="C892" s="15"/>
      <c r="D892" s="15"/>
      <c r="N892" s="16"/>
      <c r="O892" s="16"/>
    </row>
    <row r="893" ht="15.75" customHeight="1">
      <c r="C893" s="15"/>
      <c r="D893" s="15"/>
      <c r="N893" s="16"/>
      <c r="O893" s="16"/>
    </row>
    <row r="894" ht="15.75" customHeight="1">
      <c r="C894" s="15"/>
      <c r="D894" s="15"/>
      <c r="N894" s="16"/>
      <c r="O894" s="16"/>
    </row>
    <row r="895" ht="15.75" customHeight="1">
      <c r="C895" s="15"/>
      <c r="D895" s="15"/>
      <c r="N895" s="16"/>
      <c r="O895" s="16"/>
    </row>
    <row r="896" ht="15.75" customHeight="1">
      <c r="C896" s="15"/>
      <c r="D896" s="15"/>
      <c r="N896" s="16"/>
      <c r="O896" s="16"/>
    </row>
    <row r="897" ht="15.75" customHeight="1">
      <c r="C897" s="15"/>
      <c r="D897" s="15"/>
      <c r="N897" s="16"/>
      <c r="O897" s="16"/>
    </row>
    <row r="898" ht="15.75" customHeight="1">
      <c r="C898" s="15"/>
      <c r="D898" s="15"/>
      <c r="N898" s="16"/>
      <c r="O898" s="16"/>
    </row>
    <row r="899" ht="15.75" customHeight="1">
      <c r="C899" s="15"/>
      <c r="D899" s="15"/>
      <c r="N899" s="16"/>
      <c r="O899" s="16"/>
    </row>
    <row r="900" ht="15.75" customHeight="1">
      <c r="C900" s="15"/>
      <c r="D900" s="15"/>
      <c r="N900" s="16"/>
      <c r="O900" s="16"/>
    </row>
    <row r="901" ht="15.75" customHeight="1">
      <c r="C901" s="15"/>
      <c r="D901" s="15"/>
      <c r="N901" s="16"/>
      <c r="O901" s="16"/>
    </row>
    <row r="902" ht="15.75" customHeight="1">
      <c r="C902" s="15"/>
      <c r="D902" s="15"/>
      <c r="N902" s="16"/>
      <c r="O902" s="16"/>
    </row>
    <row r="903" ht="15.75" customHeight="1">
      <c r="C903" s="15"/>
      <c r="D903" s="15"/>
      <c r="N903" s="16"/>
      <c r="O903" s="16"/>
    </row>
    <row r="904" ht="15.75" customHeight="1">
      <c r="C904" s="15"/>
      <c r="D904" s="15"/>
      <c r="N904" s="16"/>
      <c r="O904" s="16"/>
    </row>
    <row r="905" ht="15.75" customHeight="1">
      <c r="C905" s="15"/>
      <c r="D905" s="15"/>
      <c r="N905" s="16"/>
      <c r="O905" s="16"/>
    </row>
    <row r="906" ht="15.75" customHeight="1">
      <c r="C906" s="15"/>
      <c r="D906" s="15"/>
      <c r="N906" s="16"/>
      <c r="O906" s="16"/>
    </row>
    <row r="907" ht="15.75" customHeight="1">
      <c r="C907" s="15"/>
      <c r="D907" s="15"/>
      <c r="N907" s="16"/>
      <c r="O907" s="16"/>
    </row>
    <row r="908" ht="15.75" customHeight="1">
      <c r="C908" s="15"/>
      <c r="D908" s="15"/>
      <c r="N908" s="16"/>
      <c r="O908" s="16"/>
    </row>
    <row r="909" ht="15.75" customHeight="1">
      <c r="C909" s="15"/>
      <c r="D909" s="15"/>
      <c r="N909" s="16"/>
      <c r="O909" s="16"/>
    </row>
    <row r="910" ht="15.75" customHeight="1">
      <c r="C910" s="15"/>
      <c r="D910" s="15"/>
      <c r="N910" s="16"/>
      <c r="O910" s="16"/>
    </row>
    <row r="911" ht="15.75" customHeight="1">
      <c r="C911" s="15"/>
      <c r="D911" s="15"/>
      <c r="N911" s="16"/>
      <c r="O911" s="16"/>
    </row>
    <row r="912" ht="15.75" customHeight="1">
      <c r="C912" s="15"/>
      <c r="D912" s="15"/>
      <c r="N912" s="16"/>
      <c r="O912" s="16"/>
    </row>
    <row r="913" ht="15.75" customHeight="1">
      <c r="C913" s="15"/>
      <c r="D913" s="15"/>
      <c r="N913" s="16"/>
      <c r="O913" s="16"/>
    </row>
    <row r="914" ht="15.75" customHeight="1">
      <c r="C914" s="15"/>
      <c r="D914" s="15"/>
      <c r="N914" s="16"/>
      <c r="O914" s="16"/>
    </row>
    <row r="915" ht="15.75" customHeight="1">
      <c r="C915" s="15"/>
      <c r="D915" s="15"/>
      <c r="N915" s="16"/>
      <c r="O915" s="16"/>
    </row>
    <row r="916" ht="15.75" customHeight="1">
      <c r="C916" s="15"/>
      <c r="D916" s="15"/>
      <c r="N916" s="16"/>
      <c r="O916" s="16"/>
    </row>
    <row r="917" ht="15.75" customHeight="1">
      <c r="C917" s="15"/>
      <c r="D917" s="15"/>
      <c r="N917" s="16"/>
      <c r="O917" s="16"/>
    </row>
    <row r="918" ht="15.75" customHeight="1">
      <c r="C918" s="15"/>
      <c r="D918" s="15"/>
      <c r="N918" s="16"/>
      <c r="O918" s="16"/>
    </row>
    <row r="919" ht="15.75" customHeight="1">
      <c r="C919" s="15"/>
      <c r="D919" s="15"/>
      <c r="N919" s="16"/>
      <c r="O919" s="16"/>
    </row>
    <row r="920" ht="15.75" customHeight="1">
      <c r="C920" s="15"/>
      <c r="D920" s="15"/>
      <c r="N920" s="16"/>
      <c r="O920" s="16"/>
    </row>
    <row r="921" ht="15.75" customHeight="1">
      <c r="C921" s="15"/>
      <c r="D921" s="15"/>
      <c r="N921" s="16"/>
      <c r="O921" s="16"/>
    </row>
    <row r="922" ht="15.75" customHeight="1">
      <c r="C922" s="15"/>
      <c r="D922" s="15"/>
      <c r="N922" s="16"/>
      <c r="O922" s="16"/>
    </row>
    <row r="923" ht="15.75" customHeight="1">
      <c r="C923" s="15"/>
      <c r="D923" s="15"/>
      <c r="N923" s="16"/>
      <c r="O923" s="16"/>
    </row>
    <row r="924" ht="15.75" customHeight="1">
      <c r="C924" s="15"/>
      <c r="D924" s="15"/>
      <c r="N924" s="16"/>
      <c r="O924" s="16"/>
    </row>
    <row r="925" ht="15.75" customHeight="1">
      <c r="C925" s="15"/>
      <c r="D925" s="15"/>
      <c r="N925" s="16"/>
      <c r="O925" s="16"/>
    </row>
    <row r="926" ht="15.75" customHeight="1">
      <c r="C926" s="15"/>
      <c r="D926" s="15"/>
      <c r="N926" s="16"/>
      <c r="O926" s="16"/>
    </row>
    <row r="927" ht="15.75" customHeight="1">
      <c r="C927" s="15"/>
      <c r="D927" s="15"/>
      <c r="N927" s="16"/>
      <c r="O927" s="16"/>
    </row>
    <row r="928" ht="15.75" customHeight="1">
      <c r="C928" s="15"/>
      <c r="D928" s="15"/>
      <c r="N928" s="16"/>
      <c r="O928" s="16"/>
    </row>
    <row r="929" ht="15.75" customHeight="1">
      <c r="C929" s="15"/>
      <c r="D929" s="15"/>
      <c r="N929" s="16"/>
      <c r="O929" s="16"/>
    </row>
    <row r="930" ht="15.75" customHeight="1">
      <c r="C930" s="15"/>
      <c r="D930" s="15"/>
      <c r="N930" s="16"/>
      <c r="O930" s="16"/>
    </row>
    <row r="931" ht="15.75" customHeight="1">
      <c r="C931" s="15"/>
      <c r="D931" s="15"/>
      <c r="N931" s="16"/>
      <c r="O931" s="16"/>
    </row>
    <row r="932" ht="15.75" customHeight="1">
      <c r="C932" s="15"/>
      <c r="D932" s="15"/>
      <c r="N932" s="16"/>
      <c r="O932" s="16"/>
    </row>
    <row r="933" ht="15.75" customHeight="1">
      <c r="C933" s="15"/>
      <c r="D933" s="15"/>
      <c r="N933" s="16"/>
      <c r="O933" s="16"/>
    </row>
    <row r="934" ht="15.75" customHeight="1">
      <c r="C934" s="15"/>
      <c r="D934" s="15"/>
      <c r="N934" s="16"/>
      <c r="O934" s="16"/>
    </row>
    <row r="935" ht="15.75" customHeight="1">
      <c r="C935" s="15"/>
      <c r="D935" s="15"/>
      <c r="N935" s="16"/>
      <c r="O935" s="16"/>
    </row>
    <row r="936" ht="15.75" customHeight="1">
      <c r="C936" s="15"/>
      <c r="D936" s="15"/>
      <c r="N936" s="16"/>
      <c r="O936" s="16"/>
    </row>
    <row r="937" ht="15.75" customHeight="1">
      <c r="C937" s="15"/>
      <c r="D937" s="15"/>
      <c r="N937" s="16"/>
      <c r="O937" s="16"/>
    </row>
    <row r="938" ht="15.75" customHeight="1">
      <c r="C938" s="15"/>
      <c r="D938" s="15"/>
      <c r="N938" s="16"/>
      <c r="O938" s="16"/>
    </row>
    <row r="939" ht="15.75" customHeight="1">
      <c r="C939" s="15"/>
      <c r="D939" s="15"/>
      <c r="N939" s="16"/>
      <c r="O939" s="16"/>
    </row>
    <row r="940" ht="15.75" customHeight="1">
      <c r="C940" s="15"/>
      <c r="D940" s="15"/>
      <c r="N940" s="16"/>
      <c r="O940" s="16"/>
    </row>
    <row r="941" ht="15.75" customHeight="1">
      <c r="C941" s="15"/>
      <c r="D941" s="15"/>
      <c r="N941" s="16"/>
      <c r="O941" s="16"/>
    </row>
    <row r="942" ht="15.75" customHeight="1">
      <c r="C942" s="15"/>
      <c r="D942" s="15"/>
      <c r="N942" s="16"/>
      <c r="O942" s="16"/>
    </row>
    <row r="943" ht="15.75" customHeight="1">
      <c r="C943" s="15"/>
      <c r="D943" s="15"/>
      <c r="N943" s="16"/>
      <c r="O943" s="16"/>
    </row>
    <row r="944" ht="15.75" customHeight="1">
      <c r="C944" s="15"/>
      <c r="D944" s="15"/>
      <c r="N944" s="16"/>
      <c r="O944" s="16"/>
    </row>
    <row r="945" ht="15.75" customHeight="1">
      <c r="C945" s="15"/>
      <c r="D945" s="15"/>
      <c r="N945" s="16"/>
      <c r="O945" s="16"/>
    </row>
    <row r="946" ht="15.75" customHeight="1">
      <c r="C946" s="15"/>
      <c r="D946" s="15"/>
      <c r="N946" s="16"/>
      <c r="O946" s="16"/>
    </row>
    <row r="947" ht="15.75" customHeight="1">
      <c r="C947" s="15"/>
      <c r="D947" s="15"/>
      <c r="N947" s="16"/>
      <c r="O947" s="16"/>
    </row>
    <row r="948" ht="15.75" customHeight="1">
      <c r="C948" s="15"/>
      <c r="D948" s="15"/>
      <c r="N948" s="16"/>
      <c r="O948" s="16"/>
    </row>
    <row r="949" ht="15.75" customHeight="1">
      <c r="C949" s="15"/>
      <c r="D949" s="15"/>
      <c r="N949" s="16"/>
      <c r="O949" s="16"/>
    </row>
    <row r="950" ht="15.75" customHeight="1">
      <c r="C950" s="15"/>
      <c r="D950" s="15"/>
      <c r="N950" s="16"/>
      <c r="O950" s="16"/>
    </row>
    <row r="951" ht="15.75" customHeight="1">
      <c r="C951" s="15"/>
      <c r="D951" s="15"/>
      <c r="N951" s="16"/>
      <c r="O951" s="16"/>
    </row>
    <row r="952" ht="15.75" customHeight="1">
      <c r="C952" s="15"/>
      <c r="D952" s="15"/>
      <c r="N952" s="16"/>
      <c r="O952" s="16"/>
    </row>
    <row r="953" ht="15.75" customHeight="1">
      <c r="C953" s="15"/>
      <c r="D953" s="15"/>
      <c r="N953" s="16"/>
      <c r="O953" s="16"/>
    </row>
    <row r="954" ht="15.75" customHeight="1">
      <c r="C954" s="15"/>
      <c r="D954" s="15"/>
      <c r="N954" s="16"/>
      <c r="O954" s="16"/>
    </row>
    <row r="955" ht="15.75" customHeight="1">
      <c r="C955" s="15"/>
      <c r="D955" s="15"/>
      <c r="N955" s="16"/>
      <c r="O955" s="16"/>
    </row>
    <row r="956" ht="15.75" customHeight="1">
      <c r="C956" s="15"/>
      <c r="D956" s="15"/>
      <c r="N956" s="16"/>
      <c r="O956" s="16"/>
    </row>
    <row r="957" ht="15.75" customHeight="1">
      <c r="C957" s="15"/>
      <c r="D957" s="15"/>
      <c r="N957" s="16"/>
      <c r="O957" s="16"/>
    </row>
    <row r="958" ht="15.75" customHeight="1">
      <c r="C958" s="15"/>
      <c r="D958" s="15"/>
      <c r="N958" s="16"/>
      <c r="O958" s="16"/>
    </row>
    <row r="959" ht="15.75" customHeight="1">
      <c r="C959" s="15"/>
      <c r="D959" s="15"/>
      <c r="N959" s="16"/>
      <c r="O959" s="16"/>
    </row>
    <row r="960" ht="15.75" customHeight="1">
      <c r="C960" s="15"/>
      <c r="D960" s="15"/>
      <c r="N960" s="16"/>
      <c r="O960" s="16"/>
    </row>
    <row r="961" ht="15.75" customHeight="1">
      <c r="C961" s="15"/>
      <c r="D961" s="15"/>
      <c r="N961" s="16"/>
      <c r="O961" s="16"/>
    </row>
    <row r="962" ht="15.75" customHeight="1">
      <c r="C962" s="15"/>
      <c r="D962" s="15"/>
      <c r="N962" s="16"/>
      <c r="O962" s="16"/>
    </row>
    <row r="963" ht="15.75" customHeight="1">
      <c r="C963" s="15"/>
      <c r="D963" s="15"/>
      <c r="N963" s="16"/>
      <c r="O963" s="16"/>
    </row>
    <row r="964" ht="15.75" customHeight="1">
      <c r="C964" s="15"/>
      <c r="D964" s="15"/>
      <c r="N964" s="16"/>
      <c r="O964" s="16"/>
    </row>
    <row r="965" ht="15.75" customHeight="1">
      <c r="C965" s="15"/>
      <c r="D965" s="15"/>
      <c r="N965" s="16"/>
      <c r="O965" s="16"/>
    </row>
    <row r="966" ht="15.75" customHeight="1">
      <c r="C966" s="15"/>
      <c r="D966" s="15"/>
      <c r="N966" s="16"/>
      <c r="O966" s="16"/>
    </row>
    <row r="967" ht="15.75" customHeight="1">
      <c r="C967" s="15"/>
      <c r="D967" s="15"/>
      <c r="N967" s="16"/>
      <c r="O967" s="16"/>
    </row>
    <row r="968" ht="15.75" customHeight="1">
      <c r="C968" s="15"/>
      <c r="D968" s="15"/>
      <c r="N968" s="16"/>
      <c r="O968" s="16"/>
    </row>
    <row r="969" ht="15.75" customHeight="1">
      <c r="C969" s="15"/>
      <c r="D969" s="15"/>
      <c r="N969" s="16"/>
      <c r="O969" s="16"/>
    </row>
    <row r="970" ht="15.75" customHeight="1">
      <c r="C970" s="15"/>
      <c r="D970" s="15"/>
      <c r="N970" s="16"/>
      <c r="O970" s="16"/>
    </row>
    <row r="971" ht="15.75" customHeight="1">
      <c r="C971" s="15"/>
      <c r="D971" s="15"/>
      <c r="N971" s="16"/>
      <c r="O971" s="16"/>
    </row>
    <row r="972" ht="15.75" customHeight="1">
      <c r="C972" s="15"/>
      <c r="D972" s="15"/>
      <c r="N972" s="16"/>
      <c r="O972" s="16"/>
    </row>
    <row r="973" ht="15.75" customHeight="1">
      <c r="C973" s="15"/>
      <c r="D973" s="15"/>
      <c r="N973" s="16"/>
      <c r="O973" s="16"/>
    </row>
    <row r="974" ht="15.75" customHeight="1">
      <c r="C974" s="15"/>
      <c r="D974" s="15"/>
      <c r="N974" s="16"/>
      <c r="O974" s="16"/>
    </row>
    <row r="975" ht="15.75" customHeight="1">
      <c r="C975" s="15"/>
      <c r="D975" s="15"/>
      <c r="N975" s="16"/>
      <c r="O975" s="16"/>
    </row>
    <row r="976" ht="15.75" customHeight="1">
      <c r="C976" s="15"/>
      <c r="D976" s="15"/>
      <c r="N976" s="16"/>
      <c r="O976" s="16"/>
    </row>
    <row r="977" ht="15.75" customHeight="1">
      <c r="C977" s="15"/>
      <c r="D977" s="15"/>
      <c r="N977" s="16"/>
      <c r="O977" s="16"/>
    </row>
    <row r="978" ht="15.75" customHeight="1">
      <c r="C978" s="15"/>
      <c r="D978" s="15"/>
      <c r="N978" s="16"/>
      <c r="O978" s="16"/>
    </row>
    <row r="979" ht="15.75" customHeight="1">
      <c r="C979" s="15"/>
      <c r="D979" s="15"/>
      <c r="N979" s="16"/>
      <c r="O979" s="16"/>
    </row>
    <row r="980" ht="15.75" customHeight="1">
      <c r="C980" s="15"/>
      <c r="D980" s="15"/>
      <c r="N980" s="16"/>
      <c r="O980" s="16"/>
    </row>
    <row r="981" ht="15.75" customHeight="1">
      <c r="C981" s="15"/>
      <c r="D981" s="15"/>
      <c r="N981" s="16"/>
      <c r="O981" s="16"/>
    </row>
    <row r="982" ht="15.75" customHeight="1">
      <c r="C982" s="15"/>
      <c r="D982" s="15"/>
      <c r="N982" s="16"/>
      <c r="O982" s="16"/>
    </row>
    <row r="983" ht="15.75" customHeight="1">
      <c r="C983" s="15"/>
      <c r="D983" s="15"/>
      <c r="N983" s="16"/>
      <c r="O983" s="16"/>
    </row>
    <row r="984" ht="15.75" customHeight="1">
      <c r="C984" s="15"/>
      <c r="D984" s="15"/>
      <c r="N984" s="16"/>
      <c r="O984" s="16"/>
    </row>
    <row r="985" ht="15.75" customHeight="1">
      <c r="C985" s="15"/>
      <c r="D985" s="15"/>
      <c r="N985" s="16"/>
      <c r="O985" s="16"/>
    </row>
    <row r="986" ht="15.75" customHeight="1">
      <c r="C986" s="15"/>
      <c r="D986" s="15"/>
      <c r="N986" s="16"/>
      <c r="O986" s="16"/>
    </row>
    <row r="987" ht="15.75" customHeight="1">
      <c r="C987" s="15"/>
      <c r="D987" s="15"/>
      <c r="N987" s="16"/>
      <c r="O987" s="16"/>
    </row>
    <row r="988" ht="15.75" customHeight="1">
      <c r="C988" s="15"/>
      <c r="D988" s="15"/>
      <c r="N988" s="16"/>
      <c r="O988" s="16"/>
    </row>
    <row r="989" ht="15.75" customHeight="1">
      <c r="C989" s="15"/>
      <c r="D989" s="15"/>
      <c r="N989" s="16"/>
      <c r="O989" s="16"/>
    </row>
    <row r="990" ht="15.75" customHeight="1">
      <c r="C990" s="15"/>
      <c r="D990" s="15"/>
      <c r="N990" s="16"/>
      <c r="O990" s="16"/>
    </row>
    <row r="991" ht="15.75" customHeight="1">
      <c r="C991" s="15"/>
      <c r="D991" s="15"/>
      <c r="N991" s="16"/>
      <c r="O991" s="16"/>
    </row>
    <row r="992" ht="15.75" customHeight="1">
      <c r="C992" s="15"/>
      <c r="D992" s="15"/>
      <c r="N992" s="16"/>
      <c r="O992" s="16"/>
    </row>
    <row r="993" ht="15.75" customHeight="1">
      <c r="C993" s="15"/>
      <c r="D993" s="15"/>
      <c r="N993" s="16"/>
      <c r="O993" s="16"/>
    </row>
    <row r="994" ht="15.75" customHeight="1">
      <c r="C994" s="15"/>
      <c r="D994" s="15"/>
      <c r="N994" s="16"/>
      <c r="O994" s="16"/>
    </row>
    <row r="995" ht="15.75" customHeight="1">
      <c r="C995" s="15"/>
      <c r="D995" s="15"/>
      <c r="N995" s="16"/>
      <c r="O995" s="16"/>
    </row>
    <row r="996" ht="15.75" customHeight="1">
      <c r="C996" s="15"/>
      <c r="D996" s="15"/>
      <c r="N996" s="16"/>
      <c r="O996" s="16"/>
    </row>
    <row r="997" ht="15.75" customHeight="1">
      <c r="C997" s="15"/>
      <c r="D997" s="15"/>
      <c r="N997" s="16"/>
      <c r="O997" s="16"/>
    </row>
    <row r="998" ht="15.75" customHeight="1">
      <c r="C998" s="15"/>
      <c r="D998" s="15"/>
      <c r="N998" s="16"/>
      <c r="O998" s="16"/>
    </row>
    <row r="999" ht="15.75" customHeight="1">
      <c r="C999" s="15"/>
      <c r="D999" s="15"/>
      <c r="N999" s="16"/>
      <c r="O999" s="16"/>
    </row>
    <row r="1000" ht="15.75" customHeight="1">
      <c r="C1000" s="15"/>
      <c r="D1000" s="15"/>
      <c r="N1000" s="16"/>
      <c r="O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IFERROR(__xludf.DUMMYFUNCTION("IMPORTRANGE(""https://docs.google.com/spreadsheets/d/13MAhBT9K2M70JP2OISI4aettE0FK27CjAGHAew7TsAE/edit?gid=917497601#gid=917497601"",""Sheet9!A1:L"")"),"game_id")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17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17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IFERROR(__xludf.DUMMYFUNCTION("""COMPUTED_VALUE"""),"spreads")</f>
        <v>spreads</v>
      </c>
      <c r="I2" s="4" t="str">
        <f>IFERROR(__xludf.DUMMYFUNCTION("""COMPUTED_VALUE"""),"New York Giants")</f>
        <v>New York Giants</v>
      </c>
      <c r="J2" s="4"/>
      <c r="K2" s="4">
        <f>IFERROR(__xludf.DUMMYFUNCTION("""COMPUTED_VALUE"""),-105.0)</f>
        <v>-105</v>
      </c>
      <c r="L2" s="4">
        <f>IFERROR(__xludf.DUMMYFUNCTION("""COMPUTED_VALUE"""),6.0)</f>
        <v>6</v>
      </c>
    </row>
    <row r="3">
      <c r="A3" s="4" t="str">
        <f>IFERROR(__xludf.DUMMYFUNCTION("""COMPUTED_VALUE"""),"86278ec4bbdcadd945d79df6c695c2ec")</f>
        <v>86278ec4bbdcadd945d79df6c695c2ec</v>
      </c>
      <c r="B3" s="17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17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IFERROR(__xludf.DUMMYFUNCTION("""COMPUTED_VALUE"""),"spreads")</f>
        <v>spreads</v>
      </c>
      <c r="I3" s="4" t="str">
        <f>IFERROR(__xludf.DUMMYFUNCTION("""COMPUTED_VALUE"""),"Pittsburgh Steelers")</f>
        <v>Pittsburgh Steelers</v>
      </c>
      <c r="J3" s="4"/>
      <c r="K3" s="4">
        <f>IFERROR(__xludf.DUMMYFUNCTION("""COMPUTED_VALUE"""),-115.0)</f>
        <v>-115</v>
      </c>
      <c r="L3" s="4">
        <f>IFERROR(__xludf.DUMMYFUNCTION("""COMPUTED_VALUE"""),-6.0)</f>
        <v>-6</v>
      </c>
    </row>
    <row r="4">
      <c r="A4" s="4" t="str">
        <f>IFERROR(__xludf.DUMMYFUNCTION("""COMPUTED_VALUE"""),"86278ec4bbdcadd945d79df6c695c2ec")</f>
        <v>86278ec4bbdcadd945d79df6c695c2ec</v>
      </c>
      <c r="B4" s="17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17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IFERROR(__xludf.DUMMYFUNCTION("""COMPUTED_VALUE"""),"spreads")</f>
        <v>spreads</v>
      </c>
      <c r="I4" s="4" t="str">
        <f>IFERROR(__xludf.DUMMYFUNCTION("""COMPUTED_VALUE"""),"New York Giants")</f>
        <v>New York Giants</v>
      </c>
      <c r="J4" s="4"/>
      <c r="K4" s="4">
        <f>IFERROR(__xludf.DUMMYFUNCTION("""COMPUTED_VALUE"""),-110.0)</f>
        <v>-110</v>
      </c>
      <c r="L4" s="4">
        <f>IFERROR(__xludf.DUMMYFUNCTION("""COMPUTED_VALUE"""),6.0)</f>
        <v>6</v>
      </c>
    </row>
    <row r="5">
      <c r="A5" s="4" t="str">
        <f>IFERROR(__xludf.DUMMYFUNCTION("""COMPUTED_VALUE"""),"86278ec4bbdcadd945d79df6c695c2ec")</f>
        <v>86278ec4bbdcadd945d79df6c695c2ec</v>
      </c>
      <c r="B5" s="17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17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IFERROR(__xludf.DUMMYFUNCTION("""COMPUTED_VALUE"""),"spreads")</f>
        <v>spreads</v>
      </c>
      <c r="I5" s="4" t="str">
        <f>IFERROR(__xludf.DUMMYFUNCTION("""COMPUTED_VALUE"""),"Pittsburgh Steelers")</f>
        <v>Pittsburgh Steelers</v>
      </c>
      <c r="J5" s="4"/>
      <c r="K5" s="4">
        <f>IFERROR(__xludf.DUMMYFUNCTION("""COMPUTED_VALUE"""),-110.0)</f>
        <v>-110</v>
      </c>
      <c r="L5" s="4">
        <f>IFERROR(__xludf.DUMMYFUNCTION("""COMPUTED_VALUE"""),-6.0)</f>
        <v>-6</v>
      </c>
    </row>
    <row r="6">
      <c r="A6" s="4" t="str">
        <f>IFERROR(__xludf.DUMMYFUNCTION("""COMPUTED_VALUE"""),"86278ec4bbdcadd945d79df6c695c2ec")</f>
        <v>86278ec4bbdcadd945d79df6c695c2ec</v>
      </c>
      <c r="B6" s="17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17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IFERROR(__xludf.DUMMYFUNCTION("""COMPUTED_VALUE"""),"spreads")</f>
        <v>spreads</v>
      </c>
      <c r="I6" s="4" t="str">
        <f>IFERROR(__xludf.DUMMYFUNCTION("""COMPUTED_VALUE"""),"New York Giants")</f>
        <v>New York Giants</v>
      </c>
      <c r="J6" s="4"/>
      <c r="K6" s="4">
        <f>IFERROR(__xludf.DUMMYFUNCTION("""COMPUTED_VALUE"""),-110.0)</f>
        <v>-110</v>
      </c>
      <c r="L6" s="4">
        <f>IFERROR(__xludf.DUMMYFUNCTION("""COMPUTED_VALUE"""),6.0)</f>
        <v>6</v>
      </c>
    </row>
    <row r="7">
      <c r="A7" s="4" t="str">
        <f>IFERROR(__xludf.DUMMYFUNCTION("""COMPUTED_VALUE"""),"86278ec4bbdcadd945d79df6c695c2ec")</f>
        <v>86278ec4bbdcadd945d79df6c695c2ec</v>
      </c>
      <c r="B7" s="17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17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IFERROR(__xludf.DUMMYFUNCTION("""COMPUTED_VALUE"""),"spreads")</f>
        <v>spreads</v>
      </c>
      <c r="I7" s="4" t="str">
        <f>IFERROR(__xludf.DUMMYFUNCTION("""COMPUTED_VALUE"""),"Pittsburgh Steelers")</f>
        <v>Pittsburgh Steelers</v>
      </c>
      <c r="J7" s="4"/>
      <c r="K7" s="4">
        <f>IFERROR(__xludf.DUMMYFUNCTION("""COMPUTED_VALUE"""),-110.0)</f>
        <v>-110</v>
      </c>
      <c r="L7" s="4">
        <f>IFERROR(__xludf.DUMMYFUNCTION("""COMPUTED_VALUE"""),-6.0)</f>
        <v>-6</v>
      </c>
    </row>
    <row r="8">
      <c r="A8" s="4" t="str">
        <f>IFERROR(__xludf.DUMMYFUNCTION("""COMPUTED_VALUE"""),"86278ec4bbdcadd945d79df6c695c2ec")</f>
        <v>86278ec4bbdcadd945d79df6c695c2ec</v>
      </c>
      <c r="B8" s="17">
        <f>IFERROR(__xludf.DUMMYFUNCTION("""COMPUTED_VALUE"""),45594.01041666667)</f>
        <v>45594.01042</v>
      </c>
      <c r="C8" s="4" t="b">
        <f>IFERROR(__xludf.DUMMYFUNCTION("""COMPUTED_VALUE"""),FALSE)</f>
        <v>0</v>
      </c>
      <c r="D8" s="18" t="str">
        <f>IFERROR(__xludf.DUMMYFUNCTION("""COMPUTED_VALUE"""),"MyBookie.ag")</f>
        <v>MyBookie.ag</v>
      </c>
      <c r="E8" s="17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IFERROR(__xludf.DUMMYFUNCTION("""COMPUTED_VALUE"""),"spreads")</f>
        <v>spreads</v>
      </c>
      <c r="I8" s="4" t="str">
        <f>IFERROR(__xludf.DUMMYFUNCTION("""COMPUTED_VALUE"""),"New York Giants")</f>
        <v>New York Giants</v>
      </c>
      <c r="J8" s="4"/>
      <c r="K8" s="4">
        <f>IFERROR(__xludf.DUMMYFUNCTION("""COMPUTED_VALUE"""),-110.0)</f>
        <v>-110</v>
      </c>
      <c r="L8" s="4">
        <f>IFERROR(__xludf.DUMMYFUNCTION("""COMPUTED_VALUE"""),6.0)</f>
        <v>6</v>
      </c>
    </row>
    <row r="9">
      <c r="A9" s="4" t="str">
        <f>IFERROR(__xludf.DUMMYFUNCTION("""COMPUTED_VALUE"""),"86278ec4bbdcadd945d79df6c695c2ec")</f>
        <v>86278ec4bbdcadd945d79df6c695c2ec</v>
      </c>
      <c r="B9" s="17">
        <f>IFERROR(__xludf.DUMMYFUNCTION("""COMPUTED_VALUE"""),45594.01041666667)</f>
        <v>45594.01042</v>
      </c>
      <c r="C9" s="4" t="b">
        <f>IFERROR(__xludf.DUMMYFUNCTION("""COMPUTED_VALUE"""),FALSE)</f>
        <v>0</v>
      </c>
      <c r="D9" s="18" t="str">
        <f>IFERROR(__xludf.DUMMYFUNCTION("""COMPUTED_VALUE"""),"MyBookie.ag")</f>
        <v>MyBookie.ag</v>
      </c>
      <c r="E9" s="17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IFERROR(__xludf.DUMMYFUNCTION("""COMPUTED_VALUE"""),"spreads")</f>
        <v>spreads</v>
      </c>
      <c r="I9" s="4" t="str">
        <f>IFERROR(__xludf.DUMMYFUNCTION("""COMPUTED_VALUE"""),"Pittsburgh Steelers")</f>
        <v>Pittsburgh Steelers</v>
      </c>
      <c r="J9" s="4"/>
      <c r="K9" s="4">
        <f>IFERROR(__xludf.DUMMYFUNCTION("""COMPUTED_VALUE"""),-110.0)</f>
        <v>-110</v>
      </c>
      <c r="L9" s="4">
        <f>IFERROR(__xludf.DUMMYFUNCTION("""COMPUTED_VALUE"""),-6.0)</f>
        <v>-6</v>
      </c>
    </row>
    <row r="10">
      <c r="A10" s="4" t="str">
        <f>IFERROR(__xludf.DUMMYFUNCTION("""COMPUTED_VALUE"""),"86278ec4bbdcadd945d79df6c695c2ec")</f>
        <v>86278ec4bbdcadd945d79df6c695c2ec</v>
      </c>
      <c r="B10" s="17">
        <f>IFERROR(__xludf.DUMMYFUNCTION("""COMPUTED_VALUE"""),45594.01041666667)</f>
        <v>45594.01042</v>
      </c>
      <c r="C10" s="4" t="b">
        <f>IFERROR(__xludf.DUMMYFUNCTION("""COMPUTED_VALUE"""),FALSE)</f>
        <v>0</v>
      </c>
      <c r="D10" s="18" t="str">
        <f>IFERROR(__xludf.DUMMYFUNCTION("""COMPUTED_VALUE"""),"BetOnline.ag")</f>
        <v>BetOnline.ag</v>
      </c>
      <c r="E10" s="17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IFERROR(__xludf.DUMMYFUNCTION("""COMPUTED_VALUE"""),"spreads")</f>
        <v>spreads</v>
      </c>
      <c r="I10" s="4" t="str">
        <f>IFERROR(__xludf.DUMMYFUNCTION("""COMPUTED_VALUE"""),"New York Giants")</f>
        <v>New York Giants</v>
      </c>
      <c r="J10" s="4"/>
      <c r="K10" s="4">
        <f>IFERROR(__xludf.DUMMYFUNCTION("""COMPUTED_VALUE"""),-110.0)</f>
        <v>-110</v>
      </c>
      <c r="L10" s="4">
        <f>IFERROR(__xludf.DUMMYFUNCTION("""COMPUTED_VALUE"""),6.0)</f>
        <v>6</v>
      </c>
    </row>
    <row r="11">
      <c r="A11" s="4" t="str">
        <f>IFERROR(__xludf.DUMMYFUNCTION("""COMPUTED_VALUE"""),"86278ec4bbdcadd945d79df6c695c2ec")</f>
        <v>86278ec4bbdcadd945d79df6c695c2ec</v>
      </c>
      <c r="B11" s="17">
        <f>IFERROR(__xludf.DUMMYFUNCTION("""COMPUTED_VALUE"""),45594.01041666667)</f>
        <v>45594.01042</v>
      </c>
      <c r="C11" s="4" t="b">
        <f>IFERROR(__xludf.DUMMYFUNCTION("""COMPUTED_VALUE"""),FALSE)</f>
        <v>0</v>
      </c>
      <c r="D11" s="18" t="str">
        <f>IFERROR(__xludf.DUMMYFUNCTION("""COMPUTED_VALUE"""),"BetOnline.ag")</f>
        <v>BetOnline.ag</v>
      </c>
      <c r="E11" s="17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IFERROR(__xludf.DUMMYFUNCTION("""COMPUTED_VALUE"""),"spreads")</f>
        <v>spreads</v>
      </c>
      <c r="I11" s="4" t="str">
        <f>IFERROR(__xludf.DUMMYFUNCTION("""COMPUTED_VALUE"""),"Pittsburgh Steelers")</f>
        <v>Pittsburgh Steelers</v>
      </c>
      <c r="J11" s="4"/>
      <c r="K11" s="4">
        <f>IFERROR(__xludf.DUMMYFUNCTION("""COMPUTED_VALUE"""),-110.0)</f>
        <v>-110</v>
      </c>
      <c r="L11" s="4">
        <f>IFERROR(__xludf.DUMMYFUNCTION("""COMPUTED_VALUE"""),-6.0)</f>
        <v>-6</v>
      </c>
    </row>
    <row r="12">
      <c r="A12" s="4" t="str">
        <f>IFERROR(__xludf.DUMMYFUNCTION("""COMPUTED_VALUE"""),"86278ec4bbdcadd945d79df6c695c2ec")</f>
        <v>86278ec4bbdcadd945d79df6c695c2ec</v>
      </c>
      <c r="B12" s="17">
        <f>IFERROR(__xludf.DUMMYFUNCTION("""COMPUTED_VALUE"""),45594.01041666667)</f>
        <v>45594.01042</v>
      </c>
      <c r="C12" s="4" t="b">
        <f>IFERROR(__xludf.DUMMYFUNCTION("""COMPUTED_VALUE"""),FALSE)</f>
        <v>0</v>
      </c>
      <c r="D12" s="18" t="str">
        <f>IFERROR(__xludf.DUMMYFUNCTION("""COMPUTED_VALUE"""),"LowVig.ag")</f>
        <v>LowVig.ag</v>
      </c>
      <c r="E12" s="17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IFERROR(__xludf.DUMMYFUNCTION("""COMPUTED_VALUE"""),"spreads")</f>
        <v>spreads</v>
      </c>
      <c r="I12" s="4" t="str">
        <f>IFERROR(__xludf.DUMMYFUNCTION("""COMPUTED_VALUE"""),"New York Giants")</f>
        <v>New York Giants</v>
      </c>
      <c r="J12" s="4"/>
      <c r="K12" s="4">
        <f>IFERROR(__xludf.DUMMYFUNCTION("""COMPUTED_VALUE"""),-103.0)</f>
        <v>-103</v>
      </c>
      <c r="L12" s="4">
        <f>IFERROR(__xludf.DUMMYFUNCTION("""COMPUTED_VALUE"""),6.0)</f>
        <v>6</v>
      </c>
    </row>
    <row r="13">
      <c r="A13" s="4" t="str">
        <f>IFERROR(__xludf.DUMMYFUNCTION("""COMPUTED_VALUE"""),"86278ec4bbdcadd945d79df6c695c2ec")</f>
        <v>86278ec4bbdcadd945d79df6c695c2ec</v>
      </c>
      <c r="B13" s="17">
        <f>IFERROR(__xludf.DUMMYFUNCTION("""COMPUTED_VALUE"""),45594.01041666667)</f>
        <v>45594.01042</v>
      </c>
      <c r="C13" s="4" t="b">
        <f>IFERROR(__xludf.DUMMYFUNCTION("""COMPUTED_VALUE"""),FALSE)</f>
        <v>0</v>
      </c>
      <c r="D13" s="18" t="str">
        <f>IFERROR(__xludf.DUMMYFUNCTION("""COMPUTED_VALUE"""),"LowVig.ag")</f>
        <v>LowVig.ag</v>
      </c>
      <c r="E13" s="17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IFERROR(__xludf.DUMMYFUNCTION("""COMPUTED_VALUE"""),"spreads")</f>
        <v>spreads</v>
      </c>
      <c r="I13" s="4" t="str">
        <f>IFERROR(__xludf.DUMMYFUNCTION("""COMPUTED_VALUE"""),"Pittsburgh Steelers")</f>
        <v>Pittsburgh Steelers</v>
      </c>
      <c r="J13" s="4"/>
      <c r="K13" s="4">
        <f>IFERROR(__xludf.DUMMYFUNCTION("""COMPUTED_VALUE"""),-107.0)</f>
        <v>-107</v>
      </c>
      <c r="L13" s="4">
        <f>IFERROR(__xludf.DUMMYFUNCTION("""COMPUTED_VALUE"""),-6.0)</f>
        <v>-6</v>
      </c>
    </row>
    <row r="14">
      <c r="A14" s="4" t="str">
        <f>IFERROR(__xludf.DUMMYFUNCTION("""COMPUTED_VALUE"""),"86278ec4bbdcadd945d79df6c695c2ec")</f>
        <v>86278ec4bbdcadd945d79df6c695c2ec</v>
      </c>
      <c r="B14" s="17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17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IFERROR(__xludf.DUMMYFUNCTION("""COMPUTED_VALUE"""),"spreads")</f>
        <v>spreads</v>
      </c>
      <c r="I14" s="4" t="str">
        <f>IFERROR(__xludf.DUMMYFUNCTION("""COMPUTED_VALUE"""),"New York Giants")</f>
        <v>New York Giants</v>
      </c>
      <c r="J14" s="4"/>
      <c r="K14" s="4">
        <f>IFERROR(__xludf.DUMMYFUNCTION("""COMPUTED_VALUE"""),-112.0)</f>
        <v>-112</v>
      </c>
      <c r="L14" s="4">
        <f>IFERROR(__xludf.DUMMYFUNCTION("""COMPUTED_VALUE"""),6.0)</f>
        <v>6</v>
      </c>
    </row>
    <row r="15">
      <c r="A15" s="4" t="str">
        <f>IFERROR(__xludf.DUMMYFUNCTION("""COMPUTED_VALUE"""),"86278ec4bbdcadd945d79df6c695c2ec")</f>
        <v>86278ec4bbdcadd945d79df6c695c2ec</v>
      </c>
      <c r="B15" s="17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17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IFERROR(__xludf.DUMMYFUNCTION("""COMPUTED_VALUE"""),"spreads")</f>
        <v>spreads</v>
      </c>
      <c r="I15" s="4" t="str">
        <f>IFERROR(__xludf.DUMMYFUNCTION("""COMPUTED_VALUE"""),"Pittsburgh Steelers")</f>
        <v>Pittsburgh Steelers</v>
      </c>
      <c r="J15" s="4"/>
      <c r="K15" s="4">
        <f>IFERROR(__xludf.DUMMYFUNCTION("""COMPUTED_VALUE"""),-109.0)</f>
        <v>-109</v>
      </c>
      <c r="L15" s="4">
        <f>IFERROR(__xludf.DUMMYFUNCTION("""COMPUTED_VALUE"""),-6.0)</f>
        <v>-6</v>
      </c>
    </row>
    <row r="16">
      <c r="A16" s="4" t="str">
        <f>IFERROR(__xludf.DUMMYFUNCTION("""COMPUTED_VALUE"""),"86278ec4bbdcadd945d79df6c695c2ec")</f>
        <v>86278ec4bbdcadd945d79df6c695c2ec</v>
      </c>
      <c r="B16" s="17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17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IFERROR(__xludf.DUMMYFUNCTION("""COMPUTED_VALUE"""),"spreads")</f>
        <v>spreads</v>
      </c>
      <c r="I16" s="4" t="str">
        <f>IFERROR(__xludf.DUMMYFUNCTION("""COMPUTED_VALUE"""),"New York Giants")</f>
        <v>New York Giants</v>
      </c>
      <c r="J16" s="4"/>
      <c r="K16" s="4">
        <f>IFERROR(__xludf.DUMMYFUNCTION("""COMPUTED_VALUE"""),-110.0)</f>
        <v>-110</v>
      </c>
      <c r="L16" s="4">
        <f>IFERROR(__xludf.DUMMYFUNCTION("""COMPUTED_VALUE"""),6.0)</f>
        <v>6</v>
      </c>
    </row>
    <row r="17">
      <c r="A17" s="4" t="str">
        <f>IFERROR(__xludf.DUMMYFUNCTION("""COMPUTED_VALUE"""),"86278ec4bbdcadd945d79df6c695c2ec")</f>
        <v>86278ec4bbdcadd945d79df6c695c2ec</v>
      </c>
      <c r="B17" s="17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17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IFERROR(__xludf.DUMMYFUNCTION("""COMPUTED_VALUE"""),"spreads")</f>
        <v>spreads</v>
      </c>
      <c r="I17" s="4" t="str">
        <f>IFERROR(__xludf.DUMMYFUNCTION("""COMPUTED_VALUE"""),"Pittsburgh Steelers")</f>
        <v>Pittsburgh Steelers</v>
      </c>
      <c r="J17" s="4"/>
      <c r="K17" s="4">
        <f>IFERROR(__xludf.DUMMYFUNCTION("""COMPUTED_VALUE"""),-110.0)</f>
        <v>-110</v>
      </c>
      <c r="L17" s="4">
        <f>IFERROR(__xludf.DUMMYFUNCTION("""COMPUTED_VALUE"""),-6.0)</f>
        <v>-6</v>
      </c>
    </row>
    <row r="18">
      <c r="A18" s="4" t="str">
        <f>IFERROR(__xludf.DUMMYFUNCTION("""COMPUTED_VALUE"""),"86278ec4bbdcadd945d79df6c695c2ec")</f>
        <v>86278ec4bbdcadd945d79df6c695c2ec</v>
      </c>
      <c r="B18" s="17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17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IFERROR(__xludf.DUMMYFUNCTION("""COMPUTED_VALUE"""),"spreads")</f>
        <v>spreads</v>
      </c>
      <c r="I18" s="4" t="str">
        <f>IFERROR(__xludf.DUMMYFUNCTION("""COMPUTED_VALUE"""),"New York Giants")</f>
        <v>New York Giants</v>
      </c>
      <c r="J18" s="4"/>
      <c r="K18" s="4">
        <f>IFERROR(__xludf.DUMMYFUNCTION("""COMPUTED_VALUE"""),-110.0)</f>
        <v>-110</v>
      </c>
      <c r="L18" s="4">
        <f>IFERROR(__xludf.DUMMYFUNCTION("""COMPUTED_VALUE"""),6.0)</f>
        <v>6</v>
      </c>
    </row>
    <row r="19">
      <c r="A19" s="4" t="str">
        <f>IFERROR(__xludf.DUMMYFUNCTION("""COMPUTED_VALUE"""),"86278ec4bbdcadd945d79df6c695c2ec")</f>
        <v>86278ec4bbdcadd945d79df6c695c2ec</v>
      </c>
      <c r="B19" s="17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17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IFERROR(__xludf.DUMMYFUNCTION("""COMPUTED_VALUE"""),"spreads")</f>
        <v>spreads</v>
      </c>
      <c r="I19" s="4" t="str">
        <f>IFERROR(__xludf.DUMMYFUNCTION("""COMPUTED_VALUE"""),"Pittsburgh Steelers")</f>
        <v>Pittsburgh Steelers</v>
      </c>
      <c r="J19" s="4"/>
      <c r="K19" s="4">
        <f>IFERROR(__xludf.DUMMYFUNCTION("""COMPUTED_VALUE"""),-110.0)</f>
        <v>-110</v>
      </c>
      <c r="L19" s="4">
        <f>IFERROR(__xludf.DUMMYFUNCTION("""COMPUTED_VALUE"""),-6.0)</f>
        <v>-6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>
        <v>1.0</v>
      </c>
      <c r="B1" s="20" t="s">
        <v>40</v>
      </c>
      <c r="C1" s="19">
        <v>1.0</v>
      </c>
      <c r="D1" s="20" t="s">
        <v>41</v>
      </c>
      <c r="E1" s="19">
        <v>1.0</v>
      </c>
    </row>
    <row r="2">
      <c r="A2" s="19">
        <v>2.0</v>
      </c>
      <c r="B2" s="20" t="s">
        <v>42</v>
      </c>
      <c r="C2" s="19">
        <v>2.0</v>
      </c>
      <c r="D2" s="20" t="s">
        <v>43</v>
      </c>
      <c r="E2" s="19">
        <v>2.0</v>
      </c>
    </row>
    <row r="3">
      <c r="A3" s="19">
        <v>3.0</v>
      </c>
      <c r="B3" s="20" t="s">
        <v>44</v>
      </c>
      <c r="C3" s="19">
        <v>3.0</v>
      </c>
      <c r="D3" s="20" t="s">
        <v>45</v>
      </c>
      <c r="E3" s="19">
        <v>3.0</v>
      </c>
    </row>
    <row r="4">
      <c r="A4" s="19">
        <v>4.0</v>
      </c>
      <c r="B4" s="20" t="s">
        <v>46</v>
      </c>
      <c r="C4" s="19">
        <v>4.0</v>
      </c>
      <c r="D4" s="20" t="s">
        <v>47</v>
      </c>
      <c r="E4" s="19">
        <v>4.0</v>
      </c>
    </row>
    <row r="5">
      <c r="A5" s="19">
        <v>5.0</v>
      </c>
      <c r="B5" s="20" t="s">
        <v>48</v>
      </c>
      <c r="C5" s="19">
        <v>5.0</v>
      </c>
      <c r="D5" s="20" t="s">
        <v>49</v>
      </c>
      <c r="E5" s="19">
        <v>5.0</v>
      </c>
    </row>
    <row r="6">
      <c r="A6" s="19">
        <v>6.0</v>
      </c>
      <c r="B6" s="20" t="s">
        <v>50</v>
      </c>
      <c r="C6" s="19">
        <v>6.0</v>
      </c>
      <c r="D6" s="20" t="s">
        <v>51</v>
      </c>
      <c r="E6" s="19">
        <v>6.0</v>
      </c>
    </row>
    <row r="7">
      <c r="A7" s="19">
        <v>7.0</v>
      </c>
      <c r="B7" s="20" t="s">
        <v>52</v>
      </c>
      <c r="C7" s="19">
        <v>7.0</v>
      </c>
      <c r="D7" s="20" t="s">
        <v>53</v>
      </c>
      <c r="E7" s="19">
        <v>7.0</v>
      </c>
    </row>
    <row r="8">
      <c r="A8" s="19">
        <v>8.0</v>
      </c>
      <c r="B8" s="20" t="s">
        <v>54</v>
      </c>
      <c r="C8" s="19">
        <v>8.0</v>
      </c>
      <c r="D8" s="20" t="s">
        <v>55</v>
      </c>
      <c r="E8" s="19">
        <v>8.0</v>
      </c>
    </row>
    <row r="9">
      <c r="A9" s="19">
        <v>9.0</v>
      </c>
      <c r="B9" s="20" t="s">
        <v>56</v>
      </c>
      <c r="C9" s="19">
        <v>9.0</v>
      </c>
      <c r="D9" s="20" t="s">
        <v>57</v>
      </c>
      <c r="E9" s="19">
        <v>9.0</v>
      </c>
    </row>
    <row r="10">
      <c r="A10" s="19">
        <v>10.0</v>
      </c>
      <c r="B10" s="20" t="s">
        <v>58</v>
      </c>
      <c r="C10" s="19">
        <v>10.0</v>
      </c>
      <c r="D10" s="20" t="s">
        <v>59</v>
      </c>
      <c r="E10" s="19">
        <v>10.0</v>
      </c>
    </row>
    <row r="11">
      <c r="A11" s="19">
        <v>11.0</v>
      </c>
      <c r="B11" s="20" t="s">
        <v>60</v>
      </c>
      <c r="C11" s="19">
        <v>11.0</v>
      </c>
      <c r="D11" s="20" t="s">
        <v>61</v>
      </c>
      <c r="E11" s="19">
        <v>11.0</v>
      </c>
    </row>
    <row r="12">
      <c r="A12" s="19">
        <v>12.0</v>
      </c>
      <c r="B12" s="20" t="s">
        <v>62</v>
      </c>
      <c r="C12" s="19">
        <v>12.0</v>
      </c>
      <c r="D12" s="20" t="s">
        <v>63</v>
      </c>
      <c r="E12" s="19">
        <v>12.0</v>
      </c>
    </row>
    <row r="13">
      <c r="A13" s="19">
        <v>13.0</v>
      </c>
      <c r="B13" s="20" t="s">
        <v>64</v>
      </c>
      <c r="C13" s="19">
        <v>13.0</v>
      </c>
      <c r="D13" s="20" t="s">
        <v>65</v>
      </c>
      <c r="E13" s="19">
        <v>13.0</v>
      </c>
    </row>
    <row r="14">
      <c r="A14" s="19">
        <v>14.0</v>
      </c>
      <c r="B14" s="20" t="s">
        <v>66</v>
      </c>
      <c r="C14" s="19">
        <v>14.0</v>
      </c>
      <c r="D14" s="20" t="s">
        <v>67</v>
      </c>
      <c r="E14" s="19">
        <v>14.0</v>
      </c>
    </row>
    <row r="15">
      <c r="A15" s="19">
        <v>15.0</v>
      </c>
      <c r="B15" s="20" t="s">
        <v>68</v>
      </c>
      <c r="C15" s="19">
        <v>15.0</v>
      </c>
      <c r="D15" s="20" t="s">
        <v>69</v>
      </c>
      <c r="E15" s="19">
        <v>15.0</v>
      </c>
    </row>
    <row r="16">
      <c r="A16" s="19">
        <v>16.0</v>
      </c>
      <c r="B16" s="20" t="s">
        <v>70</v>
      </c>
      <c r="C16" s="19">
        <v>16.0</v>
      </c>
      <c r="D16" s="20" t="s">
        <v>71</v>
      </c>
      <c r="E16" s="19">
        <v>16.0</v>
      </c>
    </row>
    <row r="17">
      <c r="A17" s="19">
        <v>17.0</v>
      </c>
      <c r="B17" s="20" t="s">
        <v>72</v>
      </c>
      <c r="C17" s="19">
        <v>17.0</v>
      </c>
      <c r="D17" s="20" t="s">
        <v>73</v>
      </c>
      <c r="E17" s="19">
        <v>17.0</v>
      </c>
    </row>
    <row r="18">
      <c r="A18" s="19">
        <v>18.0</v>
      </c>
      <c r="B18" s="20" t="s">
        <v>74</v>
      </c>
      <c r="C18" s="19">
        <v>18.0</v>
      </c>
      <c r="D18" s="20" t="s">
        <v>75</v>
      </c>
      <c r="E18" s="19">
        <v>18.0</v>
      </c>
    </row>
    <row r="19">
      <c r="A19" s="19">
        <v>19.0</v>
      </c>
      <c r="B19" s="20" t="s">
        <v>76</v>
      </c>
      <c r="C19" s="19">
        <v>19.0</v>
      </c>
      <c r="D19" s="20" t="s">
        <v>77</v>
      </c>
      <c r="E19" s="19">
        <v>19.0</v>
      </c>
    </row>
    <row r="20">
      <c r="A20" s="19">
        <v>20.0</v>
      </c>
      <c r="B20" s="20" t="s">
        <v>78</v>
      </c>
      <c r="C20" s="19">
        <v>20.0</v>
      </c>
      <c r="D20" s="20" t="s">
        <v>79</v>
      </c>
      <c r="E20" s="19">
        <v>20.0</v>
      </c>
    </row>
    <row r="21">
      <c r="A21" s="19">
        <v>21.0</v>
      </c>
      <c r="B21" s="20" t="s">
        <v>80</v>
      </c>
      <c r="C21" s="19">
        <v>21.0</v>
      </c>
      <c r="D21" s="20" t="s">
        <v>81</v>
      </c>
      <c r="E21" s="19">
        <v>21.0</v>
      </c>
    </row>
    <row r="22">
      <c r="A22" s="19">
        <v>22.0</v>
      </c>
      <c r="B22" s="20" t="s">
        <v>82</v>
      </c>
      <c r="C22" s="19">
        <v>22.0</v>
      </c>
      <c r="D22" s="20" t="s">
        <v>83</v>
      </c>
      <c r="E22" s="19">
        <v>22.0</v>
      </c>
    </row>
    <row r="23">
      <c r="A23" s="19">
        <v>23.0</v>
      </c>
      <c r="B23" s="20" t="s">
        <v>84</v>
      </c>
      <c r="C23" s="19">
        <v>23.0</v>
      </c>
      <c r="D23" s="20" t="s">
        <v>85</v>
      </c>
      <c r="E23" s="19">
        <v>23.0</v>
      </c>
    </row>
    <row r="24">
      <c r="A24" s="19">
        <v>24.0</v>
      </c>
      <c r="B24" s="20" t="s">
        <v>86</v>
      </c>
      <c r="C24" s="19">
        <v>24.0</v>
      </c>
      <c r="D24" s="20" t="s">
        <v>87</v>
      </c>
      <c r="E24" s="19">
        <v>24.0</v>
      </c>
    </row>
    <row r="25">
      <c r="A25" s="19">
        <v>25.0</v>
      </c>
      <c r="B25" s="20" t="s">
        <v>88</v>
      </c>
      <c r="C25" s="19">
        <v>25.0</v>
      </c>
      <c r="D25" s="20" t="s">
        <v>89</v>
      </c>
      <c r="E25" s="19">
        <v>25.0</v>
      </c>
    </row>
    <row r="26">
      <c r="A26" s="19">
        <v>26.0</v>
      </c>
      <c r="B26" s="20" t="s">
        <v>90</v>
      </c>
      <c r="C26" s="19">
        <v>26.0</v>
      </c>
      <c r="D26" s="20" t="s">
        <v>91</v>
      </c>
      <c r="E26" s="19">
        <v>26.0</v>
      </c>
    </row>
    <row r="27">
      <c r="A27" s="19">
        <v>27.0</v>
      </c>
      <c r="B27" s="20" t="s">
        <v>92</v>
      </c>
      <c r="C27" s="19">
        <v>27.0</v>
      </c>
      <c r="D27" s="20" t="s">
        <v>93</v>
      </c>
      <c r="E27" s="19">
        <v>27.0</v>
      </c>
    </row>
    <row r="28">
      <c r="A28" s="19">
        <v>28.0</v>
      </c>
      <c r="B28" s="20" t="s">
        <v>94</v>
      </c>
      <c r="C28" s="19">
        <v>28.0</v>
      </c>
      <c r="D28" s="20" t="s">
        <v>95</v>
      </c>
      <c r="E28" s="19">
        <v>28.0</v>
      </c>
    </row>
    <row r="29">
      <c r="A29" s="19">
        <v>29.0</v>
      </c>
      <c r="B29" s="20" t="s">
        <v>96</v>
      </c>
      <c r="C29" s="19">
        <v>29.0</v>
      </c>
      <c r="D29" s="20" t="s">
        <v>97</v>
      </c>
      <c r="E29" s="19">
        <v>29.0</v>
      </c>
    </row>
    <row r="30">
      <c r="A30" s="19">
        <v>30.0</v>
      </c>
      <c r="B30" s="20" t="s">
        <v>98</v>
      </c>
      <c r="C30" s="19">
        <v>30.0</v>
      </c>
      <c r="D30" s="20" t="s">
        <v>99</v>
      </c>
      <c r="E30" s="19">
        <v>30.0</v>
      </c>
    </row>
    <row r="31">
      <c r="A31" s="19">
        <v>31.0</v>
      </c>
      <c r="B31" s="20" t="s">
        <v>100</v>
      </c>
      <c r="C31" s="19">
        <v>31.0</v>
      </c>
      <c r="D31" s="20" t="s">
        <v>101</v>
      </c>
      <c r="E31" s="19">
        <v>31.0</v>
      </c>
    </row>
    <row r="32">
      <c r="A32" s="19">
        <v>32.0</v>
      </c>
      <c r="B32" s="20" t="s">
        <v>102</v>
      </c>
      <c r="C32" s="19">
        <v>32.0</v>
      </c>
      <c r="D32" s="20" t="s">
        <v>103</v>
      </c>
      <c r="E32" s="19">
        <v>32.0</v>
      </c>
    </row>
    <row r="33">
      <c r="A33" s="20"/>
      <c r="B33" s="20"/>
      <c r="C33" s="20"/>
      <c r="D33" s="20"/>
      <c r="E33" s="20"/>
    </row>
    <row r="34">
      <c r="A34" s="20"/>
      <c r="B34" s="20"/>
      <c r="C34" s="20"/>
      <c r="D34" s="20"/>
      <c r="E34" s="20"/>
    </row>
    <row r="35">
      <c r="A35" s="20"/>
      <c r="B35" s="20"/>
      <c r="C35" s="20"/>
      <c r="D35" s="20"/>
      <c r="E35" s="20"/>
    </row>
    <row r="36">
      <c r="A36" s="20"/>
      <c r="B36" s="20"/>
      <c r="C36" s="20"/>
      <c r="D36" s="20"/>
      <c r="E36" s="20"/>
    </row>
    <row r="37">
      <c r="A37" s="20"/>
      <c r="B37" s="20"/>
      <c r="C37" s="20"/>
      <c r="D37" s="20"/>
      <c r="E37" s="20"/>
    </row>
    <row r="38">
      <c r="A38" s="20"/>
      <c r="B38" s="20"/>
      <c r="C38" s="20"/>
      <c r="D38" s="20"/>
      <c r="E38" s="20"/>
    </row>
    <row r="39">
      <c r="A39" s="20"/>
      <c r="B39" s="20"/>
      <c r="C39" s="20"/>
      <c r="D39" s="20"/>
      <c r="E39" s="20"/>
    </row>
    <row r="40">
      <c r="A40" s="20"/>
      <c r="B40" s="20"/>
      <c r="C40" s="20"/>
      <c r="D40" s="20"/>
      <c r="E40" s="20"/>
    </row>
    <row r="41">
      <c r="A41" s="20"/>
      <c r="B41" s="20"/>
      <c r="C41" s="20"/>
      <c r="D41" s="20"/>
      <c r="E41" s="20"/>
    </row>
    <row r="42">
      <c r="A42" s="20"/>
      <c r="B42" s="20"/>
      <c r="C42" s="20"/>
      <c r="D42" s="20"/>
      <c r="E42" s="20"/>
    </row>
    <row r="43">
      <c r="A43" s="20"/>
      <c r="B43" s="20"/>
      <c r="C43" s="20"/>
      <c r="D43" s="20"/>
      <c r="E43" s="20"/>
    </row>
    <row r="44">
      <c r="A44" s="20"/>
      <c r="B44" s="20"/>
      <c r="C44" s="20"/>
      <c r="D44" s="20"/>
      <c r="E44" s="20"/>
    </row>
    <row r="45">
      <c r="A45" s="20"/>
      <c r="B45" s="20"/>
      <c r="C45" s="20"/>
      <c r="D45" s="20"/>
      <c r="E45" s="20"/>
    </row>
    <row r="46">
      <c r="A46" s="20"/>
      <c r="B46" s="20"/>
      <c r="C46" s="20"/>
      <c r="D46" s="20"/>
      <c r="E46" s="20"/>
    </row>
    <row r="47">
      <c r="A47" s="20"/>
      <c r="B47" s="20"/>
      <c r="C47" s="20"/>
      <c r="D47" s="20"/>
      <c r="E47" s="20"/>
    </row>
    <row r="48">
      <c r="A48" s="20"/>
      <c r="B48" s="20"/>
      <c r="C48" s="20"/>
      <c r="D48" s="20"/>
      <c r="E48" s="20"/>
    </row>
    <row r="49">
      <c r="A49" s="20"/>
      <c r="B49" s="20"/>
      <c r="C49" s="20"/>
      <c r="D49" s="20"/>
      <c r="E49" s="20"/>
    </row>
    <row r="50">
      <c r="A50" s="20"/>
      <c r="B50" s="20"/>
      <c r="C50" s="20"/>
      <c r="D50" s="20"/>
      <c r="E50" s="20"/>
    </row>
    <row r="51">
      <c r="A51" s="20"/>
      <c r="B51" s="20"/>
      <c r="C51" s="20"/>
      <c r="D51" s="20"/>
      <c r="E51" s="20"/>
    </row>
    <row r="52">
      <c r="A52" s="20"/>
      <c r="B52" s="20"/>
      <c r="C52" s="20"/>
      <c r="D52" s="20"/>
      <c r="E52" s="20"/>
    </row>
    <row r="53">
      <c r="A53" s="20"/>
      <c r="B53" s="20"/>
      <c r="C53" s="20"/>
      <c r="D53" s="20"/>
      <c r="E53" s="20"/>
    </row>
    <row r="54">
      <c r="A54" s="20"/>
      <c r="B54" s="20"/>
      <c r="C54" s="20"/>
      <c r="D54" s="20"/>
      <c r="E54" s="20"/>
    </row>
    <row r="55">
      <c r="A55" s="20"/>
      <c r="B55" s="20"/>
      <c r="C55" s="20"/>
      <c r="D55" s="20"/>
      <c r="E55" s="20"/>
    </row>
    <row r="56">
      <c r="A56" s="20"/>
      <c r="B56" s="20"/>
      <c r="C56" s="20"/>
      <c r="D56" s="20"/>
      <c r="E56" s="20"/>
    </row>
    <row r="57">
      <c r="A57" s="20"/>
      <c r="B57" s="20"/>
      <c r="C57" s="20"/>
      <c r="D57" s="20"/>
      <c r="E57" s="20"/>
    </row>
    <row r="58">
      <c r="A58" s="20"/>
      <c r="B58" s="20"/>
      <c r="C58" s="20"/>
      <c r="D58" s="20"/>
      <c r="E58" s="20"/>
    </row>
    <row r="59">
      <c r="A59" s="20"/>
      <c r="B59" s="20"/>
      <c r="C59" s="20"/>
      <c r="D59" s="20"/>
      <c r="E59" s="20"/>
    </row>
    <row r="60">
      <c r="A60" s="20"/>
      <c r="B60" s="20"/>
      <c r="C60" s="20"/>
      <c r="D60" s="20"/>
      <c r="E60" s="20"/>
    </row>
    <row r="61">
      <c r="A61" s="20"/>
      <c r="B61" s="20"/>
      <c r="C61" s="20"/>
      <c r="D61" s="20"/>
      <c r="E61" s="20"/>
    </row>
    <row r="62">
      <c r="A62" s="20"/>
      <c r="B62" s="20"/>
      <c r="C62" s="20"/>
      <c r="D62" s="20"/>
      <c r="E62" s="20"/>
    </row>
    <row r="63">
      <c r="A63" s="20"/>
      <c r="B63" s="20"/>
      <c r="C63" s="20"/>
      <c r="D63" s="20"/>
      <c r="E63" s="20"/>
    </row>
    <row r="64">
      <c r="A64" s="20"/>
      <c r="B64" s="20"/>
      <c r="C64" s="20"/>
      <c r="D64" s="20"/>
      <c r="E64" s="20"/>
    </row>
    <row r="65">
      <c r="A65" s="20"/>
      <c r="B65" s="20"/>
      <c r="C65" s="20"/>
      <c r="D65" s="20"/>
      <c r="E65" s="20"/>
    </row>
    <row r="66">
      <c r="A66" s="20"/>
      <c r="B66" s="20"/>
      <c r="C66" s="20"/>
      <c r="D66" s="20"/>
      <c r="E66" s="20"/>
    </row>
    <row r="67">
      <c r="A67" s="20"/>
      <c r="B67" s="20"/>
      <c r="C67" s="20"/>
      <c r="D67" s="20"/>
      <c r="E67" s="20"/>
    </row>
    <row r="68">
      <c r="A68" s="20"/>
      <c r="B68" s="20"/>
      <c r="C68" s="20"/>
      <c r="D68" s="20"/>
      <c r="E68" s="20"/>
    </row>
    <row r="69">
      <c r="A69" s="20"/>
      <c r="B69" s="20"/>
      <c r="C69" s="20"/>
      <c r="D69" s="20"/>
      <c r="E69" s="20"/>
    </row>
    <row r="70">
      <c r="A70" s="20"/>
      <c r="B70" s="20"/>
      <c r="C70" s="20"/>
      <c r="D70" s="20"/>
      <c r="E70" s="20"/>
    </row>
    <row r="71">
      <c r="A71" s="20"/>
      <c r="B71" s="20"/>
      <c r="C71" s="20"/>
      <c r="D71" s="20"/>
      <c r="E71" s="20"/>
    </row>
    <row r="72">
      <c r="A72" s="20"/>
      <c r="B72" s="20"/>
      <c r="C72" s="20"/>
      <c r="D72" s="20"/>
      <c r="E72" s="20"/>
    </row>
    <row r="73">
      <c r="A73" s="20"/>
      <c r="B73" s="20"/>
      <c r="C73" s="20"/>
      <c r="D73" s="20"/>
      <c r="E73" s="20"/>
    </row>
    <row r="74">
      <c r="A74" s="20"/>
      <c r="B74" s="20"/>
      <c r="C74" s="20"/>
      <c r="D74" s="20"/>
      <c r="E74" s="20"/>
    </row>
    <row r="75">
      <c r="A75" s="20"/>
      <c r="B75" s="20"/>
      <c r="C75" s="20"/>
      <c r="D75" s="20"/>
      <c r="E75" s="20"/>
    </row>
    <row r="76">
      <c r="A76" s="20"/>
      <c r="B76" s="20"/>
      <c r="C76" s="20"/>
      <c r="D76" s="20"/>
      <c r="E76" s="20"/>
    </row>
    <row r="77">
      <c r="A77" s="20"/>
      <c r="B77" s="20"/>
      <c r="C77" s="20"/>
      <c r="D77" s="20"/>
      <c r="E77" s="20"/>
    </row>
    <row r="78">
      <c r="A78" s="20"/>
      <c r="B78" s="20"/>
      <c r="C78" s="20"/>
      <c r="D78" s="20"/>
      <c r="E78" s="20"/>
    </row>
    <row r="79">
      <c r="A79" s="20"/>
      <c r="B79" s="20"/>
      <c r="C79" s="20"/>
      <c r="D79" s="20"/>
      <c r="E79" s="20"/>
    </row>
    <row r="80">
      <c r="A80" s="20"/>
      <c r="B80" s="20"/>
      <c r="C80" s="20"/>
      <c r="D80" s="20"/>
      <c r="E80" s="20"/>
    </row>
    <row r="81">
      <c r="A81" s="20"/>
      <c r="B81" s="20"/>
      <c r="C81" s="20"/>
      <c r="D81" s="20"/>
      <c r="E81" s="20"/>
    </row>
    <row r="82">
      <c r="A82" s="20"/>
      <c r="B82" s="20"/>
      <c r="C82" s="20"/>
      <c r="D82" s="20"/>
      <c r="E82" s="20"/>
    </row>
    <row r="83">
      <c r="A83" s="20"/>
      <c r="B83" s="20"/>
      <c r="C83" s="20"/>
      <c r="D83" s="20"/>
      <c r="E83" s="20"/>
    </row>
    <row r="84">
      <c r="A84" s="20"/>
      <c r="B84" s="20"/>
      <c r="C84" s="20"/>
      <c r="D84" s="20"/>
      <c r="E84" s="20"/>
    </row>
    <row r="85">
      <c r="A85" s="20"/>
      <c r="B85" s="20"/>
      <c r="C85" s="20"/>
      <c r="D85" s="20"/>
      <c r="E85" s="20"/>
    </row>
    <row r="86">
      <c r="A86" s="20"/>
      <c r="B86" s="20"/>
      <c r="C86" s="20"/>
      <c r="D86" s="20"/>
      <c r="E86" s="20"/>
    </row>
    <row r="87">
      <c r="A87" s="20"/>
      <c r="B87" s="20"/>
      <c r="C87" s="20"/>
      <c r="D87" s="20"/>
      <c r="E87" s="20"/>
    </row>
    <row r="88">
      <c r="A88" s="20"/>
      <c r="B88" s="20"/>
      <c r="C88" s="20"/>
      <c r="D88" s="20"/>
      <c r="E88" s="20"/>
    </row>
    <row r="89">
      <c r="A89" s="20"/>
      <c r="B89" s="20"/>
      <c r="C89" s="20"/>
      <c r="D89" s="20"/>
      <c r="E89" s="20"/>
    </row>
    <row r="90">
      <c r="A90" s="20"/>
      <c r="B90" s="20"/>
      <c r="C90" s="20"/>
      <c r="D90" s="20"/>
      <c r="E90" s="20"/>
    </row>
    <row r="91">
      <c r="A91" s="20"/>
      <c r="B91" s="20"/>
      <c r="C91" s="20"/>
      <c r="D91" s="20"/>
      <c r="E91" s="20"/>
    </row>
    <row r="92">
      <c r="A92" s="20"/>
      <c r="B92" s="20"/>
      <c r="C92" s="20"/>
      <c r="D92" s="20"/>
      <c r="E92" s="20"/>
    </row>
    <row r="93">
      <c r="A93" s="20"/>
      <c r="B93" s="20"/>
      <c r="C93" s="20"/>
      <c r="D93" s="20"/>
      <c r="E93" s="20"/>
    </row>
    <row r="94">
      <c r="A94" s="20"/>
      <c r="B94" s="20"/>
      <c r="C94" s="20"/>
      <c r="D94" s="20"/>
      <c r="E94" s="20"/>
    </row>
    <row r="95">
      <c r="A95" s="20"/>
      <c r="B95" s="20"/>
      <c r="C95" s="20"/>
      <c r="D95" s="20"/>
      <c r="E95" s="20"/>
    </row>
    <row r="96">
      <c r="A96" s="20"/>
      <c r="B96" s="20"/>
      <c r="C96" s="20"/>
      <c r="D96" s="20"/>
      <c r="E96" s="20"/>
    </row>
    <row r="97">
      <c r="A97" s="20"/>
      <c r="B97" s="20"/>
      <c r="C97" s="20"/>
      <c r="D97" s="20"/>
      <c r="E97" s="20"/>
    </row>
    <row r="98">
      <c r="A98" s="20"/>
      <c r="B98" s="20"/>
      <c r="C98" s="20"/>
      <c r="D98" s="20"/>
      <c r="E98" s="20"/>
    </row>
    <row r="99">
      <c r="A99" s="20"/>
      <c r="B99" s="20"/>
      <c r="C99" s="20"/>
      <c r="D99" s="20"/>
      <c r="E99" s="20"/>
    </row>
    <row r="100">
      <c r="A100" s="20"/>
      <c r="B100" s="20"/>
      <c r="C100" s="20"/>
      <c r="D100" s="20"/>
      <c r="E100" s="20"/>
    </row>
    <row r="101">
      <c r="A101" s="20"/>
      <c r="B101" s="20"/>
      <c r="C101" s="20"/>
      <c r="D101" s="20"/>
      <c r="E101" s="20"/>
    </row>
    <row r="102">
      <c r="A102" s="20"/>
      <c r="B102" s="20"/>
      <c r="C102" s="20"/>
      <c r="D102" s="20"/>
      <c r="E102" s="20"/>
    </row>
    <row r="103">
      <c r="A103" s="20"/>
      <c r="B103" s="20"/>
      <c r="C103" s="20"/>
      <c r="D103" s="20"/>
      <c r="E103" s="20"/>
    </row>
    <row r="104">
      <c r="A104" s="20"/>
      <c r="B104" s="20"/>
      <c r="C104" s="20"/>
      <c r="D104" s="20"/>
      <c r="E104" s="20"/>
    </row>
    <row r="105">
      <c r="A105" s="20"/>
      <c r="B105" s="20"/>
      <c r="C105" s="20"/>
      <c r="D105" s="20"/>
      <c r="E105" s="20"/>
    </row>
    <row r="106">
      <c r="A106" s="20"/>
      <c r="B106" s="20"/>
      <c r="C106" s="20"/>
      <c r="D106" s="20"/>
      <c r="E106" s="20"/>
    </row>
    <row r="107">
      <c r="A107" s="20"/>
      <c r="B107" s="20"/>
      <c r="C107" s="20"/>
      <c r="D107" s="20"/>
      <c r="E107" s="20"/>
    </row>
    <row r="108">
      <c r="A108" s="20"/>
      <c r="B108" s="20"/>
      <c r="C108" s="20"/>
      <c r="D108" s="20"/>
      <c r="E108" s="20"/>
    </row>
    <row r="109">
      <c r="A109" s="20"/>
      <c r="B109" s="20"/>
      <c r="C109" s="20"/>
      <c r="D109" s="20"/>
      <c r="E109" s="20"/>
    </row>
    <row r="110">
      <c r="A110" s="20"/>
      <c r="B110" s="20"/>
      <c r="C110" s="20"/>
      <c r="D110" s="20"/>
      <c r="E110" s="20"/>
    </row>
    <row r="111">
      <c r="A111" s="20"/>
      <c r="B111" s="20"/>
      <c r="C111" s="20"/>
      <c r="D111" s="20"/>
      <c r="E111" s="20"/>
    </row>
    <row r="112">
      <c r="A112" s="20"/>
      <c r="B112" s="20"/>
      <c r="C112" s="20"/>
      <c r="D112" s="20"/>
      <c r="E112" s="20"/>
    </row>
    <row r="113">
      <c r="A113" s="20"/>
      <c r="B113" s="20"/>
      <c r="C113" s="20"/>
      <c r="D113" s="20"/>
      <c r="E113" s="20"/>
    </row>
    <row r="114">
      <c r="A114" s="20"/>
      <c r="B114" s="20"/>
      <c r="C114" s="20"/>
      <c r="D114" s="20"/>
      <c r="E114" s="20"/>
    </row>
    <row r="115">
      <c r="A115" s="20"/>
      <c r="B115" s="20"/>
      <c r="C115" s="20"/>
      <c r="D115" s="20"/>
      <c r="E115" s="20"/>
    </row>
    <row r="116">
      <c r="A116" s="20"/>
      <c r="B116" s="20"/>
      <c r="C116" s="20"/>
      <c r="D116" s="20"/>
      <c r="E116" s="20"/>
    </row>
    <row r="117">
      <c r="A117" s="20"/>
      <c r="B117" s="20"/>
      <c r="C117" s="20"/>
      <c r="D117" s="20"/>
      <c r="E117" s="20"/>
    </row>
    <row r="118">
      <c r="A118" s="20"/>
      <c r="B118" s="20"/>
      <c r="C118" s="20"/>
      <c r="D118" s="20"/>
      <c r="E118" s="20"/>
    </row>
    <row r="119">
      <c r="A119" s="20"/>
      <c r="B119" s="20"/>
      <c r="C119" s="20"/>
      <c r="D119" s="20"/>
      <c r="E119" s="20"/>
    </row>
    <row r="120">
      <c r="A120" s="20"/>
      <c r="B120" s="20"/>
      <c r="C120" s="20"/>
      <c r="D120" s="20"/>
      <c r="E120" s="20"/>
    </row>
    <row r="121">
      <c r="A121" s="20"/>
      <c r="B121" s="20"/>
      <c r="C121" s="20"/>
      <c r="D121" s="20"/>
      <c r="E121" s="20"/>
    </row>
    <row r="122">
      <c r="A122" s="20"/>
      <c r="B122" s="20"/>
      <c r="C122" s="20"/>
      <c r="D122" s="20"/>
      <c r="E122" s="20"/>
    </row>
    <row r="123">
      <c r="A123" s="20"/>
      <c r="B123" s="20"/>
      <c r="C123" s="20"/>
      <c r="D123" s="20"/>
      <c r="E123" s="20"/>
    </row>
    <row r="124">
      <c r="A124" s="20"/>
      <c r="B124" s="20"/>
      <c r="C124" s="20"/>
      <c r="D124" s="20"/>
      <c r="E124" s="20"/>
    </row>
    <row r="125">
      <c r="A125" s="20"/>
      <c r="B125" s="20"/>
      <c r="C125" s="20"/>
      <c r="D125" s="20"/>
      <c r="E125" s="20"/>
    </row>
    <row r="126">
      <c r="A126" s="20"/>
      <c r="B126" s="20"/>
      <c r="C126" s="20"/>
      <c r="D126" s="20"/>
      <c r="E126" s="20"/>
    </row>
    <row r="127">
      <c r="A127" s="20"/>
      <c r="B127" s="20"/>
      <c r="C127" s="20"/>
      <c r="D127" s="20"/>
      <c r="E127" s="20"/>
    </row>
    <row r="128">
      <c r="A128" s="20"/>
      <c r="B128" s="20"/>
      <c r="C128" s="20"/>
      <c r="D128" s="20"/>
      <c r="E128" s="20"/>
    </row>
    <row r="129">
      <c r="A129" s="20"/>
      <c r="B129" s="20"/>
      <c r="C129" s="20"/>
      <c r="D129" s="20"/>
      <c r="E129" s="20"/>
    </row>
    <row r="130">
      <c r="A130" s="20"/>
      <c r="B130" s="20"/>
      <c r="C130" s="20"/>
      <c r="D130" s="20"/>
      <c r="E130" s="20"/>
    </row>
    <row r="131">
      <c r="A131" s="20"/>
      <c r="B131" s="20"/>
      <c r="C131" s="20"/>
      <c r="D131" s="20"/>
      <c r="E131" s="20"/>
    </row>
    <row r="132">
      <c r="A132" s="20"/>
      <c r="B132" s="20"/>
      <c r="C132" s="20"/>
      <c r="D132" s="20"/>
      <c r="E132" s="20"/>
    </row>
    <row r="133">
      <c r="A133" s="20"/>
      <c r="B133" s="20"/>
      <c r="C133" s="20"/>
      <c r="D133" s="20"/>
      <c r="E133" s="20"/>
    </row>
    <row r="134">
      <c r="A134" s="20"/>
      <c r="B134" s="20"/>
      <c r="C134" s="20"/>
      <c r="D134" s="20"/>
      <c r="E134" s="20"/>
    </row>
    <row r="135">
      <c r="A135" s="20"/>
      <c r="B135" s="20"/>
      <c r="C135" s="20"/>
      <c r="D135" s="20"/>
      <c r="E135" s="20"/>
    </row>
    <row r="136">
      <c r="A136" s="20"/>
      <c r="B136" s="20"/>
      <c r="C136" s="20"/>
      <c r="D136" s="20"/>
      <c r="E136" s="20"/>
    </row>
    <row r="137">
      <c r="A137" s="20"/>
      <c r="B137" s="20"/>
      <c r="C137" s="20"/>
      <c r="D137" s="20"/>
      <c r="E137" s="20"/>
    </row>
    <row r="138">
      <c r="A138" s="20"/>
      <c r="B138" s="20"/>
      <c r="C138" s="20"/>
      <c r="D138" s="20"/>
      <c r="E138" s="20"/>
    </row>
    <row r="139">
      <c r="A139" s="20"/>
      <c r="B139" s="20"/>
      <c r="C139" s="20"/>
      <c r="D139" s="20"/>
      <c r="E139" s="20"/>
    </row>
    <row r="140">
      <c r="A140" s="20"/>
      <c r="B140" s="20"/>
      <c r="C140" s="20"/>
      <c r="D140" s="20"/>
      <c r="E140" s="20"/>
    </row>
    <row r="141">
      <c r="A141" s="20"/>
      <c r="B141" s="20"/>
      <c r="C141" s="20"/>
      <c r="D141" s="20"/>
      <c r="E141" s="20"/>
    </row>
    <row r="142">
      <c r="A142" s="20"/>
      <c r="B142" s="20"/>
      <c r="C142" s="20"/>
      <c r="D142" s="20"/>
      <c r="E142" s="20"/>
    </row>
    <row r="143">
      <c r="A143" s="20"/>
      <c r="B143" s="20"/>
      <c r="C143" s="20"/>
      <c r="D143" s="20"/>
      <c r="E143" s="20"/>
    </row>
    <row r="144">
      <c r="A144" s="20"/>
      <c r="B144" s="20"/>
      <c r="C144" s="20"/>
      <c r="D144" s="20"/>
      <c r="E144" s="20"/>
    </row>
    <row r="145">
      <c r="A145" s="20"/>
      <c r="B145" s="20"/>
      <c r="C145" s="20"/>
      <c r="D145" s="20"/>
      <c r="E145" s="20"/>
    </row>
    <row r="146">
      <c r="A146" s="20"/>
      <c r="B146" s="20"/>
      <c r="C146" s="20"/>
      <c r="D146" s="20"/>
      <c r="E146" s="20"/>
    </row>
    <row r="147">
      <c r="A147" s="20"/>
      <c r="B147" s="20"/>
      <c r="C147" s="20"/>
      <c r="D147" s="20"/>
      <c r="E147" s="20"/>
    </row>
    <row r="148">
      <c r="A148" s="20"/>
      <c r="B148" s="20"/>
      <c r="C148" s="20"/>
      <c r="D148" s="20"/>
      <c r="E148" s="20"/>
    </row>
    <row r="149">
      <c r="A149" s="20"/>
      <c r="B149" s="20"/>
      <c r="C149" s="20"/>
      <c r="D149" s="20"/>
      <c r="E149" s="20"/>
    </row>
    <row r="150">
      <c r="A150" s="20"/>
      <c r="B150" s="20"/>
      <c r="C150" s="20"/>
      <c r="D150" s="20"/>
      <c r="E150" s="20"/>
    </row>
    <row r="151">
      <c r="A151" s="20"/>
      <c r="B151" s="20"/>
      <c r="C151" s="20"/>
      <c r="D151" s="20"/>
      <c r="E151" s="20"/>
    </row>
    <row r="152">
      <c r="A152" s="20"/>
      <c r="B152" s="20"/>
      <c r="C152" s="20"/>
      <c r="D152" s="20"/>
      <c r="E152" s="20"/>
    </row>
    <row r="153">
      <c r="A153" s="20"/>
      <c r="B153" s="20"/>
      <c r="C153" s="20"/>
      <c r="D153" s="20"/>
      <c r="E153" s="20"/>
    </row>
    <row r="154">
      <c r="A154" s="20"/>
      <c r="B154" s="20"/>
      <c r="C154" s="20"/>
      <c r="D154" s="20"/>
      <c r="E154" s="20"/>
    </row>
    <row r="155">
      <c r="A155" s="20"/>
      <c r="B155" s="20"/>
      <c r="C155" s="20"/>
      <c r="D155" s="20"/>
      <c r="E155" s="20"/>
    </row>
    <row r="156">
      <c r="A156" s="20"/>
      <c r="B156" s="20"/>
      <c r="C156" s="20"/>
      <c r="D156" s="20"/>
      <c r="E156" s="20"/>
    </row>
    <row r="157">
      <c r="A157" s="20"/>
      <c r="B157" s="20"/>
      <c r="C157" s="20"/>
      <c r="D157" s="20"/>
      <c r="E157" s="20"/>
    </row>
    <row r="158">
      <c r="A158" s="20"/>
      <c r="B158" s="20"/>
      <c r="C158" s="20"/>
      <c r="D158" s="20"/>
      <c r="E158" s="20"/>
    </row>
    <row r="159">
      <c r="A159" s="20"/>
      <c r="B159" s="20"/>
      <c r="C159" s="20"/>
      <c r="D159" s="20"/>
      <c r="E159" s="20"/>
    </row>
    <row r="160">
      <c r="A160" s="20"/>
      <c r="B160" s="20"/>
      <c r="C160" s="20"/>
      <c r="D160" s="20"/>
      <c r="E160" s="20"/>
    </row>
    <row r="161">
      <c r="A161" s="20"/>
      <c r="B161" s="20"/>
      <c r="C161" s="20"/>
      <c r="D161" s="20"/>
      <c r="E161" s="20"/>
    </row>
    <row r="162">
      <c r="A162" s="20"/>
      <c r="B162" s="20"/>
      <c r="C162" s="20"/>
      <c r="D162" s="20"/>
      <c r="E162" s="20"/>
    </row>
    <row r="163">
      <c r="A163" s="20"/>
      <c r="B163" s="20"/>
      <c r="C163" s="20"/>
      <c r="D163" s="20"/>
      <c r="E163" s="20"/>
    </row>
    <row r="164">
      <c r="A164" s="20"/>
      <c r="B164" s="20"/>
      <c r="C164" s="20"/>
      <c r="D164" s="20"/>
      <c r="E164" s="20"/>
    </row>
    <row r="165">
      <c r="A165" s="20"/>
      <c r="B165" s="20"/>
      <c r="C165" s="20"/>
      <c r="D165" s="20"/>
      <c r="E165" s="20"/>
    </row>
    <row r="166">
      <c r="A166" s="20"/>
      <c r="B166" s="20"/>
      <c r="C166" s="20"/>
      <c r="D166" s="20"/>
      <c r="E166" s="20"/>
    </row>
    <row r="167">
      <c r="A167" s="20"/>
      <c r="B167" s="20"/>
      <c r="C167" s="20"/>
      <c r="D167" s="20"/>
      <c r="E167" s="20"/>
    </row>
    <row r="168">
      <c r="A168" s="20"/>
      <c r="B168" s="20"/>
      <c r="C168" s="20"/>
      <c r="D168" s="20"/>
      <c r="E168" s="20"/>
    </row>
    <row r="169">
      <c r="A169" s="20"/>
      <c r="B169" s="20"/>
      <c r="C169" s="20"/>
      <c r="D169" s="20"/>
      <c r="E169" s="20"/>
    </row>
    <row r="170">
      <c r="A170" s="20"/>
      <c r="B170" s="20"/>
      <c r="C170" s="20"/>
      <c r="D170" s="20"/>
      <c r="E170" s="20"/>
    </row>
    <row r="171">
      <c r="A171" s="20"/>
      <c r="B171" s="20"/>
      <c r="C171" s="20"/>
      <c r="D171" s="20"/>
      <c r="E171" s="20"/>
    </row>
    <row r="172">
      <c r="A172" s="20"/>
      <c r="B172" s="20"/>
      <c r="C172" s="20"/>
      <c r="D172" s="20"/>
      <c r="E172" s="20"/>
    </row>
    <row r="173">
      <c r="A173" s="20"/>
      <c r="B173" s="20"/>
      <c r="C173" s="20"/>
      <c r="D173" s="20"/>
      <c r="E173" s="20"/>
    </row>
    <row r="174">
      <c r="A174" s="20"/>
      <c r="B174" s="20"/>
      <c r="C174" s="20"/>
      <c r="D174" s="20"/>
      <c r="E174" s="20"/>
    </row>
    <row r="175">
      <c r="A175" s="20"/>
      <c r="B175" s="20"/>
      <c r="C175" s="20"/>
      <c r="D175" s="20"/>
      <c r="E175" s="20"/>
    </row>
    <row r="176">
      <c r="A176" s="20"/>
      <c r="B176" s="20"/>
      <c r="C176" s="20"/>
      <c r="D176" s="20"/>
      <c r="E176" s="20"/>
    </row>
    <row r="177">
      <c r="A177" s="20"/>
      <c r="B177" s="20"/>
      <c r="C177" s="20"/>
      <c r="D177" s="20"/>
      <c r="E177" s="20"/>
    </row>
    <row r="178">
      <c r="A178" s="20"/>
      <c r="B178" s="20"/>
      <c r="C178" s="20"/>
      <c r="D178" s="20"/>
      <c r="E178" s="20"/>
    </row>
    <row r="179">
      <c r="A179" s="20"/>
      <c r="B179" s="20"/>
      <c r="C179" s="20"/>
      <c r="D179" s="20"/>
      <c r="E179" s="20"/>
    </row>
    <row r="180">
      <c r="A180" s="20"/>
      <c r="B180" s="20"/>
      <c r="C180" s="20"/>
      <c r="D180" s="20"/>
      <c r="E180" s="20"/>
    </row>
    <row r="181">
      <c r="A181" s="20"/>
      <c r="B181" s="20"/>
      <c r="C181" s="20"/>
      <c r="D181" s="20"/>
      <c r="E181" s="20"/>
    </row>
    <row r="182">
      <c r="A182" s="20"/>
      <c r="B182" s="20"/>
      <c r="C182" s="20"/>
      <c r="D182" s="20"/>
      <c r="E182" s="20"/>
    </row>
    <row r="183">
      <c r="A183" s="20"/>
      <c r="B183" s="20"/>
      <c r="C183" s="20"/>
      <c r="D183" s="20"/>
      <c r="E183" s="20"/>
    </row>
    <row r="184">
      <c r="A184" s="20"/>
      <c r="B184" s="20"/>
      <c r="C184" s="20"/>
      <c r="D184" s="20"/>
      <c r="E184" s="20"/>
    </row>
    <row r="185">
      <c r="A185" s="20"/>
      <c r="B185" s="20"/>
      <c r="C185" s="20"/>
      <c r="D185" s="20"/>
      <c r="E185" s="20"/>
    </row>
    <row r="186">
      <c r="A186" s="20"/>
      <c r="B186" s="20"/>
      <c r="C186" s="20"/>
      <c r="D186" s="20"/>
      <c r="E186" s="20"/>
    </row>
    <row r="187">
      <c r="A187" s="20"/>
      <c r="B187" s="20"/>
      <c r="C187" s="20"/>
      <c r="D187" s="20"/>
      <c r="E187" s="20"/>
    </row>
    <row r="188">
      <c r="A188" s="20"/>
      <c r="B188" s="20"/>
      <c r="C188" s="20"/>
      <c r="D188" s="20"/>
      <c r="E188" s="20"/>
    </row>
    <row r="189">
      <c r="A189" s="20"/>
      <c r="B189" s="20"/>
      <c r="C189" s="20"/>
      <c r="D189" s="20"/>
      <c r="E189" s="20"/>
    </row>
    <row r="190">
      <c r="A190" s="20"/>
      <c r="B190" s="20"/>
      <c r="C190" s="20"/>
      <c r="D190" s="20"/>
      <c r="E190" s="20"/>
    </row>
    <row r="191">
      <c r="A191" s="20"/>
      <c r="B191" s="20"/>
      <c r="C191" s="20"/>
      <c r="D191" s="20"/>
      <c r="E191" s="20"/>
    </row>
    <row r="192">
      <c r="A192" s="20"/>
      <c r="B192" s="20"/>
      <c r="C192" s="20"/>
      <c r="D192" s="20"/>
      <c r="E192" s="20"/>
    </row>
    <row r="193">
      <c r="A193" s="20"/>
      <c r="B193" s="20"/>
      <c r="C193" s="20"/>
      <c r="D193" s="20"/>
      <c r="E193" s="20"/>
    </row>
    <row r="194">
      <c r="A194" s="20"/>
      <c r="B194" s="20"/>
      <c r="C194" s="20"/>
      <c r="D194" s="20"/>
      <c r="E194" s="20"/>
    </row>
    <row r="195">
      <c r="A195" s="20"/>
      <c r="B195" s="20"/>
      <c r="C195" s="20"/>
      <c r="D195" s="20"/>
      <c r="E195" s="20"/>
    </row>
    <row r="196">
      <c r="A196" s="20"/>
      <c r="B196" s="20"/>
      <c r="C196" s="20"/>
      <c r="D196" s="20"/>
      <c r="E196" s="20"/>
    </row>
    <row r="197">
      <c r="A197" s="20"/>
      <c r="B197" s="20"/>
      <c r="C197" s="20"/>
      <c r="D197" s="20"/>
      <c r="E197" s="20"/>
    </row>
    <row r="198">
      <c r="A198" s="20"/>
      <c r="B198" s="20"/>
      <c r="C198" s="20"/>
      <c r="D198" s="20"/>
      <c r="E198" s="20"/>
    </row>
    <row r="199">
      <c r="A199" s="20"/>
      <c r="B199" s="20"/>
      <c r="C199" s="20"/>
      <c r="D199" s="20"/>
      <c r="E199" s="20"/>
    </row>
    <row r="200">
      <c r="A200" s="20"/>
      <c r="B200" s="20"/>
      <c r="C200" s="20"/>
      <c r="D200" s="20"/>
      <c r="E200" s="20"/>
    </row>
    <row r="201">
      <c r="A201" s="20"/>
      <c r="B201" s="20"/>
      <c r="C201" s="20"/>
      <c r="D201" s="20"/>
      <c r="E201" s="20"/>
    </row>
    <row r="202">
      <c r="A202" s="20"/>
      <c r="B202" s="20"/>
      <c r="C202" s="20"/>
      <c r="D202" s="20"/>
      <c r="E202" s="20"/>
    </row>
    <row r="203">
      <c r="A203" s="20"/>
      <c r="B203" s="20"/>
      <c r="C203" s="20"/>
      <c r="D203" s="20"/>
      <c r="E203" s="20"/>
    </row>
    <row r="204">
      <c r="A204" s="20"/>
      <c r="B204" s="20"/>
      <c r="C204" s="20"/>
      <c r="D204" s="20"/>
      <c r="E204" s="20"/>
    </row>
    <row r="205">
      <c r="A205" s="20"/>
      <c r="B205" s="20"/>
      <c r="C205" s="20"/>
      <c r="D205" s="20"/>
      <c r="E205" s="20"/>
    </row>
    <row r="206">
      <c r="A206" s="20"/>
      <c r="B206" s="20"/>
      <c r="C206" s="20"/>
      <c r="D206" s="20"/>
      <c r="E206" s="20"/>
    </row>
    <row r="207">
      <c r="A207" s="20"/>
      <c r="B207" s="20"/>
      <c r="C207" s="20"/>
      <c r="D207" s="20"/>
      <c r="E207" s="20"/>
    </row>
    <row r="208">
      <c r="A208" s="20"/>
      <c r="B208" s="20"/>
      <c r="C208" s="20"/>
      <c r="D208" s="20"/>
      <c r="E208" s="20"/>
    </row>
    <row r="209">
      <c r="A209" s="20"/>
      <c r="B209" s="20"/>
      <c r="C209" s="20"/>
      <c r="D209" s="20"/>
      <c r="E209" s="20"/>
    </row>
    <row r="210">
      <c r="A210" s="20"/>
      <c r="B210" s="20"/>
      <c r="C210" s="20"/>
      <c r="D210" s="20"/>
      <c r="E210" s="20"/>
    </row>
    <row r="211">
      <c r="A211" s="20"/>
      <c r="B211" s="20"/>
      <c r="C211" s="20"/>
      <c r="D211" s="20"/>
      <c r="E211" s="20"/>
    </row>
    <row r="212">
      <c r="A212" s="20"/>
      <c r="B212" s="20"/>
      <c r="C212" s="20"/>
      <c r="D212" s="20"/>
      <c r="E212" s="20"/>
    </row>
    <row r="213">
      <c r="A213" s="20"/>
      <c r="B213" s="20"/>
      <c r="C213" s="20"/>
      <c r="D213" s="20"/>
      <c r="E213" s="20"/>
    </row>
    <row r="214">
      <c r="A214" s="20"/>
      <c r="B214" s="20"/>
      <c r="C214" s="20"/>
      <c r="D214" s="20"/>
      <c r="E214" s="20"/>
    </row>
    <row r="215">
      <c r="A215" s="20"/>
      <c r="B215" s="20"/>
      <c r="C215" s="20"/>
      <c r="D215" s="20"/>
      <c r="E215" s="20"/>
    </row>
    <row r="216">
      <c r="A216" s="20"/>
      <c r="B216" s="20"/>
      <c r="C216" s="20"/>
      <c r="D216" s="20"/>
      <c r="E216" s="20"/>
    </row>
    <row r="217">
      <c r="A217" s="20"/>
      <c r="B217" s="20"/>
      <c r="C217" s="20"/>
      <c r="D217" s="20"/>
      <c r="E217" s="20"/>
    </row>
    <row r="218">
      <c r="A218" s="20"/>
      <c r="B218" s="20"/>
      <c r="C218" s="20"/>
      <c r="D218" s="20"/>
      <c r="E218" s="20"/>
    </row>
    <row r="219">
      <c r="A219" s="20"/>
      <c r="B219" s="20"/>
      <c r="C219" s="20"/>
      <c r="D219" s="20"/>
      <c r="E219" s="20"/>
    </row>
    <row r="220">
      <c r="A220" s="20"/>
      <c r="B220" s="20"/>
      <c r="C220" s="20"/>
      <c r="D220" s="20"/>
      <c r="E220" s="20"/>
    </row>
    <row r="221">
      <c r="A221" s="20"/>
      <c r="B221" s="20"/>
      <c r="C221" s="20"/>
      <c r="D221" s="20"/>
      <c r="E221" s="20"/>
    </row>
    <row r="222">
      <c r="A222" s="20"/>
      <c r="B222" s="20"/>
      <c r="C222" s="20"/>
      <c r="D222" s="20"/>
      <c r="E222" s="20"/>
    </row>
    <row r="223">
      <c r="A223" s="20"/>
      <c r="B223" s="20"/>
      <c r="C223" s="20"/>
      <c r="D223" s="20"/>
      <c r="E223" s="20"/>
    </row>
    <row r="224">
      <c r="A224" s="20"/>
      <c r="B224" s="20"/>
      <c r="C224" s="20"/>
      <c r="D224" s="20"/>
      <c r="E224" s="20"/>
    </row>
    <row r="225">
      <c r="A225" s="20"/>
      <c r="B225" s="20"/>
      <c r="C225" s="20"/>
      <c r="D225" s="20"/>
      <c r="E225" s="20"/>
    </row>
    <row r="226">
      <c r="A226" s="20"/>
      <c r="B226" s="20"/>
      <c r="C226" s="20"/>
      <c r="D226" s="20"/>
      <c r="E226" s="20"/>
    </row>
    <row r="227">
      <c r="A227" s="20"/>
      <c r="B227" s="20"/>
      <c r="C227" s="20"/>
      <c r="D227" s="20"/>
      <c r="E227" s="20"/>
    </row>
    <row r="228">
      <c r="A228" s="20"/>
      <c r="B228" s="20"/>
      <c r="C228" s="20"/>
      <c r="D228" s="20"/>
      <c r="E228" s="20"/>
    </row>
    <row r="229">
      <c r="A229" s="20"/>
      <c r="B229" s="20"/>
      <c r="C229" s="20"/>
      <c r="D229" s="20"/>
      <c r="E229" s="20"/>
    </row>
    <row r="230">
      <c r="A230" s="20"/>
      <c r="B230" s="20"/>
      <c r="C230" s="20"/>
      <c r="D230" s="20"/>
      <c r="E230" s="20"/>
    </row>
    <row r="231">
      <c r="A231" s="20"/>
      <c r="B231" s="20"/>
      <c r="C231" s="20"/>
      <c r="D231" s="20"/>
      <c r="E231" s="20"/>
    </row>
    <row r="232">
      <c r="A232" s="20"/>
      <c r="B232" s="20"/>
      <c r="C232" s="20"/>
      <c r="D232" s="20"/>
      <c r="E232" s="20"/>
    </row>
    <row r="233">
      <c r="A233" s="20"/>
      <c r="B233" s="20"/>
      <c r="C233" s="20"/>
      <c r="D233" s="20"/>
      <c r="E233" s="20"/>
    </row>
    <row r="234">
      <c r="A234" s="20"/>
      <c r="B234" s="20"/>
      <c r="C234" s="20"/>
      <c r="D234" s="20"/>
      <c r="E234" s="20"/>
    </row>
    <row r="235">
      <c r="A235" s="20"/>
      <c r="B235" s="20"/>
      <c r="C235" s="20"/>
      <c r="D235" s="20"/>
      <c r="E235" s="20"/>
    </row>
    <row r="236">
      <c r="A236" s="20"/>
      <c r="B236" s="20"/>
      <c r="C236" s="20"/>
      <c r="D236" s="20"/>
      <c r="E236" s="20"/>
    </row>
    <row r="237">
      <c r="A237" s="20"/>
      <c r="B237" s="20"/>
      <c r="C237" s="20"/>
      <c r="D237" s="20"/>
      <c r="E237" s="20"/>
    </row>
    <row r="238">
      <c r="A238" s="20"/>
      <c r="B238" s="20"/>
      <c r="C238" s="20"/>
      <c r="D238" s="20"/>
      <c r="E238" s="20"/>
    </row>
    <row r="239">
      <c r="A239" s="20"/>
      <c r="B239" s="20"/>
      <c r="C239" s="20"/>
      <c r="D239" s="20"/>
      <c r="E239" s="20"/>
    </row>
    <row r="240">
      <c r="A240" s="20"/>
      <c r="B240" s="20"/>
      <c r="C240" s="20"/>
      <c r="D240" s="20"/>
      <c r="E240" s="20"/>
    </row>
    <row r="241">
      <c r="A241" s="20"/>
      <c r="B241" s="20"/>
      <c r="C241" s="20"/>
      <c r="D241" s="20"/>
      <c r="E241" s="20"/>
    </row>
    <row r="242">
      <c r="A242" s="20"/>
      <c r="B242" s="20"/>
      <c r="C242" s="20"/>
      <c r="D242" s="20"/>
      <c r="E242" s="20"/>
    </row>
    <row r="243">
      <c r="A243" s="20"/>
      <c r="B243" s="20"/>
      <c r="C243" s="20"/>
      <c r="D243" s="20"/>
      <c r="E243" s="20"/>
    </row>
    <row r="244">
      <c r="A244" s="20"/>
      <c r="B244" s="20"/>
      <c r="C244" s="20"/>
      <c r="D244" s="20"/>
      <c r="E244" s="20"/>
    </row>
    <row r="245">
      <c r="A245" s="20"/>
      <c r="B245" s="20"/>
      <c r="C245" s="20"/>
      <c r="D245" s="20"/>
      <c r="E245" s="20"/>
    </row>
    <row r="246">
      <c r="A246" s="20"/>
      <c r="B246" s="20"/>
      <c r="C246" s="20"/>
      <c r="D246" s="20"/>
      <c r="E246" s="20"/>
    </row>
    <row r="247">
      <c r="A247" s="20"/>
      <c r="B247" s="20"/>
      <c r="C247" s="20"/>
      <c r="D247" s="20"/>
      <c r="E247" s="20"/>
    </row>
    <row r="248">
      <c r="A248" s="20"/>
      <c r="B248" s="20"/>
      <c r="C248" s="20"/>
      <c r="D248" s="20"/>
      <c r="E248" s="20"/>
    </row>
    <row r="249">
      <c r="A249" s="20"/>
      <c r="B249" s="20"/>
      <c r="C249" s="20"/>
      <c r="D249" s="20"/>
      <c r="E249" s="20"/>
    </row>
    <row r="250">
      <c r="A250" s="20"/>
      <c r="B250" s="20"/>
      <c r="C250" s="20"/>
      <c r="D250" s="20"/>
      <c r="E250" s="20"/>
    </row>
    <row r="251">
      <c r="A251" s="20"/>
      <c r="B251" s="20"/>
      <c r="C251" s="20"/>
      <c r="D251" s="20"/>
      <c r="E251" s="20"/>
    </row>
    <row r="252">
      <c r="A252" s="20"/>
      <c r="B252" s="20"/>
      <c r="C252" s="20"/>
      <c r="D252" s="20"/>
      <c r="E252" s="20"/>
    </row>
    <row r="253">
      <c r="A253" s="20"/>
      <c r="B253" s="20"/>
      <c r="C253" s="20"/>
      <c r="D253" s="20"/>
      <c r="E253" s="20"/>
    </row>
    <row r="254">
      <c r="A254" s="20"/>
      <c r="B254" s="20"/>
      <c r="C254" s="20"/>
      <c r="D254" s="20"/>
      <c r="E254" s="20"/>
    </row>
    <row r="255">
      <c r="A255" s="20"/>
      <c r="B255" s="20"/>
      <c r="C255" s="20"/>
      <c r="D255" s="20"/>
      <c r="E255" s="20"/>
    </row>
    <row r="256">
      <c r="A256" s="20"/>
      <c r="B256" s="20"/>
      <c r="C256" s="20"/>
      <c r="D256" s="20"/>
      <c r="E256" s="20"/>
    </row>
    <row r="257">
      <c r="A257" s="20"/>
      <c r="B257" s="20"/>
      <c r="C257" s="20"/>
      <c r="D257" s="20"/>
      <c r="E257" s="20"/>
    </row>
    <row r="258">
      <c r="A258" s="20"/>
      <c r="B258" s="20"/>
      <c r="C258" s="20"/>
      <c r="D258" s="20"/>
      <c r="E258" s="20"/>
    </row>
    <row r="259">
      <c r="A259" s="20"/>
      <c r="B259" s="20"/>
      <c r="C259" s="20"/>
      <c r="D259" s="20"/>
      <c r="E259" s="20"/>
    </row>
    <row r="260">
      <c r="A260" s="20"/>
      <c r="B260" s="20"/>
      <c r="C260" s="20"/>
      <c r="D260" s="20"/>
      <c r="E260" s="20"/>
    </row>
    <row r="261">
      <c r="A261" s="20"/>
      <c r="B261" s="20"/>
      <c r="C261" s="20"/>
      <c r="D261" s="20"/>
      <c r="E261" s="20"/>
    </row>
    <row r="262">
      <c r="A262" s="20"/>
      <c r="B262" s="20"/>
      <c r="C262" s="20"/>
      <c r="D262" s="20"/>
      <c r="E262" s="20"/>
    </row>
    <row r="263">
      <c r="A263" s="20"/>
      <c r="B263" s="20"/>
      <c r="C263" s="20"/>
      <c r="D263" s="20"/>
      <c r="E263" s="20"/>
    </row>
    <row r="264">
      <c r="A264" s="20"/>
      <c r="B264" s="20"/>
      <c r="C264" s="20"/>
      <c r="D264" s="20"/>
      <c r="E264" s="20"/>
    </row>
    <row r="265">
      <c r="A265" s="20"/>
      <c r="B265" s="20"/>
      <c r="C265" s="20"/>
      <c r="D265" s="20"/>
      <c r="E265" s="20"/>
    </row>
    <row r="266">
      <c r="A266" s="20"/>
      <c r="B266" s="20"/>
      <c r="C266" s="20"/>
      <c r="D266" s="20"/>
      <c r="E266" s="20"/>
    </row>
    <row r="267">
      <c r="A267" s="20"/>
      <c r="B267" s="20"/>
      <c r="C267" s="20"/>
      <c r="D267" s="20"/>
      <c r="E267" s="20"/>
    </row>
    <row r="268">
      <c r="A268" s="20"/>
      <c r="B268" s="20"/>
      <c r="C268" s="20"/>
      <c r="D268" s="20"/>
      <c r="E268" s="20"/>
    </row>
    <row r="269">
      <c r="A269" s="20"/>
      <c r="B269" s="20"/>
      <c r="C269" s="20"/>
      <c r="D269" s="20"/>
      <c r="E269" s="20"/>
    </row>
    <row r="270">
      <c r="A270" s="20"/>
      <c r="B270" s="20"/>
      <c r="C270" s="20"/>
      <c r="D270" s="20"/>
      <c r="E270" s="20"/>
    </row>
    <row r="271">
      <c r="A271" s="20"/>
      <c r="B271" s="20"/>
      <c r="C271" s="20"/>
      <c r="D271" s="20"/>
      <c r="E271" s="20"/>
    </row>
    <row r="272">
      <c r="A272" s="20"/>
      <c r="B272" s="20"/>
      <c r="C272" s="20"/>
      <c r="D272" s="20"/>
      <c r="E272" s="20"/>
    </row>
    <row r="273">
      <c r="A273" s="20"/>
      <c r="B273" s="20"/>
      <c r="C273" s="20"/>
      <c r="D273" s="20"/>
      <c r="E273" s="20"/>
    </row>
    <row r="274">
      <c r="A274" s="20"/>
      <c r="B274" s="20"/>
      <c r="C274" s="20"/>
      <c r="D274" s="20"/>
      <c r="E274" s="20"/>
    </row>
    <row r="275">
      <c r="A275" s="20"/>
      <c r="B275" s="20"/>
      <c r="C275" s="20"/>
      <c r="D275" s="20"/>
      <c r="E275" s="20"/>
    </row>
    <row r="276">
      <c r="A276" s="20"/>
      <c r="B276" s="20"/>
      <c r="C276" s="20"/>
      <c r="D276" s="20"/>
      <c r="E276" s="20"/>
    </row>
    <row r="277">
      <c r="A277" s="20"/>
      <c r="B277" s="20"/>
      <c r="C277" s="20"/>
      <c r="D277" s="20"/>
      <c r="E277" s="20"/>
    </row>
    <row r="278">
      <c r="A278" s="20"/>
      <c r="B278" s="20"/>
      <c r="C278" s="20"/>
      <c r="D278" s="20"/>
      <c r="E278" s="20"/>
    </row>
    <row r="279">
      <c r="A279" s="20"/>
      <c r="B279" s="20"/>
      <c r="C279" s="20"/>
      <c r="D279" s="20"/>
      <c r="E279" s="20"/>
    </row>
    <row r="280">
      <c r="A280" s="20"/>
      <c r="B280" s="20"/>
      <c r="C280" s="20"/>
      <c r="D280" s="20"/>
      <c r="E280" s="20"/>
    </row>
    <row r="281">
      <c r="A281" s="20"/>
      <c r="B281" s="20"/>
      <c r="C281" s="20"/>
      <c r="D281" s="20"/>
      <c r="E281" s="20"/>
    </row>
    <row r="282">
      <c r="A282" s="20"/>
      <c r="B282" s="20"/>
      <c r="C282" s="20"/>
      <c r="D282" s="20"/>
      <c r="E282" s="20"/>
    </row>
    <row r="283">
      <c r="A283" s="20"/>
      <c r="B283" s="20"/>
      <c r="C283" s="20"/>
      <c r="D283" s="20"/>
      <c r="E283" s="20"/>
    </row>
    <row r="284">
      <c r="A284" s="20"/>
      <c r="B284" s="20"/>
      <c r="C284" s="20"/>
      <c r="D284" s="20"/>
      <c r="E284" s="20"/>
    </row>
    <row r="285">
      <c r="A285" s="20"/>
      <c r="B285" s="20"/>
      <c r="C285" s="20"/>
      <c r="D285" s="20"/>
      <c r="E285" s="20"/>
    </row>
    <row r="286">
      <c r="A286" s="20"/>
      <c r="B286" s="20"/>
      <c r="C286" s="20"/>
      <c r="D286" s="20"/>
      <c r="E286" s="20"/>
    </row>
    <row r="287">
      <c r="A287" s="20"/>
      <c r="B287" s="20"/>
      <c r="C287" s="20"/>
      <c r="D287" s="20"/>
      <c r="E287" s="20"/>
    </row>
    <row r="288">
      <c r="A288" s="20"/>
      <c r="B288" s="20"/>
      <c r="C288" s="20"/>
      <c r="D288" s="20"/>
      <c r="E288" s="20"/>
    </row>
    <row r="289">
      <c r="A289" s="20"/>
      <c r="B289" s="20"/>
      <c r="C289" s="20"/>
      <c r="D289" s="20"/>
      <c r="E289" s="20"/>
    </row>
    <row r="290">
      <c r="A290" s="20"/>
      <c r="B290" s="20"/>
      <c r="C290" s="20"/>
      <c r="D290" s="20"/>
      <c r="E290" s="20"/>
    </row>
    <row r="291">
      <c r="A291" s="20"/>
      <c r="B291" s="20"/>
      <c r="C291" s="20"/>
      <c r="D291" s="20"/>
      <c r="E291" s="20"/>
    </row>
    <row r="292">
      <c r="A292" s="20"/>
      <c r="B292" s="20"/>
      <c r="C292" s="20"/>
      <c r="D292" s="20"/>
      <c r="E292" s="20"/>
    </row>
    <row r="293">
      <c r="A293" s="20"/>
      <c r="B293" s="20"/>
      <c r="C293" s="20"/>
      <c r="D293" s="20"/>
      <c r="E293" s="20"/>
    </row>
    <row r="294">
      <c r="A294" s="20"/>
      <c r="B294" s="20"/>
      <c r="C294" s="20"/>
      <c r="D294" s="20"/>
      <c r="E294" s="20"/>
    </row>
    <row r="295">
      <c r="A295" s="20"/>
      <c r="B295" s="20"/>
      <c r="C295" s="20"/>
      <c r="D295" s="20"/>
      <c r="E295" s="20"/>
    </row>
    <row r="296">
      <c r="A296" s="20"/>
      <c r="B296" s="20"/>
      <c r="C296" s="20"/>
      <c r="D296" s="20"/>
      <c r="E296" s="20"/>
    </row>
    <row r="297">
      <c r="A297" s="20"/>
      <c r="B297" s="20"/>
      <c r="C297" s="20"/>
      <c r="D297" s="20"/>
      <c r="E297" s="20"/>
    </row>
    <row r="298">
      <c r="A298" s="20"/>
      <c r="B298" s="20"/>
      <c r="C298" s="20"/>
      <c r="D298" s="20"/>
      <c r="E298" s="20"/>
    </row>
    <row r="299">
      <c r="A299" s="20"/>
      <c r="B299" s="20"/>
      <c r="C299" s="20"/>
      <c r="D299" s="20"/>
      <c r="E299" s="20"/>
    </row>
    <row r="300">
      <c r="A300" s="20"/>
      <c r="B300" s="20"/>
      <c r="C300" s="20"/>
      <c r="D300" s="20"/>
      <c r="E300" s="20"/>
    </row>
    <row r="301">
      <c r="A301" s="20"/>
      <c r="B301" s="20"/>
      <c r="C301" s="20"/>
      <c r="D301" s="20"/>
      <c r="E301" s="20"/>
    </row>
    <row r="302">
      <c r="A302" s="20"/>
      <c r="B302" s="20"/>
      <c r="C302" s="20"/>
      <c r="D302" s="20"/>
      <c r="E302" s="20"/>
    </row>
    <row r="303">
      <c r="A303" s="20"/>
      <c r="B303" s="20"/>
      <c r="C303" s="20"/>
      <c r="D303" s="20"/>
      <c r="E303" s="20"/>
    </row>
    <row r="304">
      <c r="A304" s="20"/>
      <c r="B304" s="20"/>
      <c r="C304" s="20"/>
      <c r="D304" s="20"/>
      <c r="E304" s="20"/>
    </row>
    <row r="305">
      <c r="A305" s="20"/>
      <c r="B305" s="20"/>
      <c r="C305" s="20"/>
      <c r="D305" s="20"/>
      <c r="E305" s="20"/>
    </row>
    <row r="306">
      <c r="A306" s="20"/>
      <c r="B306" s="20"/>
      <c r="C306" s="20"/>
      <c r="D306" s="20"/>
      <c r="E306" s="20"/>
    </row>
    <row r="307">
      <c r="A307" s="20"/>
      <c r="B307" s="20"/>
      <c r="C307" s="20"/>
      <c r="D307" s="20"/>
      <c r="E307" s="20"/>
    </row>
    <row r="308">
      <c r="A308" s="20"/>
      <c r="B308" s="20"/>
      <c r="C308" s="20"/>
      <c r="D308" s="20"/>
      <c r="E308" s="20"/>
    </row>
    <row r="309">
      <c r="A309" s="20"/>
      <c r="B309" s="20"/>
      <c r="C309" s="20"/>
      <c r="D309" s="20"/>
      <c r="E309" s="20"/>
    </row>
    <row r="310">
      <c r="A310" s="20"/>
      <c r="B310" s="20"/>
      <c r="C310" s="20"/>
      <c r="D310" s="20"/>
      <c r="E310" s="20"/>
    </row>
    <row r="311">
      <c r="A311" s="20"/>
      <c r="B311" s="20"/>
      <c r="C311" s="20"/>
      <c r="D311" s="20"/>
      <c r="E311" s="20"/>
    </row>
    <row r="312">
      <c r="A312" s="20"/>
      <c r="B312" s="20"/>
      <c r="C312" s="20"/>
      <c r="D312" s="20"/>
      <c r="E312" s="20"/>
    </row>
    <row r="313">
      <c r="A313" s="20"/>
      <c r="B313" s="20"/>
      <c r="C313" s="20"/>
      <c r="D313" s="20"/>
      <c r="E313" s="20"/>
    </row>
    <row r="314">
      <c r="A314" s="20"/>
      <c r="B314" s="20"/>
      <c r="C314" s="20"/>
      <c r="D314" s="20"/>
      <c r="E314" s="20"/>
    </row>
    <row r="315">
      <c r="A315" s="20"/>
      <c r="B315" s="20"/>
      <c r="C315" s="20"/>
      <c r="D315" s="20"/>
      <c r="E315" s="20"/>
    </row>
    <row r="316">
      <c r="A316" s="20"/>
      <c r="B316" s="20"/>
      <c r="C316" s="20"/>
      <c r="D316" s="20"/>
      <c r="E316" s="20"/>
    </row>
    <row r="317">
      <c r="A317" s="20"/>
      <c r="B317" s="20"/>
      <c r="C317" s="20"/>
      <c r="D317" s="20"/>
      <c r="E317" s="20"/>
    </row>
    <row r="318">
      <c r="A318" s="20"/>
      <c r="B318" s="20"/>
      <c r="C318" s="20"/>
      <c r="D318" s="20"/>
      <c r="E318" s="20"/>
    </row>
    <row r="319">
      <c r="A319" s="20"/>
      <c r="B319" s="20"/>
      <c r="C319" s="20"/>
      <c r="D319" s="20"/>
      <c r="E319" s="20"/>
    </row>
    <row r="320">
      <c r="A320" s="20"/>
      <c r="B320" s="20"/>
      <c r="C320" s="20"/>
      <c r="D320" s="20"/>
      <c r="E320" s="20"/>
    </row>
    <row r="321">
      <c r="A321" s="20"/>
      <c r="B321" s="20"/>
      <c r="C321" s="20"/>
      <c r="D321" s="20"/>
      <c r="E321" s="20"/>
    </row>
    <row r="322">
      <c r="A322" s="20"/>
      <c r="B322" s="20"/>
      <c r="C322" s="20"/>
      <c r="D322" s="20"/>
      <c r="E322" s="20"/>
    </row>
    <row r="323">
      <c r="A323" s="20"/>
      <c r="B323" s="20"/>
      <c r="C323" s="20"/>
      <c r="D323" s="20"/>
      <c r="E323" s="20"/>
    </row>
    <row r="324">
      <c r="A324" s="20"/>
      <c r="B324" s="20"/>
      <c r="C324" s="20"/>
      <c r="D324" s="20"/>
      <c r="E324" s="20"/>
    </row>
    <row r="325">
      <c r="A325" s="20"/>
      <c r="B325" s="20"/>
      <c r="C325" s="20"/>
      <c r="D325" s="20"/>
      <c r="E325" s="20"/>
    </row>
    <row r="326">
      <c r="A326" s="20"/>
      <c r="B326" s="20"/>
      <c r="C326" s="20"/>
      <c r="D326" s="20"/>
      <c r="E326" s="20"/>
    </row>
    <row r="327">
      <c r="A327" s="20"/>
      <c r="B327" s="20"/>
      <c r="C327" s="20"/>
      <c r="D327" s="20"/>
      <c r="E327" s="20"/>
    </row>
    <row r="328">
      <c r="A328" s="20"/>
      <c r="B328" s="20"/>
      <c r="C328" s="20"/>
      <c r="D328" s="20"/>
      <c r="E328" s="20"/>
    </row>
    <row r="329">
      <c r="A329" s="20"/>
      <c r="B329" s="20"/>
      <c r="C329" s="20"/>
      <c r="D329" s="20"/>
      <c r="E329" s="20"/>
    </row>
    <row r="330">
      <c r="A330" s="20"/>
      <c r="B330" s="20"/>
      <c r="C330" s="20"/>
      <c r="D330" s="20"/>
      <c r="E330" s="20"/>
    </row>
    <row r="331">
      <c r="A331" s="20"/>
      <c r="B331" s="20"/>
      <c r="C331" s="20"/>
      <c r="D331" s="20"/>
      <c r="E331" s="20"/>
    </row>
    <row r="332">
      <c r="A332" s="20"/>
      <c r="B332" s="20"/>
      <c r="C332" s="20"/>
      <c r="D332" s="20"/>
      <c r="E332" s="20"/>
    </row>
    <row r="333">
      <c r="A333" s="20"/>
      <c r="B333" s="20"/>
      <c r="C333" s="20"/>
      <c r="D333" s="20"/>
      <c r="E333" s="20"/>
    </row>
    <row r="334">
      <c r="A334" s="20"/>
      <c r="B334" s="20"/>
      <c r="C334" s="20"/>
      <c r="D334" s="20"/>
      <c r="E334" s="20"/>
    </row>
    <row r="335">
      <c r="A335" s="20"/>
      <c r="B335" s="20"/>
      <c r="C335" s="20"/>
      <c r="D335" s="20"/>
      <c r="E335" s="20"/>
    </row>
    <row r="336">
      <c r="A336" s="20"/>
      <c r="B336" s="20"/>
      <c r="C336" s="20"/>
      <c r="D336" s="20"/>
      <c r="E336" s="20"/>
    </row>
    <row r="337">
      <c r="A337" s="20"/>
      <c r="B337" s="20"/>
      <c r="C337" s="20"/>
      <c r="D337" s="20"/>
      <c r="E337" s="20"/>
    </row>
    <row r="338">
      <c r="A338" s="20"/>
      <c r="B338" s="20"/>
      <c r="C338" s="20"/>
      <c r="D338" s="20"/>
      <c r="E338" s="20"/>
    </row>
    <row r="339">
      <c r="A339" s="20"/>
      <c r="B339" s="20"/>
      <c r="C339" s="20"/>
      <c r="D339" s="20"/>
      <c r="E339" s="20"/>
    </row>
    <row r="340">
      <c r="A340" s="20"/>
      <c r="B340" s="20"/>
      <c r="C340" s="20"/>
      <c r="D340" s="20"/>
      <c r="E340" s="20"/>
    </row>
    <row r="341">
      <c r="A341" s="20"/>
      <c r="B341" s="20"/>
      <c r="C341" s="20"/>
      <c r="D341" s="20"/>
      <c r="E341" s="20"/>
    </row>
    <row r="342">
      <c r="A342" s="20"/>
      <c r="B342" s="20"/>
      <c r="C342" s="20"/>
      <c r="D342" s="20"/>
      <c r="E342" s="20"/>
    </row>
    <row r="343">
      <c r="A343" s="20"/>
      <c r="B343" s="20"/>
      <c r="C343" s="20"/>
      <c r="D343" s="20"/>
      <c r="E343" s="20"/>
    </row>
    <row r="344">
      <c r="A344" s="20"/>
      <c r="B344" s="20"/>
      <c r="C344" s="20"/>
      <c r="D344" s="20"/>
      <c r="E344" s="20"/>
    </row>
    <row r="345">
      <c r="A345" s="20"/>
      <c r="B345" s="20"/>
      <c r="C345" s="20"/>
      <c r="D345" s="20"/>
      <c r="E345" s="20"/>
    </row>
    <row r="346">
      <c r="A346" s="20"/>
      <c r="B346" s="20"/>
      <c r="C346" s="20"/>
      <c r="D346" s="20"/>
      <c r="E346" s="20"/>
    </row>
    <row r="347">
      <c r="A347" s="20"/>
      <c r="B347" s="20"/>
      <c r="C347" s="20"/>
      <c r="D347" s="20"/>
      <c r="E347" s="20"/>
    </row>
    <row r="348">
      <c r="A348" s="20"/>
      <c r="B348" s="20"/>
      <c r="C348" s="20"/>
      <c r="D348" s="20"/>
      <c r="E348" s="20"/>
    </row>
    <row r="349">
      <c r="A349" s="20"/>
      <c r="B349" s="20"/>
      <c r="C349" s="20"/>
      <c r="D349" s="20"/>
      <c r="E349" s="20"/>
    </row>
    <row r="350">
      <c r="A350" s="20"/>
      <c r="B350" s="20"/>
      <c r="C350" s="20"/>
      <c r="D350" s="20"/>
      <c r="E350" s="20"/>
    </row>
    <row r="351">
      <c r="A351" s="20"/>
      <c r="B351" s="20"/>
      <c r="C351" s="20"/>
      <c r="D351" s="20"/>
      <c r="E351" s="20"/>
    </row>
    <row r="352">
      <c r="A352" s="20"/>
      <c r="B352" s="20"/>
      <c r="C352" s="20"/>
      <c r="D352" s="20"/>
      <c r="E352" s="20"/>
    </row>
    <row r="353">
      <c r="A353" s="20"/>
      <c r="B353" s="20"/>
      <c r="C353" s="20"/>
      <c r="D353" s="20"/>
      <c r="E353" s="20"/>
    </row>
    <row r="354">
      <c r="A354" s="20"/>
      <c r="B354" s="20"/>
      <c r="C354" s="20"/>
      <c r="D354" s="20"/>
      <c r="E354" s="20"/>
    </row>
    <row r="355">
      <c r="A355" s="20"/>
      <c r="B355" s="20"/>
      <c r="C355" s="20"/>
      <c r="D355" s="20"/>
      <c r="E355" s="20"/>
    </row>
    <row r="356">
      <c r="A356" s="20"/>
      <c r="B356" s="20"/>
      <c r="C356" s="20"/>
      <c r="D356" s="20"/>
      <c r="E356" s="20"/>
    </row>
    <row r="357">
      <c r="A357" s="20"/>
      <c r="B357" s="20"/>
      <c r="C357" s="20"/>
      <c r="D357" s="20"/>
      <c r="E357" s="20"/>
    </row>
    <row r="358">
      <c r="A358" s="20"/>
      <c r="B358" s="20"/>
      <c r="C358" s="20"/>
      <c r="D358" s="20"/>
      <c r="E358" s="20"/>
    </row>
    <row r="359">
      <c r="A359" s="20"/>
      <c r="B359" s="20"/>
      <c r="C359" s="20"/>
      <c r="D359" s="20"/>
      <c r="E359" s="20"/>
    </row>
    <row r="360">
      <c r="A360" s="20"/>
      <c r="B360" s="20"/>
      <c r="C360" s="20"/>
      <c r="D360" s="20"/>
      <c r="E360" s="20"/>
    </row>
    <row r="361">
      <c r="A361" s="20"/>
      <c r="B361" s="20"/>
      <c r="C361" s="20"/>
      <c r="D361" s="20"/>
      <c r="E361" s="20"/>
    </row>
    <row r="362">
      <c r="A362" s="20"/>
      <c r="B362" s="20"/>
      <c r="C362" s="20"/>
      <c r="D362" s="20"/>
      <c r="E362" s="20"/>
    </row>
    <row r="363">
      <c r="A363" s="20"/>
      <c r="B363" s="20"/>
      <c r="C363" s="20"/>
      <c r="D363" s="20"/>
      <c r="E363" s="20"/>
    </row>
    <row r="364">
      <c r="A364" s="20"/>
      <c r="B364" s="20"/>
      <c r="C364" s="20"/>
      <c r="D364" s="20"/>
      <c r="E364" s="20"/>
    </row>
    <row r="365">
      <c r="A365" s="20"/>
      <c r="B365" s="20"/>
      <c r="C365" s="20"/>
      <c r="D365" s="20"/>
      <c r="E365" s="20"/>
    </row>
    <row r="366">
      <c r="A366" s="20"/>
      <c r="B366" s="20"/>
      <c r="C366" s="20"/>
      <c r="D366" s="20"/>
      <c r="E366" s="20"/>
    </row>
    <row r="367">
      <c r="A367" s="20"/>
      <c r="B367" s="20"/>
      <c r="C367" s="20"/>
      <c r="D367" s="20"/>
      <c r="E367" s="20"/>
    </row>
    <row r="368">
      <c r="A368" s="20"/>
      <c r="B368" s="20"/>
      <c r="C368" s="20"/>
      <c r="D368" s="20"/>
      <c r="E368" s="20"/>
    </row>
    <row r="369">
      <c r="A369" s="20"/>
      <c r="B369" s="20"/>
      <c r="C369" s="20"/>
      <c r="D369" s="20"/>
      <c r="E369" s="20"/>
    </row>
    <row r="370">
      <c r="A370" s="20"/>
      <c r="B370" s="20"/>
      <c r="C370" s="20"/>
      <c r="D370" s="20"/>
      <c r="E370" s="20"/>
    </row>
    <row r="371">
      <c r="A371" s="20"/>
      <c r="B371" s="20"/>
      <c r="C371" s="20"/>
      <c r="D371" s="20"/>
      <c r="E371" s="20"/>
    </row>
    <row r="372">
      <c r="A372" s="20"/>
      <c r="B372" s="20"/>
      <c r="C372" s="20"/>
      <c r="D372" s="20"/>
      <c r="E372" s="20"/>
    </row>
    <row r="373">
      <c r="A373" s="20"/>
      <c r="B373" s="20"/>
      <c r="C373" s="20"/>
      <c r="D373" s="20"/>
      <c r="E373" s="20"/>
    </row>
    <row r="374">
      <c r="A374" s="20"/>
      <c r="B374" s="20"/>
      <c r="C374" s="20"/>
      <c r="D374" s="20"/>
      <c r="E374" s="20"/>
    </row>
    <row r="375">
      <c r="A375" s="20"/>
      <c r="B375" s="20"/>
      <c r="C375" s="20"/>
      <c r="D375" s="20"/>
      <c r="E375" s="20"/>
    </row>
    <row r="376">
      <c r="A376" s="20"/>
      <c r="B376" s="20"/>
      <c r="C376" s="20"/>
      <c r="D376" s="20"/>
      <c r="E376" s="20"/>
    </row>
    <row r="377">
      <c r="A377" s="20"/>
      <c r="B377" s="20"/>
      <c r="C377" s="20"/>
      <c r="D377" s="20"/>
      <c r="E377" s="20"/>
    </row>
    <row r="378">
      <c r="A378" s="20"/>
      <c r="B378" s="20"/>
      <c r="C378" s="20"/>
      <c r="D378" s="20"/>
      <c r="E378" s="20"/>
    </row>
    <row r="379">
      <c r="A379" s="20"/>
      <c r="B379" s="20"/>
      <c r="C379" s="20"/>
      <c r="D379" s="20"/>
      <c r="E379" s="20"/>
    </row>
    <row r="380">
      <c r="A380" s="20"/>
      <c r="B380" s="20"/>
      <c r="C380" s="20"/>
      <c r="D380" s="20"/>
      <c r="E380" s="20"/>
    </row>
    <row r="381">
      <c r="A381" s="20"/>
      <c r="B381" s="20"/>
      <c r="C381" s="20"/>
      <c r="D381" s="20"/>
      <c r="E381" s="20"/>
    </row>
    <row r="382">
      <c r="A382" s="20"/>
      <c r="B382" s="20"/>
      <c r="C382" s="20"/>
      <c r="D382" s="20"/>
      <c r="E382" s="20"/>
    </row>
    <row r="383">
      <c r="A383" s="20"/>
      <c r="B383" s="20"/>
      <c r="C383" s="20"/>
      <c r="D383" s="20"/>
      <c r="E383" s="20"/>
    </row>
    <row r="384">
      <c r="A384" s="20"/>
      <c r="B384" s="20"/>
      <c r="C384" s="20"/>
      <c r="D384" s="20"/>
      <c r="E384" s="20"/>
    </row>
    <row r="385">
      <c r="A385" s="20"/>
      <c r="B385" s="20"/>
      <c r="C385" s="20"/>
      <c r="D385" s="20"/>
      <c r="E385" s="20"/>
    </row>
    <row r="386">
      <c r="A386" s="20"/>
      <c r="B386" s="20"/>
      <c r="C386" s="20"/>
      <c r="D386" s="20"/>
      <c r="E386" s="20"/>
    </row>
    <row r="387">
      <c r="A387" s="20"/>
      <c r="B387" s="20"/>
      <c r="C387" s="20"/>
      <c r="D387" s="20"/>
      <c r="E387" s="20"/>
    </row>
    <row r="388">
      <c r="A388" s="20"/>
      <c r="B388" s="20"/>
      <c r="C388" s="20"/>
      <c r="D388" s="20"/>
      <c r="E388" s="20"/>
    </row>
    <row r="389">
      <c r="A389" s="20"/>
      <c r="B389" s="20"/>
      <c r="C389" s="20"/>
      <c r="D389" s="20"/>
      <c r="E389" s="20"/>
    </row>
    <row r="390">
      <c r="A390" s="20"/>
      <c r="B390" s="20"/>
      <c r="C390" s="20"/>
      <c r="D390" s="20"/>
      <c r="E390" s="20"/>
    </row>
    <row r="391">
      <c r="A391" s="20"/>
      <c r="B391" s="20"/>
      <c r="C391" s="20"/>
      <c r="D391" s="20"/>
      <c r="E391" s="20"/>
    </row>
    <row r="392">
      <c r="A392" s="20"/>
      <c r="B392" s="20"/>
      <c r="C392" s="20"/>
      <c r="D392" s="20"/>
      <c r="E392" s="20"/>
    </row>
    <row r="393">
      <c r="A393" s="20"/>
      <c r="B393" s="20"/>
      <c r="C393" s="20"/>
      <c r="D393" s="20"/>
      <c r="E393" s="20"/>
    </row>
    <row r="394">
      <c r="A394" s="20"/>
      <c r="B394" s="20"/>
      <c r="C394" s="20"/>
      <c r="D394" s="20"/>
      <c r="E394" s="20"/>
    </row>
    <row r="395">
      <c r="A395" s="20"/>
      <c r="B395" s="20"/>
      <c r="C395" s="20"/>
      <c r="D395" s="20"/>
      <c r="E395" s="20"/>
    </row>
    <row r="396">
      <c r="A396" s="20"/>
      <c r="B396" s="20"/>
      <c r="C396" s="20"/>
      <c r="D396" s="20"/>
      <c r="E396" s="20"/>
    </row>
    <row r="397">
      <c r="A397" s="20"/>
      <c r="B397" s="20"/>
      <c r="C397" s="20"/>
      <c r="D397" s="20"/>
      <c r="E397" s="20"/>
    </row>
    <row r="398">
      <c r="A398" s="20"/>
      <c r="B398" s="20"/>
      <c r="C398" s="20"/>
      <c r="D398" s="20"/>
      <c r="E398" s="20"/>
    </row>
    <row r="399">
      <c r="A399" s="20"/>
      <c r="B399" s="20"/>
      <c r="C399" s="20"/>
      <c r="D399" s="20"/>
      <c r="E399" s="20"/>
    </row>
    <row r="400">
      <c r="A400" s="20"/>
      <c r="B400" s="20"/>
      <c r="C400" s="20"/>
      <c r="D400" s="20"/>
      <c r="E400" s="20"/>
    </row>
    <row r="401">
      <c r="A401" s="20"/>
      <c r="B401" s="20"/>
      <c r="C401" s="20"/>
      <c r="D401" s="20"/>
      <c r="E401" s="20"/>
    </row>
    <row r="402">
      <c r="A402" s="20"/>
      <c r="B402" s="20"/>
      <c r="C402" s="20"/>
      <c r="D402" s="20"/>
      <c r="E402" s="20"/>
    </row>
    <row r="403">
      <c r="A403" s="20"/>
      <c r="B403" s="20"/>
      <c r="C403" s="20"/>
      <c r="D403" s="20"/>
      <c r="E403" s="20"/>
    </row>
    <row r="404">
      <c r="A404" s="20"/>
      <c r="B404" s="20"/>
      <c r="C404" s="20"/>
      <c r="D404" s="20"/>
      <c r="E404" s="20"/>
    </row>
    <row r="405">
      <c r="A405" s="20"/>
      <c r="B405" s="20"/>
      <c r="C405" s="20"/>
      <c r="D405" s="20"/>
      <c r="E405" s="20"/>
    </row>
    <row r="406">
      <c r="A406" s="20"/>
      <c r="B406" s="20"/>
      <c r="C406" s="20"/>
      <c r="D406" s="20"/>
      <c r="E406" s="20"/>
    </row>
    <row r="407">
      <c r="A407" s="20"/>
      <c r="B407" s="20"/>
      <c r="C407" s="20"/>
      <c r="D407" s="20"/>
      <c r="E407" s="20"/>
    </row>
    <row r="408">
      <c r="A408" s="20"/>
      <c r="B408" s="20"/>
      <c r="C408" s="20"/>
      <c r="D408" s="20"/>
      <c r="E408" s="20"/>
    </row>
    <row r="409">
      <c r="A409" s="20"/>
      <c r="B409" s="20"/>
      <c r="C409" s="20"/>
      <c r="D409" s="20"/>
      <c r="E409" s="20"/>
    </row>
    <row r="410">
      <c r="A410" s="20"/>
      <c r="B410" s="20"/>
      <c r="C410" s="20"/>
      <c r="D410" s="20"/>
      <c r="E410" s="20"/>
    </row>
    <row r="411">
      <c r="A411" s="20"/>
      <c r="B411" s="20"/>
      <c r="C411" s="20"/>
      <c r="D411" s="20"/>
      <c r="E411" s="20"/>
    </row>
    <row r="412">
      <c r="A412" s="20"/>
      <c r="B412" s="20"/>
      <c r="C412" s="20"/>
      <c r="D412" s="20"/>
      <c r="E412" s="20"/>
    </row>
    <row r="413">
      <c r="A413" s="20"/>
      <c r="B413" s="20"/>
      <c r="C413" s="20"/>
      <c r="D413" s="20"/>
      <c r="E413" s="20"/>
    </row>
    <row r="414">
      <c r="A414" s="20"/>
      <c r="B414" s="20"/>
      <c r="C414" s="20"/>
      <c r="D414" s="20"/>
      <c r="E414" s="20"/>
    </row>
    <row r="415">
      <c r="A415" s="20"/>
      <c r="B415" s="20"/>
      <c r="C415" s="20"/>
      <c r="D415" s="20"/>
      <c r="E415" s="20"/>
    </row>
    <row r="416">
      <c r="A416" s="20"/>
      <c r="B416" s="20"/>
      <c r="C416" s="20"/>
      <c r="D416" s="20"/>
      <c r="E416" s="20"/>
    </row>
    <row r="417">
      <c r="A417" s="20"/>
      <c r="B417" s="20"/>
      <c r="C417" s="20"/>
      <c r="D417" s="20"/>
      <c r="E417" s="20"/>
    </row>
    <row r="418">
      <c r="A418" s="20"/>
      <c r="B418" s="20"/>
      <c r="C418" s="20"/>
      <c r="D418" s="20"/>
      <c r="E418" s="20"/>
    </row>
    <row r="419">
      <c r="A419" s="20"/>
      <c r="B419" s="20"/>
      <c r="C419" s="20"/>
      <c r="D419" s="20"/>
      <c r="E419" s="20"/>
    </row>
    <row r="420">
      <c r="A420" s="20"/>
      <c r="B420" s="20"/>
      <c r="C420" s="20"/>
      <c r="D420" s="20"/>
      <c r="E420" s="20"/>
    </row>
    <row r="421">
      <c r="A421" s="20"/>
      <c r="B421" s="20"/>
      <c r="C421" s="20"/>
      <c r="D421" s="20"/>
      <c r="E421" s="20"/>
    </row>
    <row r="422">
      <c r="A422" s="20"/>
      <c r="B422" s="20"/>
      <c r="C422" s="20"/>
      <c r="D422" s="20"/>
      <c r="E422" s="20"/>
    </row>
    <row r="423">
      <c r="A423" s="20"/>
      <c r="B423" s="20"/>
      <c r="C423" s="20"/>
      <c r="D423" s="20"/>
      <c r="E423" s="20"/>
    </row>
    <row r="424">
      <c r="A424" s="20"/>
      <c r="B424" s="20"/>
      <c r="C424" s="20"/>
      <c r="D424" s="20"/>
      <c r="E424" s="20"/>
    </row>
    <row r="425">
      <c r="A425" s="20"/>
      <c r="B425" s="20"/>
      <c r="C425" s="20"/>
      <c r="D425" s="20"/>
      <c r="E425" s="20"/>
    </row>
    <row r="426">
      <c r="A426" s="20"/>
      <c r="B426" s="20"/>
      <c r="C426" s="20"/>
      <c r="D426" s="20"/>
      <c r="E426" s="20"/>
    </row>
    <row r="427">
      <c r="A427" s="20"/>
      <c r="B427" s="20"/>
      <c r="C427" s="20"/>
      <c r="D427" s="20"/>
      <c r="E427" s="20"/>
    </row>
    <row r="428">
      <c r="A428" s="20"/>
      <c r="B428" s="20"/>
      <c r="C428" s="20"/>
      <c r="D428" s="20"/>
      <c r="E428" s="20"/>
    </row>
    <row r="429">
      <c r="A429" s="20"/>
      <c r="B429" s="20"/>
      <c r="C429" s="20"/>
      <c r="D429" s="20"/>
      <c r="E429" s="20"/>
    </row>
    <row r="430">
      <c r="A430" s="20"/>
      <c r="B430" s="20"/>
      <c r="C430" s="20"/>
      <c r="D430" s="20"/>
      <c r="E430" s="20"/>
    </row>
    <row r="431">
      <c r="A431" s="20"/>
      <c r="B431" s="20"/>
      <c r="C431" s="20"/>
      <c r="D431" s="20"/>
      <c r="E431" s="20"/>
    </row>
    <row r="432">
      <c r="A432" s="20"/>
      <c r="B432" s="20"/>
      <c r="C432" s="20"/>
      <c r="D432" s="20"/>
      <c r="E432" s="20"/>
    </row>
    <row r="433">
      <c r="A433" s="20"/>
      <c r="B433" s="20"/>
      <c r="C433" s="20"/>
      <c r="D433" s="20"/>
      <c r="E433" s="20"/>
    </row>
    <row r="434">
      <c r="A434" s="20"/>
      <c r="B434" s="20"/>
      <c r="C434" s="20"/>
      <c r="D434" s="20"/>
      <c r="E434" s="20"/>
    </row>
    <row r="435">
      <c r="A435" s="20"/>
      <c r="B435" s="20"/>
      <c r="C435" s="20"/>
      <c r="D435" s="20"/>
      <c r="E435" s="20"/>
    </row>
    <row r="436">
      <c r="A436" s="20"/>
      <c r="B436" s="20"/>
      <c r="C436" s="20"/>
      <c r="D436" s="20"/>
      <c r="E436" s="20"/>
    </row>
    <row r="437">
      <c r="A437" s="20"/>
      <c r="B437" s="20"/>
      <c r="C437" s="20"/>
      <c r="D437" s="20"/>
      <c r="E437" s="20"/>
    </row>
    <row r="438">
      <c r="A438" s="20"/>
      <c r="B438" s="20"/>
      <c r="C438" s="20"/>
      <c r="D438" s="20"/>
      <c r="E438" s="20"/>
    </row>
    <row r="439">
      <c r="A439" s="20"/>
      <c r="B439" s="20"/>
      <c r="C439" s="20"/>
      <c r="D439" s="20"/>
      <c r="E439" s="20"/>
    </row>
    <row r="440">
      <c r="A440" s="20"/>
      <c r="B440" s="20"/>
      <c r="C440" s="20"/>
      <c r="D440" s="20"/>
      <c r="E440" s="20"/>
    </row>
    <row r="441">
      <c r="A441" s="20"/>
      <c r="B441" s="20"/>
      <c r="C441" s="20"/>
      <c r="D441" s="20"/>
      <c r="E441" s="20"/>
    </row>
    <row r="442">
      <c r="A442" s="20"/>
      <c r="B442" s="20"/>
      <c r="C442" s="20"/>
      <c r="D442" s="20"/>
      <c r="E442" s="20"/>
    </row>
    <row r="443">
      <c r="A443" s="20"/>
      <c r="B443" s="20"/>
      <c r="C443" s="20"/>
      <c r="D443" s="20"/>
      <c r="E443" s="20"/>
    </row>
    <row r="444">
      <c r="A444" s="20"/>
      <c r="B444" s="20"/>
      <c r="C444" s="20"/>
      <c r="D444" s="20"/>
      <c r="E444" s="20"/>
    </row>
    <row r="445">
      <c r="A445" s="20"/>
      <c r="B445" s="20"/>
      <c r="C445" s="20"/>
      <c r="D445" s="20"/>
      <c r="E445" s="20"/>
    </row>
    <row r="446">
      <c r="A446" s="20"/>
      <c r="B446" s="20"/>
      <c r="C446" s="20"/>
      <c r="D446" s="20"/>
      <c r="E446" s="20"/>
    </row>
    <row r="447">
      <c r="A447" s="20"/>
      <c r="B447" s="20"/>
      <c r="C447" s="20"/>
      <c r="D447" s="20"/>
      <c r="E447" s="20"/>
    </row>
    <row r="448">
      <c r="A448" s="20"/>
      <c r="B448" s="20"/>
      <c r="C448" s="20"/>
      <c r="D448" s="20"/>
      <c r="E448" s="20"/>
    </row>
    <row r="449">
      <c r="A449" s="20"/>
      <c r="B449" s="20"/>
      <c r="C449" s="20"/>
      <c r="D449" s="20"/>
      <c r="E449" s="20"/>
    </row>
    <row r="450">
      <c r="A450" s="20"/>
      <c r="B450" s="20"/>
      <c r="C450" s="20"/>
      <c r="D450" s="20"/>
      <c r="E450" s="20"/>
    </row>
    <row r="451">
      <c r="A451" s="20"/>
      <c r="B451" s="20"/>
      <c r="C451" s="20"/>
      <c r="D451" s="20"/>
      <c r="E451" s="20"/>
    </row>
    <row r="452">
      <c r="A452" s="20"/>
      <c r="B452" s="20"/>
      <c r="C452" s="20"/>
      <c r="D452" s="20"/>
      <c r="E452" s="20"/>
    </row>
    <row r="453">
      <c r="A453" s="20"/>
      <c r="B453" s="20"/>
      <c r="C453" s="20"/>
      <c r="D453" s="20"/>
      <c r="E453" s="20"/>
    </row>
    <row r="454">
      <c r="A454" s="20"/>
      <c r="B454" s="20"/>
      <c r="C454" s="20"/>
      <c r="D454" s="20"/>
      <c r="E454" s="20"/>
    </row>
    <row r="455">
      <c r="A455" s="20"/>
      <c r="B455" s="20"/>
      <c r="C455" s="20"/>
      <c r="D455" s="20"/>
      <c r="E455" s="20"/>
    </row>
    <row r="456">
      <c r="A456" s="20"/>
      <c r="B456" s="20"/>
      <c r="C456" s="20"/>
      <c r="D456" s="20"/>
      <c r="E456" s="20"/>
    </row>
    <row r="457">
      <c r="A457" s="20"/>
      <c r="B457" s="20"/>
      <c r="C457" s="20"/>
      <c r="D457" s="20"/>
      <c r="E457" s="20"/>
    </row>
    <row r="458">
      <c r="A458" s="20"/>
      <c r="B458" s="20"/>
      <c r="C458" s="20"/>
      <c r="D458" s="20"/>
      <c r="E458" s="20"/>
    </row>
    <row r="459">
      <c r="A459" s="20"/>
      <c r="B459" s="20"/>
      <c r="C459" s="20"/>
      <c r="D459" s="20"/>
      <c r="E459" s="20"/>
    </row>
    <row r="460">
      <c r="A460" s="20"/>
      <c r="B460" s="20"/>
      <c r="C460" s="20"/>
      <c r="D460" s="20"/>
      <c r="E460" s="20"/>
    </row>
    <row r="461">
      <c r="A461" s="20"/>
      <c r="B461" s="20"/>
      <c r="C461" s="20"/>
      <c r="D461" s="20"/>
      <c r="E461" s="20"/>
    </row>
    <row r="462">
      <c r="A462" s="20"/>
      <c r="B462" s="20"/>
      <c r="C462" s="20"/>
      <c r="D462" s="20"/>
      <c r="E462" s="20"/>
    </row>
    <row r="463">
      <c r="A463" s="20"/>
      <c r="B463" s="20"/>
      <c r="C463" s="20"/>
      <c r="D463" s="20"/>
      <c r="E463" s="20"/>
    </row>
    <row r="464">
      <c r="A464" s="20"/>
      <c r="B464" s="20"/>
      <c r="C464" s="20"/>
      <c r="D464" s="20"/>
      <c r="E464" s="20"/>
    </row>
    <row r="465">
      <c r="A465" s="20"/>
      <c r="B465" s="20"/>
      <c r="C465" s="20"/>
      <c r="D465" s="20"/>
      <c r="E465" s="20"/>
    </row>
    <row r="466">
      <c r="A466" s="20"/>
      <c r="B466" s="20"/>
      <c r="C466" s="20"/>
      <c r="D466" s="20"/>
      <c r="E466" s="20"/>
    </row>
    <row r="467">
      <c r="A467" s="20"/>
      <c r="B467" s="20"/>
      <c r="C467" s="20"/>
      <c r="D467" s="20"/>
      <c r="E467" s="20"/>
    </row>
    <row r="468">
      <c r="A468" s="20"/>
      <c r="B468" s="20"/>
      <c r="C468" s="20"/>
      <c r="D468" s="20"/>
      <c r="E468" s="20"/>
    </row>
    <row r="469">
      <c r="A469" s="20"/>
      <c r="B469" s="20"/>
      <c r="C469" s="20"/>
      <c r="D469" s="20"/>
      <c r="E469" s="20"/>
    </row>
    <row r="470">
      <c r="A470" s="20"/>
      <c r="B470" s="20"/>
      <c r="C470" s="20"/>
      <c r="D470" s="20"/>
      <c r="E470" s="20"/>
    </row>
    <row r="471">
      <c r="A471" s="20"/>
      <c r="B471" s="20"/>
      <c r="C471" s="20"/>
      <c r="D471" s="20"/>
      <c r="E471" s="20"/>
    </row>
    <row r="472">
      <c r="A472" s="20"/>
      <c r="B472" s="20"/>
      <c r="C472" s="20"/>
      <c r="D472" s="20"/>
      <c r="E472" s="20"/>
    </row>
    <row r="473">
      <c r="A473" s="20"/>
      <c r="B473" s="20"/>
      <c r="C473" s="20"/>
      <c r="D473" s="20"/>
      <c r="E473" s="20"/>
    </row>
    <row r="474">
      <c r="A474" s="20"/>
      <c r="B474" s="20"/>
      <c r="C474" s="20"/>
      <c r="D474" s="20"/>
      <c r="E474" s="20"/>
    </row>
    <row r="475">
      <c r="A475" s="20"/>
      <c r="B475" s="20"/>
      <c r="C475" s="20"/>
      <c r="D475" s="20"/>
      <c r="E475" s="20"/>
    </row>
    <row r="476">
      <c r="A476" s="20"/>
      <c r="B476" s="20"/>
      <c r="C476" s="20"/>
      <c r="D476" s="20"/>
      <c r="E476" s="20"/>
    </row>
    <row r="477">
      <c r="A477" s="20"/>
      <c r="B477" s="20"/>
      <c r="C477" s="20"/>
      <c r="D477" s="20"/>
      <c r="E477" s="20"/>
    </row>
    <row r="478">
      <c r="A478" s="20"/>
      <c r="B478" s="20"/>
      <c r="C478" s="20"/>
      <c r="D478" s="20"/>
      <c r="E478" s="20"/>
    </row>
    <row r="479">
      <c r="A479" s="20"/>
      <c r="B479" s="20"/>
      <c r="C479" s="20"/>
      <c r="D479" s="20"/>
      <c r="E479" s="20"/>
    </row>
    <row r="480">
      <c r="A480" s="20"/>
      <c r="B480" s="20"/>
      <c r="C480" s="20"/>
      <c r="D480" s="20"/>
      <c r="E480" s="20"/>
    </row>
    <row r="481">
      <c r="A481" s="20"/>
      <c r="B481" s="20"/>
      <c r="C481" s="20"/>
      <c r="D481" s="20"/>
      <c r="E481" s="20"/>
    </row>
    <row r="482">
      <c r="A482" s="20"/>
      <c r="B482" s="20"/>
      <c r="C482" s="20"/>
      <c r="D482" s="20"/>
      <c r="E482" s="20"/>
    </row>
    <row r="483">
      <c r="A483" s="20"/>
      <c r="B483" s="20"/>
      <c r="C483" s="20"/>
      <c r="D483" s="20"/>
      <c r="E483" s="20"/>
    </row>
    <row r="484">
      <c r="A484" s="20"/>
      <c r="B484" s="20"/>
      <c r="C484" s="20"/>
      <c r="D484" s="20"/>
      <c r="E484" s="20"/>
    </row>
    <row r="485">
      <c r="A485" s="20"/>
      <c r="B485" s="20"/>
      <c r="C485" s="20"/>
      <c r="D485" s="20"/>
      <c r="E485" s="20"/>
    </row>
    <row r="486">
      <c r="A486" s="20"/>
      <c r="B486" s="20"/>
      <c r="C486" s="20"/>
      <c r="D486" s="20"/>
      <c r="E486" s="20"/>
    </row>
    <row r="487">
      <c r="A487" s="20"/>
      <c r="B487" s="20"/>
      <c r="C487" s="20"/>
      <c r="D487" s="20"/>
      <c r="E487" s="20"/>
    </row>
    <row r="488">
      <c r="A488" s="20"/>
      <c r="B488" s="20"/>
      <c r="C488" s="20"/>
      <c r="D488" s="20"/>
      <c r="E488" s="20"/>
    </row>
    <row r="489">
      <c r="A489" s="20"/>
      <c r="B489" s="20"/>
      <c r="C489" s="20"/>
      <c r="D489" s="20"/>
      <c r="E489" s="20"/>
    </row>
    <row r="490">
      <c r="A490" s="20"/>
      <c r="B490" s="20"/>
      <c r="C490" s="20"/>
      <c r="D490" s="20"/>
      <c r="E490" s="20"/>
    </row>
    <row r="491">
      <c r="A491" s="20"/>
      <c r="B491" s="20"/>
      <c r="C491" s="20"/>
      <c r="D491" s="20"/>
      <c r="E491" s="20"/>
    </row>
    <row r="492">
      <c r="A492" s="20"/>
      <c r="B492" s="20"/>
      <c r="C492" s="20"/>
      <c r="D492" s="20"/>
      <c r="E492" s="20"/>
    </row>
    <row r="493">
      <c r="A493" s="20"/>
      <c r="B493" s="20"/>
      <c r="C493" s="20"/>
      <c r="D493" s="20"/>
      <c r="E493" s="20"/>
    </row>
    <row r="494">
      <c r="A494" s="20"/>
      <c r="B494" s="20"/>
      <c r="C494" s="20"/>
      <c r="D494" s="20"/>
      <c r="E494" s="20"/>
    </row>
    <row r="495">
      <c r="A495" s="20"/>
      <c r="B495" s="20"/>
      <c r="C495" s="20"/>
      <c r="D495" s="20"/>
      <c r="E495" s="20"/>
    </row>
    <row r="496">
      <c r="A496" s="20"/>
      <c r="B496" s="20"/>
      <c r="C496" s="20"/>
      <c r="D496" s="20"/>
      <c r="E496" s="20"/>
    </row>
    <row r="497">
      <c r="A497" s="20"/>
      <c r="B497" s="20"/>
      <c r="C497" s="20"/>
      <c r="D497" s="20"/>
      <c r="E497" s="20"/>
    </row>
    <row r="498">
      <c r="A498" s="20"/>
      <c r="B498" s="20"/>
      <c r="C498" s="20"/>
      <c r="D498" s="20"/>
      <c r="E498" s="20"/>
    </row>
    <row r="499">
      <c r="A499" s="20"/>
      <c r="B499" s="20"/>
      <c r="C499" s="20"/>
      <c r="D499" s="20"/>
      <c r="E499" s="20"/>
    </row>
    <row r="500">
      <c r="A500" s="20"/>
      <c r="B500" s="20"/>
      <c r="C500" s="20"/>
      <c r="D500" s="20"/>
      <c r="E500" s="20"/>
    </row>
    <row r="501">
      <c r="A501" s="20"/>
      <c r="B501" s="20"/>
      <c r="C501" s="20"/>
      <c r="D501" s="20"/>
      <c r="E501" s="20"/>
    </row>
    <row r="502">
      <c r="A502" s="20"/>
      <c r="B502" s="20"/>
      <c r="C502" s="20"/>
      <c r="D502" s="20"/>
      <c r="E502" s="20"/>
    </row>
    <row r="503">
      <c r="A503" s="20"/>
      <c r="B503" s="20"/>
      <c r="C503" s="20"/>
      <c r="D503" s="20"/>
      <c r="E503" s="20"/>
    </row>
    <row r="504">
      <c r="A504" s="20"/>
      <c r="B504" s="20"/>
      <c r="C504" s="20"/>
      <c r="D504" s="20"/>
      <c r="E504" s="20"/>
    </row>
    <row r="505">
      <c r="A505" s="20"/>
      <c r="B505" s="20"/>
      <c r="C505" s="20"/>
      <c r="D505" s="20"/>
      <c r="E505" s="20"/>
    </row>
    <row r="506">
      <c r="A506" s="20"/>
      <c r="B506" s="20"/>
      <c r="C506" s="20"/>
      <c r="D506" s="20"/>
      <c r="E506" s="20"/>
    </row>
    <row r="507">
      <c r="A507" s="20"/>
      <c r="B507" s="20"/>
      <c r="C507" s="20"/>
      <c r="D507" s="20"/>
      <c r="E507" s="20"/>
    </row>
    <row r="508">
      <c r="A508" s="20"/>
      <c r="B508" s="20"/>
      <c r="C508" s="20"/>
      <c r="D508" s="20"/>
      <c r="E508" s="20"/>
    </row>
    <row r="509">
      <c r="A509" s="20"/>
      <c r="B509" s="20"/>
      <c r="C509" s="20"/>
      <c r="D509" s="20"/>
      <c r="E509" s="20"/>
    </row>
    <row r="510">
      <c r="A510" s="20"/>
      <c r="B510" s="20"/>
      <c r="C510" s="20"/>
      <c r="D510" s="20"/>
      <c r="E510" s="20"/>
    </row>
    <row r="511">
      <c r="A511" s="20"/>
      <c r="B511" s="20"/>
      <c r="C511" s="20"/>
      <c r="D511" s="20"/>
      <c r="E511" s="20"/>
    </row>
    <row r="512">
      <c r="A512" s="20"/>
      <c r="B512" s="20"/>
      <c r="C512" s="20"/>
      <c r="D512" s="20"/>
      <c r="E512" s="20"/>
    </row>
    <row r="513">
      <c r="A513" s="20"/>
      <c r="B513" s="20"/>
      <c r="C513" s="20"/>
      <c r="D513" s="20"/>
      <c r="E513" s="20"/>
    </row>
    <row r="514">
      <c r="A514" s="20"/>
      <c r="B514" s="20"/>
      <c r="C514" s="20"/>
      <c r="D514" s="20"/>
      <c r="E514" s="20"/>
    </row>
    <row r="515">
      <c r="A515" s="20"/>
      <c r="B515" s="20"/>
      <c r="C515" s="20"/>
      <c r="D515" s="20"/>
      <c r="E515" s="20"/>
    </row>
    <row r="516">
      <c r="A516" s="20"/>
      <c r="B516" s="20"/>
      <c r="C516" s="20"/>
      <c r="D516" s="20"/>
      <c r="E516" s="20"/>
    </row>
    <row r="517">
      <c r="A517" s="20"/>
      <c r="B517" s="20"/>
      <c r="C517" s="20"/>
      <c r="D517" s="20"/>
      <c r="E517" s="20"/>
    </row>
    <row r="518">
      <c r="A518" s="20"/>
      <c r="B518" s="20"/>
      <c r="C518" s="20"/>
      <c r="D518" s="20"/>
      <c r="E518" s="20"/>
    </row>
    <row r="519">
      <c r="A519" s="20"/>
      <c r="B519" s="20"/>
      <c r="C519" s="20"/>
      <c r="D519" s="20"/>
      <c r="E519" s="20"/>
    </row>
    <row r="520">
      <c r="A520" s="20"/>
      <c r="B520" s="20"/>
      <c r="C520" s="20"/>
      <c r="D520" s="20"/>
      <c r="E520" s="20"/>
    </row>
    <row r="521">
      <c r="A521" s="20"/>
      <c r="B521" s="20"/>
      <c r="C521" s="20"/>
      <c r="D521" s="20"/>
      <c r="E521" s="20"/>
    </row>
    <row r="522">
      <c r="A522" s="20"/>
      <c r="B522" s="20"/>
      <c r="C522" s="20"/>
      <c r="D522" s="20"/>
      <c r="E522" s="20"/>
    </row>
    <row r="523">
      <c r="A523" s="20"/>
      <c r="B523" s="20"/>
      <c r="C523" s="20"/>
      <c r="D523" s="20"/>
      <c r="E523" s="20"/>
    </row>
    <row r="524">
      <c r="A524" s="20"/>
      <c r="B524" s="20"/>
      <c r="C524" s="20"/>
      <c r="D524" s="20"/>
      <c r="E524" s="20"/>
    </row>
    <row r="525">
      <c r="A525" s="20"/>
      <c r="B525" s="20"/>
      <c r="C525" s="20"/>
      <c r="D525" s="20"/>
      <c r="E525" s="20"/>
    </row>
    <row r="526">
      <c r="A526" s="20"/>
      <c r="B526" s="20"/>
      <c r="C526" s="20"/>
      <c r="D526" s="20"/>
      <c r="E526" s="20"/>
    </row>
    <row r="527">
      <c r="A527" s="20"/>
      <c r="B527" s="20"/>
      <c r="C527" s="20"/>
      <c r="D527" s="20"/>
      <c r="E527" s="20"/>
    </row>
    <row r="528">
      <c r="A528" s="20"/>
      <c r="B528" s="20"/>
      <c r="C528" s="20"/>
      <c r="D528" s="20"/>
      <c r="E528" s="20"/>
    </row>
    <row r="529">
      <c r="A529" s="20"/>
      <c r="B529" s="20"/>
      <c r="C529" s="20"/>
      <c r="D529" s="20"/>
      <c r="E529" s="20"/>
    </row>
    <row r="530">
      <c r="A530" s="20"/>
      <c r="B530" s="20"/>
      <c r="C530" s="20"/>
      <c r="D530" s="20"/>
      <c r="E530" s="20"/>
    </row>
    <row r="531">
      <c r="A531" s="20"/>
      <c r="B531" s="20"/>
      <c r="C531" s="20"/>
      <c r="D531" s="20"/>
      <c r="E531" s="20"/>
    </row>
    <row r="532">
      <c r="A532" s="20"/>
      <c r="B532" s="20"/>
      <c r="C532" s="20"/>
      <c r="D532" s="20"/>
      <c r="E532" s="20"/>
    </row>
    <row r="533">
      <c r="A533" s="20"/>
      <c r="B533" s="20"/>
      <c r="C533" s="20"/>
      <c r="D533" s="20"/>
      <c r="E533" s="20"/>
    </row>
    <row r="534">
      <c r="A534" s="20"/>
      <c r="B534" s="20"/>
      <c r="C534" s="20"/>
      <c r="D534" s="20"/>
      <c r="E534" s="20"/>
    </row>
    <row r="535">
      <c r="A535" s="20"/>
      <c r="B535" s="20"/>
      <c r="C535" s="20"/>
      <c r="D535" s="20"/>
      <c r="E535" s="20"/>
    </row>
    <row r="536">
      <c r="A536" s="20"/>
      <c r="B536" s="20"/>
      <c r="C536" s="20"/>
      <c r="D536" s="20"/>
      <c r="E536" s="20"/>
    </row>
    <row r="537">
      <c r="A537" s="20"/>
      <c r="B537" s="20"/>
      <c r="C537" s="20"/>
      <c r="D537" s="20"/>
      <c r="E537" s="20"/>
    </row>
    <row r="538">
      <c r="A538" s="20"/>
      <c r="B538" s="20"/>
      <c r="C538" s="20"/>
      <c r="D538" s="20"/>
      <c r="E538" s="20"/>
    </row>
    <row r="539">
      <c r="A539" s="20"/>
      <c r="B539" s="20"/>
      <c r="C539" s="20"/>
      <c r="D539" s="20"/>
      <c r="E539" s="20"/>
    </row>
    <row r="540">
      <c r="A540" s="20"/>
      <c r="B540" s="20"/>
      <c r="C540" s="20"/>
      <c r="D540" s="20"/>
      <c r="E540" s="20"/>
    </row>
    <row r="541">
      <c r="A541" s="20"/>
      <c r="B541" s="20"/>
      <c r="C541" s="20"/>
      <c r="D541" s="20"/>
      <c r="E541" s="20"/>
    </row>
    <row r="542">
      <c r="A542" s="20"/>
      <c r="B542" s="20"/>
      <c r="C542" s="20"/>
      <c r="D542" s="20"/>
      <c r="E542" s="20"/>
    </row>
    <row r="543">
      <c r="A543" s="20"/>
      <c r="B543" s="20"/>
      <c r="C543" s="20"/>
      <c r="D543" s="20"/>
      <c r="E543" s="20"/>
    </row>
    <row r="544">
      <c r="A544" s="20"/>
      <c r="B544" s="20"/>
      <c r="C544" s="20"/>
      <c r="D544" s="20"/>
      <c r="E544" s="20"/>
    </row>
    <row r="545">
      <c r="A545" s="20"/>
      <c r="B545" s="20"/>
      <c r="C545" s="20"/>
      <c r="D545" s="20"/>
      <c r="E545" s="20"/>
    </row>
    <row r="546">
      <c r="A546" s="20"/>
      <c r="B546" s="20"/>
      <c r="C546" s="20"/>
      <c r="D546" s="20"/>
      <c r="E546" s="20"/>
    </row>
    <row r="547">
      <c r="A547" s="20"/>
      <c r="B547" s="20"/>
      <c r="C547" s="20"/>
      <c r="D547" s="20"/>
      <c r="E547" s="20"/>
    </row>
    <row r="548">
      <c r="A548" s="20"/>
      <c r="B548" s="20"/>
      <c r="C548" s="20"/>
      <c r="D548" s="20"/>
      <c r="E548" s="20"/>
    </row>
    <row r="549">
      <c r="A549" s="20"/>
      <c r="B549" s="20"/>
      <c r="C549" s="20"/>
      <c r="D549" s="20"/>
      <c r="E549" s="20"/>
    </row>
    <row r="550">
      <c r="A550" s="20"/>
      <c r="B550" s="20"/>
      <c r="C550" s="20"/>
      <c r="D550" s="20"/>
      <c r="E550" s="20"/>
    </row>
    <row r="551">
      <c r="A551" s="20"/>
      <c r="B551" s="20"/>
      <c r="C551" s="20"/>
      <c r="D551" s="20"/>
      <c r="E551" s="20"/>
    </row>
    <row r="552">
      <c r="A552" s="20"/>
      <c r="B552" s="20"/>
      <c r="C552" s="20"/>
      <c r="D552" s="20"/>
      <c r="E552" s="20"/>
    </row>
    <row r="553">
      <c r="A553" s="20"/>
      <c r="B553" s="20"/>
      <c r="C553" s="20"/>
      <c r="D553" s="20"/>
      <c r="E553" s="20"/>
    </row>
    <row r="554">
      <c r="A554" s="20"/>
      <c r="B554" s="20"/>
      <c r="C554" s="20"/>
      <c r="D554" s="20"/>
      <c r="E554" s="20"/>
    </row>
    <row r="555">
      <c r="A555" s="20"/>
      <c r="B555" s="20"/>
      <c r="C555" s="20"/>
      <c r="D555" s="20"/>
      <c r="E555" s="20"/>
    </row>
    <row r="556">
      <c r="A556" s="20"/>
      <c r="B556" s="20"/>
      <c r="C556" s="20"/>
      <c r="D556" s="20"/>
      <c r="E556" s="20"/>
    </row>
    <row r="557">
      <c r="A557" s="20"/>
      <c r="B557" s="20"/>
      <c r="C557" s="20"/>
      <c r="D557" s="20"/>
      <c r="E557" s="20"/>
    </row>
    <row r="558">
      <c r="A558" s="20"/>
      <c r="B558" s="20"/>
      <c r="C558" s="20"/>
      <c r="D558" s="20"/>
      <c r="E558" s="20"/>
    </row>
    <row r="559">
      <c r="A559" s="20"/>
      <c r="B559" s="20"/>
      <c r="C559" s="20"/>
      <c r="D559" s="20"/>
      <c r="E559" s="20"/>
    </row>
    <row r="560">
      <c r="A560" s="20"/>
      <c r="B560" s="20"/>
      <c r="C560" s="20"/>
      <c r="D560" s="20"/>
      <c r="E560" s="20"/>
    </row>
    <row r="561">
      <c r="A561" s="20"/>
      <c r="B561" s="20"/>
      <c r="C561" s="20"/>
      <c r="D561" s="20"/>
      <c r="E561" s="20"/>
    </row>
    <row r="562">
      <c r="A562" s="20"/>
      <c r="B562" s="20"/>
      <c r="C562" s="20"/>
      <c r="D562" s="20"/>
      <c r="E562" s="20"/>
    </row>
    <row r="563">
      <c r="A563" s="20"/>
      <c r="B563" s="20"/>
      <c r="C563" s="20"/>
      <c r="D563" s="20"/>
      <c r="E563" s="20"/>
    </row>
    <row r="564">
      <c r="A564" s="20"/>
      <c r="B564" s="20"/>
      <c r="C564" s="20"/>
      <c r="D564" s="20"/>
      <c r="E564" s="20"/>
    </row>
    <row r="565">
      <c r="A565" s="20"/>
      <c r="B565" s="20"/>
      <c r="C565" s="20"/>
      <c r="D565" s="20"/>
      <c r="E565" s="20"/>
    </row>
    <row r="566">
      <c r="A566" s="20"/>
      <c r="B566" s="20"/>
      <c r="C566" s="20"/>
      <c r="D566" s="20"/>
      <c r="E566" s="20"/>
    </row>
    <row r="567">
      <c r="A567" s="20"/>
      <c r="B567" s="20"/>
      <c r="C567" s="20"/>
      <c r="D567" s="20"/>
      <c r="E567" s="20"/>
    </row>
    <row r="568">
      <c r="A568" s="20"/>
      <c r="B568" s="20"/>
      <c r="C568" s="20"/>
      <c r="D568" s="20"/>
      <c r="E568" s="20"/>
    </row>
    <row r="569">
      <c r="A569" s="20"/>
      <c r="B569" s="20"/>
      <c r="C569" s="20"/>
      <c r="D569" s="20"/>
      <c r="E569" s="20"/>
    </row>
    <row r="570">
      <c r="A570" s="20"/>
      <c r="B570" s="20"/>
      <c r="C570" s="20"/>
      <c r="D570" s="20"/>
      <c r="E570" s="20"/>
    </row>
    <row r="571">
      <c r="A571" s="20"/>
      <c r="B571" s="20"/>
      <c r="C571" s="20"/>
      <c r="D571" s="20"/>
      <c r="E571" s="20"/>
    </row>
    <row r="572">
      <c r="A572" s="20"/>
      <c r="B572" s="20"/>
      <c r="C572" s="20"/>
      <c r="D572" s="20"/>
      <c r="E572" s="20"/>
    </row>
    <row r="573">
      <c r="A573" s="20"/>
      <c r="B573" s="20"/>
      <c r="C573" s="20"/>
      <c r="D573" s="20"/>
      <c r="E573" s="20"/>
    </row>
    <row r="574">
      <c r="A574" s="20"/>
      <c r="B574" s="20"/>
      <c r="C574" s="20"/>
      <c r="D574" s="20"/>
      <c r="E574" s="20"/>
    </row>
    <row r="575">
      <c r="A575" s="20"/>
      <c r="B575" s="20"/>
      <c r="C575" s="20"/>
      <c r="D575" s="20"/>
      <c r="E575" s="20"/>
    </row>
    <row r="576">
      <c r="A576" s="20"/>
      <c r="B576" s="20"/>
      <c r="C576" s="20"/>
      <c r="D576" s="20"/>
      <c r="E576" s="20"/>
    </row>
    <row r="577">
      <c r="A577" s="20"/>
      <c r="B577" s="20"/>
      <c r="C577" s="20"/>
      <c r="D577" s="20"/>
      <c r="E577" s="20"/>
    </row>
    <row r="578">
      <c r="A578" s="20"/>
      <c r="B578" s="20"/>
      <c r="C578" s="20"/>
      <c r="D578" s="20"/>
      <c r="E578" s="20"/>
    </row>
    <row r="579">
      <c r="A579" s="20"/>
      <c r="B579" s="20"/>
      <c r="C579" s="20"/>
      <c r="D579" s="20"/>
      <c r="E579" s="20"/>
    </row>
    <row r="580">
      <c r="A580" s="20"/>
      <c r="B580" s="20"/>
      <c r="C580" s="20"/>
      <c r="D580" s="20"/>
      <c r="E580" s="20"/>
    </row>
    <row r="581">
      <c r="A581" s="20"/>
      <c r="B581" s="20"/>
      <c r="C581" s="20"/>
      <c r="D581" s="20"/>
      <c r="E581" s="20"/>
    </row>
    <row r="582">
      <c r="A582" s="20"/>
      <c r="B582" s="20"/>
      <c r="C582" s="20"/>
      <c r="D582" s="20"/>
      <c r="E582" s="20"/>
    </row>
    <row r="583">
      <c r="A583" s="20"/>
      <c r="B583" s="20"/>
      <c r="C583" s="20"/>
      <c r="D583" s="20"/>
      <c r="E583" s="20"/>
    </row>
    <row r="584">
      <c r="A584" s="20"/>
      <c r="B584" s="20"/>
      <c r="C584" s="20"/>
      <c r="D584" s="20"/>
      <c r="E584" s="20"/>
    </row>
    <row r="585">
      <c r="A585" s="20"/>
      <c r="B585" s="20"/>
      <c r="C585" s="20"/>
      <c r="D585" s="20"/>
      <c r="E585" s="20"/>
    </row>
    <row r="586">
      <c r="A586" s="20"/>
      <c r="B586" s="20"/>
      <c r="C586" s="20"/>
      <c r="D586" s="20"/>
      <c r="E586" s="20"/>
    </row>
    <row r="587">
      <c r="A587" s="20"/>
      <c r="B587" s="20"/>
      <c r="C587" s="20"/>
      <c r="D587" s="20"/>
      <c r="E587" s="20"/>
    </row>
    <row r="588">
      <c r="A588" s="20"/>
      <c r="B588" s="20"/>
      <c r="C588" s="20"/>
      <c r="D588" s="20"/>
      <c r="E588" s="20"/>
    </row>
    <row r="589">
      <c r="A589" s="20"/>
      <c r="B589" s="20"/>
      <c r="C589" s="20"/>
      <c r="D589" s="20"/>
      <c r="E589" s="20"/>
    </row>
    <row r="590">
      <c r="A590" s="20"/>
      <c r="B590" s="20"/>
      <c r="C590" s="20"/>
      <c r="D590" s="20"/>
      <c r="E590" s="20"/>
    </row>
    <row r="591">
      <c r="A591" s="20"/>
      <c r="B591" s="20"/>
      <c r="C591" s="20"/>
      <c r="D591" s="20"/>
      <c r="E591" s="20"/>
    </row>
    <row r="592">
      <c r="A592" s="20"/>
      <c r="B592" s="20"/>
      <c r="C592" s="20"/>
      <c r="D592" s="20"/>
      <c r="E592" s="20"/>
    </row>
    <row r="593">
      <c r="A593" s="20"/>
      <c r="B593" s="20"/>
      <c r="C593" s="20"/>
      <c r="D593" s="20"/>
      <c r="E593" s="20"/>
    </row>
    <row r="594">
      <c r="A594" s="20"/>
      <c r="B594" s="20"/>
      <c r="C594" s="20"/>
      <c r="D594" s="20"/>
      <c r="E594" s="20"/>
    </row>
    <row r="595">
      <c r="A595" s="20"/>
      <c r="B595" s="20"/>
      <c r="C595" s="20"/>
      <c r="D595" s="20"/>
      <c r="E595" s="20"/>
    </row>
    <row r="596">
      <c r="A596" s="20"/>
      <c r="B596" s="20"/>
      <c r="C596" s="20"/>
      <c r="D596" s="20"/>
      <c r="E596" s="20"/>
    </row>
    <row r="597">
      <c r="A597" s="20"/>
      <c r="B597" s="20"/>
      <c r="C597" s="20"/>
      <c r="D597" s="20"/>
      <c r="E597" s="20"/>
    </row>
    <row r="598">
      <c r="A598" s="20"/>
      <c r="B598" s="20"/>
      <c r="C598" s="20"/>
      <c r="D598" s="20"/>
      <c r="E598" s="20"/>
    </row>
    <row r="599">
      <c r="A599" s="20"/>
      <c r="B599" s="20"/>
      <c r="C599" s="20"/>
      <c r="D599" s="20"/>
      <c r="E599" s="20"/>
    </row>
    <row r="600">
      <c r="A600" s="20"/>
      <c r="B600" s="20"/>
      <c r="C600" s="20"/>
      <c r="D600" s="20"/>
      <c r="E600" s="20"/>
    </row>
    <row r="601">
      <c r="A601" s="20"/>
      <c r="B601" s="20"/>
      <c r="C601" s="20"/>
      <c r="D601" s="20"/>
      <c r="E601" s="20"/>
    </row>
    <row r="602">
      <c r="A602" s="20"/>
      <c r="B602" s="20"/>
      <c r="C602" s="20"/>
      <c r="D602" s="20"/>
      <c r="E602" s="20"/>
    </row>
    <row r="603">
      <c r="A603" s="20"/>
      <c r="B603" s="20"/>
      <c r="C603" s="20"/>
      <c r="D603" s="20"/>
      <c r="E603" s="20"/>
    </row>
    <row r="604">
      <c r="A604" s="20"/>
      <c r="B604" s="20"/>
      <c r="C604" s="20"/>
      <c r="D604" s="20"/>
      <c r="E604" s="20"/>
    </row>
    <row r="605">
      <c r="A605" s="20"/>
      <c r="B605" s="20"/>
      <c r="C605" s="20"/>
      <c r="D605" s="20"/>
      <c r="E605" s="20"/>
    </row>
    <row r="606">
      <c r="A606" s="20"/>
      <c r="B606" s="20"/>
      <c r="C606" s="20"/>
      <c r="D606" s="20"/>
      <c r="E606" s="20"/>
    </row>
    <row r="607">
      <c r="A607" s="20"/>
      <c r="B607" s="20"/>
      <c r="C607" s="20"/>
      <c r="D607" s="20"/>
      <c r="E607" s="20"/>
    </row>
    <row r="608">
      <c r="A608" s="20"/>
      <c r="B608" s="20"/>
      <c r="C608" s="20"/>
      <c r="D608" s="20"/>
      <c r="E608" s="20"/>
    </row>
    <row r="609">
      <c r="A609" s="20"/>
      <c r="B609" s="20"/>
      <c r="C609" s="20"/>
      <c r="D609" s="20"/>
      <c r="E609" s="20"/>
    </row>
    <row r="610">
      <c r="A610" s="20"/>
      <c r="B610" s="20"/>
      <c r="C610" s="20"/>
      <c r="D610" s="20"/>
      <c r="E610" s="20"/>
    </row>
    <row r="611">
      <c r="A611" s="20"/>
      <c r="B611" s="20"/>
      <c r="C611" s="20"/>
      <c r="D611" s="20"/>
      <c r="E611" s="20"/>
    </row>
    <row r="612">
      <c r="A612" s="20"/>
      <c r="B612" s="20"/>
      <c r="C612" s="20"/>
      <c r="D612" s="20"/>
      <c r="E612" s="20"/>
    </row>
    <row r="613">
      <c r="A613" s="20"/>
      <c r="B613" s="20"/>
      <c r="C613" s="20"/>
      <c r="D613" s="20"/>
      <c r="E613" s="20"/>
    </row>
    <row r="614">
      <c r="A614" s="20"/>
      <c r="B614" s="20"/>
      <c r="C614" s="20"/>
      <c r="D614" s="20"/>
      <c r="E614" s="20"/>
    </row>
    <row r="615">
      <c r="A615" s="20"/>
      <c r="B615" s="20"/>
      <c r="C615" s="20"/>
      <c r="D615" s="20"/>
      <c r="E615" s="20"/>
    </row>
    <row r="616">
      <c r="A616" s="20"/>
      <c r="B616" s="20"/>
      <c r="C616" s="20"/>
      <c r="D616" s="20"/>
      <c r="E616" s="20"/>
    </row>
    <row r="617">
      <c r="A617" s="20"/>
      <c r="B617" s="20"/>
      <c r="C617" s="20"/>
      <c r="D617" s="20"/>
      <c r="E617" s="20"/>
    </row>
    <row r="618">
      <c r="A618" s="20"/>
      <c r="B618" s="20"/>
      <c r="C618" s="20"/>
      <c r="D618" s="20"/>
      <c r="E618" s="20"/>
    </row>
    <row r="619">
      <c r="A619" s="20"/>
      <c r="B619" s="20"/>
      <c r="C619" s="20"/>
      <c r="D619" s="20"/>
      <c r="E619" s="20"/>
    </row>
    <row r="620">
      <c r="A620" s="20"/>
      <c r="B620" s="20"/>
      <c r="C620" s="20"/>
      <c r="D620" s="20"/>
      <c r="E620" s="20"/>
    </row>
    <row r="621">
      <c r="A621" s="20"/>
      <c r="B621" s="20"/>
      <c r="C621" s="20"/>
      <c r="D621" s="20"/>
      <c r="E621" s="20"/>
    </row>
    <row r="622">
      <c r="A622" s="20"/>
      <c r="B622" s="20"/>
      <c r="C622" s="20"/>
      <c r="D622" s="20"/>
      <c r="E622" s="20"/>
    </row>
    <row r="623">
      <c r="A623" s="20"/>
      <c r="B623" s="20"/>
      <c r="C623" s="20"/>
      <c r="D623" s="20"/>
      <c r="E623" s="20"/>
    </row>
    <row r="624">
      <c r="A624" s="20"/>
      <c r="B624" s="20"/>
      <c r="C624" s="20"/>
      <c r="D624" s="20"/>
      <c r="E624" s="20"/>
    </row>
    <row r="625">
      <c r="A625" s="20"/>
      <c r="B625" s="20"/>
      <c r="C625" s="20"/>
      <c r="D625" s="20"/>
      <c r="E625" s="20"/>
    </row>
    <row r="626">
      <c r="A626" s="20"/>
      <c r="B626" s="20"/>
      <c r="C626" s="20"/>
      <c r="D626" s="20"/>
      <c r="E626" s="20"/>
    </row>
    <row r="627">
      <c r="A627" s="20"/>
      <c r="B627" s="20"/>
      <c r="C627" s="20"/>
      <c r="D627" s="20"/>
      <c r="E627" s="20"/>
    </row>
    <row r="628">
      <c r="A628" s="20"/>
      <c r="B628" s="20"/>
      <c r="C628" s="20"/>
      <c r="D628" s="20"/>
      <c r="E628" s="20"/>
    </row>
    <row r="629">
      <c r="A629" s="20"/>
      <c r="B629" s="20"/>
      <c r="C629" s="20"/>
      <c r="D629" s="20"/>
      <c r="E629" s="20"/>
    </row>
    <row r="630">
      <c r="A630" s="20"/>
      <c r="B630" s="20"/>
      <c r="C630" s="20"/>
      <c r="D630" s="20"/>
      <c r="E630" s="20"/>
    </row>
    <row r="631">
      <c r="A631" s="20"/>
      <c r="B631" s="20"/>
      <c r="C631" s="20"/>
      <c r="D631" s="20"/>
      <c r="E631" s="20"/>
    </row>
    <row r="632">
      <c r="A632" s="20"/>
      <c r="B632" s="20"/>
      <c r="C632" s="20"/>
      <c r="D632" s="20"/>
      <c r="E632" s="20"/>
    </row>
    <row r="633">
      <c r="A633" s="20"/>
      <c r="B633" s="20"/>
      <c r="C633" s="20"/>
      <c r="D633" s="20"/>
      <c r="E633" s="20"/>
    </row>
    <row r="634">
      <c r="A634" s="20"/>
      <c r="B634" s="20"/>
      <c r="C634" s="20"/>
      <c r="D634" s="20"/>
      <c r="E634" s="20"/>
    </row>
    <row r="635">
      <c r="A635" s="20"/>
      <c r="B635" s="20"/>
      <c r="C635" s="20"/>
      <c r="D635" s="20"/>
      <c r="E635" s="20"/>
    </row>
    <row r="636">
      <c r="A636" s="20"/>
      <c r="B636" s="20"/>
      <c r="C636" s="20"/>
      <c r="D636" s="20"/>
      <c r="E636" s="20"/>
    </row>
    <row r="637">
      <c r="A637" s="20"/>
      <c r="B637" s="20"/>
      <c r="C637" s="20"/>
      <c r="D637" s="20"/>
      <c r="E637" s="20"/>
    </row>
    <row r="638">
      <c r="A638" s="20"/>
      <c r="B638" s="20"/>
      <c r="C638" s="20"/>
      <c r="D638" s="20"/>
      <c r="E638" s="20"/>
    </row>
    <row r="639">
      <c r="A639" s="20"/>
      <c r="B639" s="20"/>
      <c r="C639" s="20"/>
      <c r="D639" s="20"/>
      <c r="E639" s="20"/>
    </row>
    <row r="640">
      <c r="A640" s="20"/>
      <c r="B640" s="20"/>
      <c r="C640" s="20"/>
      <c r="D640" s="20"/>
      <c r="E640" s="20"/>
    </row>
    <row r="641">
      <c r="A641" s="20"/>
      <c r="B641" s="20"/>
      <c r="C641" s="20"/>
      <c r="D641" s="20"/>
      <c r="E641" s="20"/>
    </row>
    <row r="642">
      <c r="A642" s="20"/>
      <c r="B642" s="20"/>
      <c r="C642" s="20"/>
      <c r="D642" s="20"/>
      <c r="E642" s="20"/>
    </row>
    <row r="643">
      <c r="A643" s="20"/>
      <c r="B643" s="20"/>
      <c r="C643" s="20"/>
      <c r="D643" s="20"/>
      <c r="E643" s="20"/>
    </row>
    <row r="644">
      <c r="A644" s="20"/>
      <c r="B644" s="20"/>
      <c r="C644" s="20"/>
      <c r="D644" s="20"/>
      <c r="E644" s="20"/>
    </row>
    <row r="645">
      <c r="A645" s="20"/>
      <c r="B645" s="20"/>
      <c r="C645" s="20"/>
      <c r="D645" s="20"/>
      <c r="E645" s="20"/>
    </row>
    <row r="646">
      <c r="A646" s="20"/>
      <c r="B646" s="20"/>
      <c r="C646" s="20"/>
      <c r="D646" s="20"/>
      <c r="E646" s="20"/>
    </row>
    <row r="647">
      <c r="A647" s="20"/>
      <c r="B647" s="20"/>
      <c r="C647" s="20"/>
      <c r="D647" s="20"/>
      <c r="E647" s="20"/>
    </row>
    <row r="648">
      <c r="A648" s="20"/>
      <c r="B648" s="20"/>
      <c r="C648" s="20"/>
      <c r="D648" s="20"/>
      <c r="E648" s="20"/>
    </row>
    <row r="649">
      <c r="A649" s="20"/>
      <c r="B649" s="20"/>
      <c r="C649" s="20"/>
      <c r="D649" s="20"/>
      <c r="E649" s="20"/>
    </row>
    <row r="650">
      <c r="A650" s="20"/>
      <c r="B650" s="20"/>
      <c r="C650" s="20"/>
      <c r="D650" s="20"/>
      <c r="E650" s="20"/>
    </row>
    <row r="651">
      <c r="A651" s="20"/>
      <c r="B651" s="20"/>
      <c r="C651" s="20"/>
      <c r="D651" s="20"/>
      <c r="E651" s="20"/>
    </row>
    <row r="652">
      <c r="A652" s="20"/>
      <c r="B652" s="20"/>
      <c r="C652" s="20"/>
      <c r="D652" s="20"/>
      <c r="E652" s="20"/>
    </row>
    <row r="653">
      <c r="A653" s="20"/>
      <c r="B653" s="20"/>
      <c r="C653" s="20"/>
      <c r="D653" s="20"/>
      <c r="E653" s="20"/>
    </row>
    <row r="654">
      <c r="A654" s="20"/>
      <c r="B654" s="20"/>
      <c r="C654" s="20"/>
      <c r="D654" s="20"/>
      <c r="E654" s="20"/>
    </row>
    <row r="655">
      <c r="A655" s="20"/>
      <c r="B655" s="20"/>
      <c r="C655" s="20"/>
      <c r="D655" s="20"/>
      <c r="E655" s="20"/>
    </row>
    <row r="656">
      <c r="A656" s="20"/>
      <c r="B656" s="20"/>
      <c r="C656" s="20"/>
      <c r="D656" s="20"/>
      <c r="E656" s="20"/>
    </row>
    <row r="657">
      <c r="A657" s="20"/>
      <c r="B657" s="20"/>
      <c r="C657" s="20"/>
      <c r="D657" s="20"/>
      <c r="E657" s="20"/>
    </row>
    <row r="658">
      <c r="A658" s="20"/>
      <c r="B658" s="20"/>
      <c r="C658" s="20"/>
      <c r="D658" s="20"/>
      <c r="E658" s="20"/>
    </row>
    <row r="659">
      <c r="A659" s="20"/>
      <c r="B659" s="20"/>
      <c r="C659" s="20"/>
      <c r="D659" s="20"/>
      <c r="E659" s="20"/>
    </row>
    <row r="660">
      <c r="A660" s="20"/>
      <c r="B660" s="20"/>
      <c r="C660" s="20"/>
      <c r="D660" s="20"/>
      <c r="E660" s="20"/>
    </row>
    <row r="661">
      <c r="A661" s="20"/>
      <c r="B661" s="20"/>
      <c r="C661" s="20"/>
      <c r="D661" s="20"/>
      <c r="E661" s="20"/>
    </row>
    <row r="662">
      <c r="A662" s="20"/>
      <c r="B662" s="20"/>
      <c r="C662" s="20"/>
      <c r="D662" s="20"/>
      <c r="E662" s="20"/>
    </row>
    <row r="663">
      <c r="A663" s="20"/>
      <c r="B663" s="20"/>
      <c r="C663" s="20"/>
      <c r="D663" s="20"/>
      <c r="E663" s="20"/>
    </row>
    <row r="664">
      <c r="A664" s="20"/>
      <c r="B664" s="20"/>
      <c r="C664" s="20"/>
      <c r="D664" s="20"/>
      <c r="E664" s="20"/>
    </row>
    <row r="665">
      <c r="A665" s="20"/>
      <c r="B665" s="20"/>
      <c r="C665" s="20"/>
      <c r="D665" s="20"/>
      <c r="E665" s="20"/>
    </row>
    <row r="666">
      <c r="A666" s="20"/>
      <c r="B666" s="20"/>
      <c r="C666" s="20"/>
      <c r="D666" s="20"/>
      <c r="E666" s="20"/>
    </row>
    <row r="667">
      <c r="A667" s="20"/>
      <c r="B667" s="20"/>
      <c r="C667" s="20"/>
      <c r="D667" s="20"/>
      <c r="E667" s="20"/>
    </row>
    <row r="668">
      <c r="A668" s="20"/>
      <c r="B668" s="20"/>
      <c r="C668" s="20"/>
      <c r="D668" s="20"/>
      <c r="E668" s="20"/>
    </row>
    <row r="669">
      <c r="A669" s="20"/>
      <c r="B669" s="20"/>
      <c r="C669" s="20"/>
      <c r="D669" s="20"/>
      <c r="E669" s="20"/>
    </row>
    <row r="670">
      <c r="A670" s="20"/>
      <c r="B670" s="20"/>
      <c r="C670" s="20"/>
      <c r="D670" s="20"/>
      <c r="E670" s="20"/>
    </row>
    <row r="671">
      <c r="A671" s="20"/>
      <c r="B671" s="20"/>
      <c r="C671" s="20"/>
      <c r="D671" s="20"/>
      <c r="E671" s="20"/>
    </row>
    <row r="672">
      <c r="A672" s="20"/>
      <c r="B672" s="20"/>
      <c r="C672" s="20"/>
      <c r="D672" s="20"/>
      <c r="E672" s="20"/>
    </row>
    <row r="673">
      <c r="A673" s="20"/>
      <c r="B673" s="20"/>
      <c r="C673" s="20"/>
      <c r="D673" s="20"/>
      <c r="E673" s="20"/>
    </row>
    <row r="674">
      <c r="A674" s="20"/>
      <c r="B674" s="20"/>
      <c r="C674" s="20"/>
      <c r="D674" s="20"/>
      <c r="E674" s="20"/>
    </row>
    <row r="675">
      <c r="A675" s="20"/>
      <c r="B675" s="20"/>
      <c r="C675" s="20"/>
      <c r="D675" s="20"/>
      <c r="E675" s="20"/>
    </row>
    <row r="676">
      <c r="A676" s="20"/>
      <c r="B676" s="20"/>
      <c r="C676" s="20"/>
      <c r="D676" s="20"/>
      <c r="E676" s="20"/>
    </row>
    <row r="677">
      <c r="A677" s="20"/>
      <c r="B677" s="20"/>
      <c r="C677" s="20"/>
      <c r="D677" s="20"/>
      <c r="E677" s="20"/>
    </row>
    <row r="678">
      <c r="A678" s="20"/>
      <c r="B678" s="20"/>
      <c r="C678" s="20"/>
      <c r="D678" s="20"/>
      <c r="E678" s="20"/>
    </row>
    <row r="679">
      <c r="A679" s="20"/>
      <c r="B679" s="20"/>
      <c r="C679" s="20"/>
      <c r="D679" s="20"/>
      <c r="E679" s="20"/>
    </row>
    <row r="680">
      <c r="A680" s="20"/>
      <c r="B680" s="20"/>
      <c r="C680" s="20"/>
      <c r="D680" s="20"/>
      <c r="E680" s="20"/>
    </row>
    <row r="681">
      <c r="A681" s="20"/>
      <c r="B681" s="20"/>
      <c r="C681" s="20"/>
      <c r="D681" s="20"/>
      <c r="E681" s="20"/>
    </row>
    <row r="682">
      <c r="A682" s="20"/>
      <c r="B682" s="20"/>
      <c r="C682" s="20"/>
      <c r="D682" s="20"/>
      <c r="E682" s="20"/>
    </row>
    <row r="683">
      <c r="A683" s="20"/>
      <c r="B683" s="20"/>
      <c r="C683" s="20"/>
      <c r="D683" s="20"/>
      <c r="E683" s="20"/>
    </row>
    <row r="684">
      <c r="A684" s="20"/>
      <c r="B684" s="20"/>
      <c r="C684" s="20"/>
      <c r="D684" s="20"/>
      <c r="E684" s="20"/>
    </row>
    <row r="685">
      <c r="A685" s="20"/>
      <c r="B685" s="20"/>
      <c r="C685" s="20"/>
      <c r="D685" s="20"/>
      <c r="E685" s="20"/>
    </row>
    <row r="686">
      <c r="A686" s="20"/>
      <c r="B686" s="20"/>
      <c r="C686" s="20"/>
      <c r="D686" s="20"/>
      <c r="E686" s="20"/>
    </row>
    <row r="687">
      <c r="A687" s="20"/>
      <c r="B687" s="20"/>
      <c r="C687" s="20"/>
      <c r="D687" s="20"/>
      <c r="E687" s="20"/>
    </row>
    <row r="688">
      <c r="A688" s="20"/>
      <c r="B688" s="20"/>
      <c r="C688" s="20"/>
      <c r="D688" s="20"/>
      <c r="E688" s="20"/>
    </row>
    <row r="689">
      <c r="A689" s="20"/>
      <c r="B689" s="20"/>
      <c r="C689" s="20"/>
      <c r="D689" s="20"/>
      <c r="E689" s="20"/>
    </row>
    <row r="690">
      <c r="A690" s="20"/>
      <c r="B690" s="20"/>
      <c r="C690" s="20"/>
      <c r="D690" s="20"/>
      <c r="E690" s="20"/>
    </row>
    <row r="691">
      <c r="A691" s="20"/>
      <c r="B691" s="20"/>
      <c r="C691" s="20"/>
      <c r="D691" s="20"/>
      <c r="E691" s="20"/>
    </row>
    <row r="692">
      <c r="A692" s="20"/>
      <c r="B692" s="20"/>
      <c r="C692" s="20"/>
      <c r="D692" s="20"/>
      <c r="E692" s="20"/>
    </row>
    <row r="693">
      <c r="A693" s="20"/>
      <c r="B693" s="20"/>
      <c r="C693" s="20"/>
      <c r="D693" s="20"/>
      <c r="E693" s="20"/>
    </row>
    <row r="694">
      <c r="A694" s="20"/>
      <c r="B694" s="20"/>
      <c r="C694" s="20"/>
      <c r="D694" s="20"/>
      <c r="E694" s="20"/>
    </row>
    <row r="695">
      <c r="A695" s="20"/>
      <c r="B695" s="20"/>
      <c r="C695" s="20"/>
      <c r="D695" s="20"/>
      <c r="E695" s="20"/>
    </row>
    <row r="696">
      <c r="A696" s="20"/>
      <c r="B696" s="20"/>
      <c r="C696" s="20"/>
      <c r="D696" s="20"/>
      <c r="E696" s="20"/>
    </row>
    <row r="697">
      <c r="A697" s="20"/>
      <c r="B697" s="20"/>
      <c r="C697" s="20"/>
      <c r="D697" s="20"/>
      <c r="E697" s="20"/>
    </row>
    <row r="698">
      <c r="A698" s="20"/>
      <c r="B698" s="20"/>
      <c r="C698" s="20"/>
      <c r="D698" s="20"/>
      <c r="E698" s="20"/>
    </row>
    <row r="699">
      <c r="A699" s="20"/>
      <c r="B699" s="20"/>
      <c r="C699" s="20"/>
      <c r="D699" s="20"/>
      <c r="E699" s="20"/>
    </row>
    <row r="700">
      <c r="A700" s="20"/>
      <c r="B700" s="20"/>
      <c r="C700" s="20"/>
      <c r="D700" s="20"/>
      <c r="E700" s="20"/>
    </row>
    <row r="701">
      <c r="A701" s="20"/>
      <c r="B701" s="20"/>
      <c r="C701" s="20"/>
      <c r="D701" s="20"/>
      <c r="E701" s="20"/>
    </row>
    <row r="702">
      <c r="A702" s="20"/>
      <c r="B702" s="20"/>
      <c r="C702" s="20"/>
      <c r="D702" s="20"/>
      <c r="E702" s="20"/>
    </row>
    <row r="703">
      <c r="A703" s="20"/>
      <c r="B703" s="20"/>
      <c r="C703" s="20"/>
      <c r="D703" s="20"/>
      <c r="E703" s="20"/>
    </row>
    <row r="704">
      <c r="A704" s="20"/>
      <c r="B704" s="20"/>
      <c r="C704" s="20"/>
      <c r="D704" s="20"/>
      <c r="E704" s="20"/>
    </row>
    <row r="705">
      <c r="A705" s="20"/>
      <c r="B705" s="20"/>
      <c r="C705" s="20"/>
      <c r="D705" s="20"/>
      <c r="E705" s="20"/>
    </row>
    <row r="706">
      <c r="A706" s="20"/>
      <c r="B706" s="20"/>
      <c r="C706" s="20"/>
      <c r="D706" s="20"/>
      <c r="E706" s="20"/>
    </row>
    <row r="707">
      <c r="A707" s="20"/>
      <c r="B707" s="20"/>
      <c r="C707" s="20"/>
      <c r="D707" s="20"/>
      <c r="E707" s="20"/>
    </row>
    <row r="708">
      <c r="A708" s="20"/>
      <c r="B708" s="20"/>
      <c r="C708" s="20"/>
      <c r="D708" s="20"/>
      <c r="E708" s="20"/>
    </row>
    <row r="709">
      <c r="A709" s="20"/>
      <c r="B709" s="20"/>
      <c r="C709" s="20"/>
      <c r="D709" s="20"/>
      <c r="E709" s="20"/>
    </row>
    <row r="710">
      <c r="A710" s="20"/>
      <c r="B710" s="20"/>
      <c r="C710" s="20"/>
      <c r="D710" s="20"/>
      <c r="E710" s="20"/>
    </row>
    <row r="711">
      <c r="A711" s="20"/>
      <c r="B711" s="20"/>
      <c r="C711" s="20"/>
      <c r="D711" s="20"/>
      <c r="E711" s="20"/>
    </row>
    <row r="712">
      <c r="A712" s="20"/>
      <c r="B712" s="20"/>
      <c r="C712" s="20"/>
      <c r="D712" s="20"/>
      <c r="E712" s="20"/>
    </row>
    <row r="713">
      <c r="A713" s="20"/>
      <c r="B713" s="20"/>
      <c r="C713" s="20"/>
      <c r="D713" s="20"/>
      <c r="E713" s="20"/>
    </row>
    <row r="714">
      <c r="A714" s="20"/>
      <c r="B714" s="20"/>
      <c r="C714" s="20"/>
      <c r="D714" s="20"/>
      <c r="E714" s="20"/>
    </row>
    <row r="715">
      <c r="A715" s="20"/>
      <c r="B715" s="20"/>
      <c r="C715" s="20"/>
      <c r="D715" s="20"/>
      <c r="E715" s="20"/>
    </row>
    <row r="716">
      <c r="A716" s="20"/>
      <c r="B716" s="20"/>
      <c r="C716" s="20"/>
      <c r="D716" s="20"/>
      <c r="E716" s="20"/>
    </row>
    <row r="717">
      <c r="A717" s="20"/>
      <c r="B717" s="20"/>
      <c r="C717" s="20"/>
      <c r="D717" s="20"/>
      <c r="E717" s="20"/>
    </row>
    <row r="718">
      <c r="A718" s="20"/>
      <c r="B718" s="20"/>
      <c r="C718" s="20"/>
      <c r="D718" s="20"/>
      <c r="E718" s="20"/>
    </row>
    <row r="719">
      <c r="A719" s="20"/>
      <c r="B719" s="20"/>
      <c r="C719" s="20"/>
      <c r="D719" s="20"/>
      <c r="E719" s="20"/>
    </row>
    <row r="720">
      <c r="A720" s="20"/>
      <c r="B720" s="20"/>
      <c r="C720" s="20"/>
      <c r="D720" s="20"/>
      <c r="E720" s="20"/>
    </row>
    <row r="721">
      <c r="A721" s="20"/>
      <c r="B721" s="20"/>
      <c r="C721" s="20"/>
      <c r="D721" s="20"/>
      <c r="E721" s="20"/>
    </row>
    <row r="722">
      <c r="A722" s="20"/>
      <c r="B722" s="20"/>
      <c r="C722" s="20"/>
      <c r="D722" s="20"/>
      <c r="E722" s="20"/>
    </row>
    <row r="723">
      <c r="A723" s="20"/>
      <c r="B723" s="20"/>
      <c r="C723" s="20"/>
      <c r="D723" s="20"/>
      <c r="E723" s="20"/>
    </row>
    <row r="724">
      <c r="A724" s="20"/>
      <c r="B724" s="20"/>
      <c r="C724" s="20"/>
      <c r="D724" s="20"/>
      <c r="E724" s="20"/>
    </row>
    <row r="725">
      <c r="A725" s="20"/>
      <c r="B725" s="20"/>
      <c r="C725" s="20"/>
      <c r="D725" s="20"/>
      <c r="E725" s="20"/>
    </row>
    <row r="726">
      <c r="A726" s="20"/>
      <c r="B726" s="20"/>
      <c r="C726" s="20"/>
      <c r="D726" s="20"/>
      <c r="E726" s="20"/>
    </row>
    <row r="727">
      <c r="A727" s="20"/>
      <c r="B727" s="20"/>
      <c r="C727" s="20"/>
      <c r="D727" s="20"/>
      <c r="E727" s="20"/>
    </row>
    <row r="728">
      <c r="A728" s="20"/>
      <c r="B728" s="20"/>
      <c r="C728" s="20"/>
      <c r="D728" s="20"/>
      <c r="E728" s="20"/>
    </row>
    <row r="729">
      <c r="A729" s="20"/>
      <c r="B729" s="20"/>
      <c r="C729" s="20"/>
      <c r="D729" s="20"/>
      <c r="E729" s="20"/>
    </row>
    <row r="730">
      <c r="A730" s="20"/>
      <c r="B730" s="20"/>
      <c r="C730" s="20"/>
      <c r="D730" s="20"/>
      <c r="E730" s="20"/>
    </row>
    <row r="731">
      <c r="A731" s="20"/>
      <c r="B731" s="20"/>
      <c r="C731" s="20"/>
      <c r="D731" s="20"/>
      <c r="E731" s="20"/>
    </row>
    <row r="732">
      <c r="A732" s="20"/>
      <c r="B732" s="20"/>
      <c r="C732" s="20"/>
      <c r="D732" s="20"/>
      <c r="E732" s="20"/>
    </row>
    <row r="733">
      <c r="A733" s="20"/>
      <c r="B733" s="20"/>
      <c r="C733" s="20"/>
      <c r="D733" s="20"/>
      <c r="E733" s="20"/>
    </row>
    <row r="734">
      <c r="A734" s="20"/>
      <c r="B734" s="20"/>
      <c r="C734" s="20"/>
      <c r="D734" s="20"/>
      <c r="E734" s="20"/>
    </row>
    <row r="735">
      <c r="A735" s="20"/>
      <c r="B735" s="20"/>
      <c r="C735" s="20"/>
      <c r="D735" s="20"/>
      <c r="E735" s="20"/>
    </row>
    <row r="736">
      <c r="A736" s="20"/>
      <c r="B736" s="20"/>
      <c r="C736" s="20"/>
      <c r="D736" s="20"/>
      <c r="E736" s="20"/>
    </row>
    <row r="737">
      <c r="A737" s="20"/>
      <c r="B737" s="20"/>
      <c r="C737" s="20"/>
      <c r="D737" s="20"/>
      <c r="E737" s="20"/>
    </row>
    <row r="738">
      <c r="A738" s="20"/>
      <c r="B738" s="20"/>
      <c r="C738" s="20"/>
      <c r="D738" s="20"/>
      <c r="E738" s="20"/>
    </row>
    <row r="739">
      <c r="A739" s="20"/>
      <c r="B739" s="20"/>
      <c r="C739" s="20"/>
      <c r="D739" s="20"/>
      <c r="E739" s="20"/>
    </row>
    <row r="740">
      <c r="A740" s="20"/>
      <c r="B740" s="20"/>
      <c r="C740" s="20"/>
      <c r="D740" s="20"/>
      <c r="E740" s="20"/>
    </row>
    <row r="741">
      <c r="A741" s="20"/>
      <c r="B741" s="20"/>
      <c r="C741" s="20"/>
      <c r="D741" s="20"/>
      <c r="E741" s="20"/>
    </row>
    <row r="742">
      <c r="A742" s="20"/>
      <c r="B742" s="20"/>
      <c r="C742" s="20"/>
      <c r="D742" s="20"/>
      <c r="E742" s="20"/>
    </row>
    <row r="743">
      <c r="A743" s="20"/>
      <c r="B743" s="20"/>
      <c r="C743" s="20"/>
      <c r="D743" s="20"/>
      <c r="E743" s="20"/>
    </row>
    <row r="744">
      <c r="A744" s="20"/>
      <c r="B744" s="20"/>
      <c r="C744" s="20"/>
      <c r="D744" s="20"/>
      <c r="E744" s="20"/>
    </row>
    <row r="745">
      <c r="A745" s="20"/>
      <c r="B745" s="20"/>
      <c r="C745" s="20"/>
      <c r="D745" s="20"/>
      <c r="E745" s="20"/>
    </row>
    <row r="746">
      <c r="A746" s="20"/>
      <c r="B746" s="20"/>
      <c r="C746" s="20"/>
      <c r="D746" s="20"/>
      <c r="E746" s="20"/>
    </row>
    <row r="747">
      <c r="A747" s="20"/>
      <c r="B747" s="20"/>
      <c r="C747" s="20"/>
      <c r="D747" s="20"/>
      <c r="E747" s="20"/>
    </row>
    <row r="748">
      <c r="A748" s="20"/>
      <c r="B748" s="20"/>
      <c r="C748" s="20"/>
      <c r="D748" s="20"/>
      <c r="E748" s="20"/>
    </row>
    <row r="749">
      <c r="A749" s="20"/>
      <c r="B749" s="20"/>
      <c r="C749" s="20"/>
      <c r="D749" s="20"/>
      <c r="E749" s="20"/>
    </row>
    <row r="750">
      <c r="A750" s="20"/>
      <c r="B750" s="20"/>
      <c r="C750" s="20"/>
      <c r="D750" s="20"/>
      <c r="E750" s="20"/>
    </row>
    <row r="751">
      <c r="A751" s="20"/>
      <c r="B751" s="20"/>
      <c r="C751" s="20"/>
      <c r="D751" s="20"/>
      <c r="E751" s="20"/>
    </row>
    <row r="752">
      <c r="A752" s="20"/>
      <c r="B752" s="20"/>
      <c r="C752" s="20"/>
      <c r="D752" s="20"/>
      <c r="E752" s="20"/>
    </row>
    <row r="753">
      <c r="A753" s="20"/>
      <c r="B753" s="20"/>
      <c r="C753" s="20"/>
      <c r="D753" s="20"/>
      <c r="E753" s="20"/>
    </row>
    <row r="754">
      <c r="A754" s="20"/>
      <c r="B754" s="20"/>
      <c r="C754" s="20"/>
      <c r="D754" s="20"/>
      <c r="E754" s="20"/>
    </row>
    <row r="755">
      <c r="A755" s="20"/>
      <c r="B755" s="20"/>
      <c r="C755" s="20"/>
      <c r="D755" s="20"/>
      <c r="E755" s="20"/>
    </row>
    <row r="756">
      <c r="A756" s="20"/>
      <c r="B756" s="20"/>
      <c r="C756" s="20"/>
      <c r="D756" s="20"/>
      <c r="E756" s="20"/>
    </row>
    <row r="757">
      <c r="A757" s="20"/>
      <c r="B757" s="20"/>
      <c r="C757" s="20"/>
      <c r="D757" s="20"/>
      <c r="E757" s="20"/>
    </row>
    <row r="758">
      <c r="A758" s="20"/>
      <c r="B758" s="20"/>
      <c r="C758" s="20"/>
      <c r="D758" s="20"/>
      <c r="E758" s="20"/>
    </row>
    <row r="759">
      <c r="A759" s="20"/>
      <c r="B759" s="20"/>
      <c r="C759" s="20"/>
      <c r="D759" s="20"/>
      <c r="E759" s="20"/>
    </row>
    <row r="760">
      <c r="A760" s="20"/>
      <c r="B760" s="20"/>
      <c r="C760" s="20"/>
      <c r="D760" s="20"/>
      <c r="E760" s="20"/>
    </row>
    <row r="761">
      <c r="A761" s="20"/>
      <c r="B761" s="20"/>
      <c r="C761" s="20"/>
      <c r="D761" s="20"/>
      <c r="E761" s="20"/>
    </row>
    <row r="762">
      <c r="A762" s="20"/>
      <c r="B762" s="20"/>
      <c r="C762" s="20"/>
      <c r="D762" s="20"/>
      <c r="E762" s="20"/>
    </row>
    <row r="763">
      <c r="A763" s="20"/>
      <c r="B763" s="20"/>
      <c r="C763" s="20"/>
      <c r="D763" s="20"/>
      <c r="E763" s="20"/>
    </row>
    <row r="764">
      <c r="A764" s="20"/>
      <c r="B764" s="20"/>
      <c r="C764" s="20"/>
      <c r="D764" s="20"/>
      <c r="E764" s="20"/>
    </row>
    <row r="765">
      <c r="A765" s="20"/>
      <c r="B765" s="20"/>
      <c r="C765" s="20"/>
      <c r="D765" s="20"/>
      <c r="E765" s="20"/>
    </row>
    <row r="766">
      <c r="A766" s="20"/>
      <c r="B766" s="20"/>
      <c r="C766" s="20"/>
      <c r="D766" s="20"/>
      <c r="E766" s="20"/>
    </row>
    <row r="767">
      <c r="A767" s="20"/>
      <c r="B767" s="20"/>
      <c r="C767" s="20"/>
      <c r="D767" s="20"/>
      <c r="E767" s="20"/>
    </row>
    <row r="768">
      <c r="A768" s="20"/>
      <c r="B768" s="20"/>
      <c r="C768" s="20"/>
      <c r="D768" s="20"/>
      <c r="E768" s="20"/>
    </row>
    <row r="769">
      <c r="A769" s="20"/>
      <c r="B769" s="20"/>
      <c r="C769" s="20"/>
      <c r="D769" s="20"/>
      <c r="E769" s="20"/>
    </row>
    <row r="770">
      <c r="A770" s="20"/>
      <c r="B770" s="20"/>
      <c r="C770" s="20"/>
      <c r="D770" s="20"/>
      <c r="E770" s="20"/>
    </row>
    <row r="771">
      <c r="A771" s="20"/>
      <c r="B771" s="20"/>
      <c r="C771" s="20"/>
      <c r="D771" s="20"/>
      <c r="E771" s="20"/>
    </row>
    <row r="772">
      <c r="A772" s="20"/>
      <c r="B772" s="20"/>
      <c r="C772" s="20"/>
      <c r="D772" s="20"/>
      <c r="E772" s="20"/>
    </row>
    <row r="773">
      <c r="A773" s="20"/>
      <c r="B773" s="20"/>
      <c r="C773" s="20"/>
      <c r="D773" s="20"/>
      <c r="E773" s="20"/>
    </row>
    <row r="774">
      <c r="A774" s="20"/>
      <c r="B774" s="20"/>
      <c r="C774" s="20"/>
      <c r="D774" s="20"/>
      <c r="E774" s="20"/>
    </row>
    <row r="775">
      <c r="A775" s="20"/>
      <c r="B775" s="20"/>
      <c r="C775" s="20"/>
      <c r="D775" s="20"/>
      <c r="E775" s="20"/>
    </row>
    <row r="776">
      <c r="A776" s="20"/>
      <c r="B776" s="20"/>
      <c r="C776" s="20"/>
      <c r="D776" s="20"/>
      <c r="E776" s="20"/>
    </row>
    <row r="777">
      <c r="A777" s="20"/>
      <c r="B777" s="20"/>
      <c r="C777" s="20"/>
      <c r="D777" s="20"/>
      <c r="E777" s="20"/>
    </row>
    <row r="778">
      <c r="A778" s="20"/>
      <c r="B778" s="20"/>
      <c r="C778" s="20"/>
      <c r="D778" s="20"/>
      <c r="E778" s="20"/>
    </row>
    <row r="779">
      <c r="A779" s="20"/>
      <c r="B779" s="20"/>
      <c r="C779" s="20"/>
      <c r="D779" s="20"/>
      <c r="E779" s="20"/>
    </row>
    <row r="780">
      <c r="A780" s="20"/>
      <c r="B780" s="20"/>
      <c r="C780" s="20"/>
      <c r="D780" s="20"/>
      <c r="E780" s="20"/>
    </row>
    <row r="781">
      <c r="A781" s="20"/>
      <c r="B781" s="20"/>
      <c r="C781" s="20"/>
      <c r="D781" s="20"/>
      <c r="E781" s="20"/>
    </row>
    <row r="782">
      <c r="A782" s="20"/>
      <c r="B782" s="20"/>
      <c r="C782" s="20"/>
      <c r="D782" s="20"/>
      <c r="E782" s="20"/>
    </row>
    <row r="783">
      <c r="A783" s="20"/>
      <c r="B783" s="20"/>
      <c r="C783" s="20"/>
      <c r="D783" s="20"/>
      <c r="E783" s="20"/>
    </row>
    <row r="784">
      <c r="A784" s="20"/>
      <c r="B784" s="20"/>
      <c r="C784" s="20"/>
      <c r="D784" s="20"/>
      <c r="E784" s="20"/>
    </row>
    <row r="785">
      <c r="A785" s="20"/>
      <c r="B785" s="20"/>
      <c r="C785" s="20"/>
      <c r="D785" s="20"/>
      <c r="E785" s="20"/>
    </row>
    <row r="786">
      <c r="A786" s="20"/>
      <c r="B786" s="20"/>
      <c r="C786" s="20"/>
      <c r="D786" s="20"/>
      <c r="E786" s="20"/>
    </row>
    <row r="787">
      <c r="A787" s="20"/>
      <c r="B787" s="20"/>
      <c r="C787" s="20"/>
      <c r="D787" s="20"/>
      <c r="E787" s="20"/>
    </row>
    <row r="788">
      <c r="A788" s="20"/>
      <c r="B788" s="20"/>
      <c r="C788" s="20"/>
      <c r="D788" s="20"/>
      <c r="E788" s="20"/>
    </row>
    <row r="789">
      <c r="A789" s="20"/>
      <c r="B789" s="20"/>
      <c r="C789" s="20"/>
      <c r="D789" s="20"/>
      <c r="E789" s="20"/>
    </row>
    <row r="790">
      <c r="A790" s="20"/>
      <c r="B790" s="20"/>
      <c r="C790" s="20"/>
      <c r="D790" s="20"/>
      <c r="E790" s="20"/>
    </row>
    <row r="791">
      <c r="A791" s="20"/>
      <c r="B791" s="20"/>
      <c r="C791" s="20"/>
      <c r="D791" s="20"/>
      <c r="E791" s="20"/>
    </row>
    <row r="792">
      <c r="A792" s="20"/>
      <c r="B792" s="20"/>
      <c r="C792" s="20"/>
      <c r="D792" s="20"/>
      <c r="E792" s="20"/>
    </row>
    <row r="793">
      <c r="A793" s="20"/>
      <c r="B793" s="20"/>
      <c r="C793" s="20"/>
      <c r="D793" s="20"/>
      <c r="E793" s="20"/>
    </row>
    <row r="794">
      <c r="A794" s="20"/>
      <c r="B794" s="20"/>
      <c r="C794" s="20"/>
      <c r="D794" s="20"/>
      <c r="E794" s="20"/>
    </row>
    <row r="795">
      <c r="A795" s="20"/>
      <c r="B795" s="20"/>
      <c r="C795" s="20"/>
      <c r="D795" s="20"/>
      <c r="E795" s="20"/>
    </row>
    <row r="796">
      <c r="A796" s="20"/>
      <c r="B796" s="20"/>
      <c r="C796" s="20"/>
      <c r="D796" s="20"/>
      <c r="E796" s="20"/>
    </row>
    <row r="797">
      <c r="A797" s="20"/>
      <c r="B797" s="20"/>
      <c r="C797" s="20"/>
      <c r="D797" s="20"/>
      <c r="E797" s="20"/>
    </row>
    <row r="798">
      <c r="A798" s="20"/>
      <c r="B798" s="20"/>
      <c r="C798" s="20"/>
      <c r="D798" s="20"/>
      <c r="E798" s="20"/>
    </row>
    <row r="799">
      <c r="A799" s="20"/>
      <c r="B799" s="20"/>
      <c r="C799" s="20"/>
      <c r="D799" s="20"/>
      <c r="E799" s="20"/>
    </row>
    <row r="800">
      <c r="A800" s="20"/>
      <c r="B800" s="20"/>
      <c r="C800" s="20"/>
      <c r="D800" s="20"/>
      <c r="E800" s="20"/>
    </row>
    <row r="801">
      <c r="A801" s="20"/>
      <c r="B801" s="20"/>
      <c r="C801" s="20"/>
      <c r="D801" s="20"/>
      <c r="E801" s="20"/>
    </row>
    <row r="802">
      <c r="A802" s="20"/>
      <c r="B802" s="20"/>
      <c r="C802" s="20"/>
      <c r="D802" s="20"/>
      <c r="E802" s="20"/>
    </row>
    <row r="803">
      <c r="A803" s="20"/>
      <c r="B803" s="20"/>
      <c r="C803" s="20"/>
      <c r="D803" s="20"/>
      <c r="E803" s="20"/>
    </row>
    <row r="804">
      <c r="A804" s="20"/>
      <c r="B804" s="20"/>
      <c r="C804" s="20"/>
      <c r="D804" s="20"/>
      <c r="E804" s="20"/>
    </row>
    <row r="805">
      <c r="A805" s="20"/>
      <c r="B805" s="20"/>
      <c r="C805" s="20"/>
      <c r="D805" s="20"/>
      <c r="E805" s="20"/>
    </row>
    <row r="806">
      <c r="A806" s="20"/>
      <c r="B806" s="20"/>
      <c r="C806" s="20"/>
      <c r="D806" s="20"/>
      <c r="E806" s="20"/>
    </row>
    <row r="807">
      <c r="A807" s="20"/>
      <c r="B807" s="20"/>
      <c r="C807" s="20"/>
      <c r="D807" s="20"/>
      <c r="E807" s="20"/>
    </row>
    <row r="808">
      <c r="A808" s="20"/>
      <c r="B808" s="20"/>
      <c r="C808" s="20"/>
      <c r="D808" s="20"/>
      <c r="E808" s="20"/>
    </row>
    <row r="809">
      <c r="A809" s="20"/>
      <c r="B809" s="20"/>
      <c r="C809" s="20"/>
      <c r="D809" s="20"/>
      <c r="E809" s="20"/>
    </row>
    <row r="810">
      <c r="A810" s="20"/>
      <c r="B810" s="20"/>
      <c r="C810" s="20"/>
      <c r="D810" s="20"/>
      <c r="E810" s="20"/>
    </row>
    <row r="811">
      <c r="A811" s="20"/>
      <c r="B811" s="20"/>
      <c r="C811" s="20"/>
      <c r="D811" s="20"/>
      <c r="E811" s="20"/>
    </row>
    <row r="812">
      <c r="A812" s="20"/>
      <c r="B812" s="20"/>
      <c r="C812" s="20"/>
      <c r="D812" s="20"/>
      <c r="E812" s="20"/>
    </row>
    <row r="813">
      <c r="A813" s="20"/>
      <c r="B813" s="20"/>
      <c r="C813" s="20"/>
      <c r="D813" s="20"/>
      <c r="E813" s="20"/>
    </row>
    <row r="814">
      <c r="A814" s="20"/>
      <c r="B814" s="20"/>
      <c r="C814" s="20"/>
      <c r="D814" s="20"/>
      <c r="E814" s="20"/>
    </row>
    <row r="815">
      <c r="A815" s="20"/>
      <c r="B815" s="20"/>
      <c r="C815" s="20"/>
      <c r="D815" s="20"/>
      <c r="E815" s="20"/>
    </row>
    <row r="816">
      <c r="A816" s="20"/>
      <c r="B816" s="20"/>
      <c r="C816" s="20"/>
      <c r="D816" s="20"/>
      <c r="E816" s="20"/>
    </row>
    <row r="817">
      <c r="A817" s="20"/>
      <c r="B817" s="20"/>
      <c r="C817" s="20"/>
      <c r="D817" s="20"/>
      <c r="E817" s="20"/>
    </row>
    <row r="818">
      <c r="A818" s="20"/>
      <c r="B818" s="20"/>
      <c r="C818" s="20"/>
      <c r="D818" s="20"/>
      <c r="E818" s="20"/>
    </row>
    <row r="819">
      <c r="A819" s="20"/>
      <c r="B819" s="20"/>
      <c r="C819" s="20"/>
      <c r="D819" s="20"/>
      <c r="E819" s="20"/>
    </row>
    <row r="820">
      <c r="A820" s="20"/>
      <c r="B820" s="20"/>
      <c r="C820" s="20"/>
      <c r="D820" s="20"/>
      <c r="E820" s="20"/>
    </row>
    <row r="821">
      <c r="A821" s="20"/>
      <c r="B821" s="20"/>
      <c r="C821" s="20"/>
      <c r="D821" s="20"/>
      <c r="E821" s="20"/>
    </row>
    <row r="822">
      <c r="A822" s="20"/>
      <c r="B822" s="20"/>
      <c r="C822" s="20"/>
      <c r="D822" s="20"/>
      <c r="E822" s="20"/>
    </row>
    <row r="823">
      <c r="A823" s="20"/>
      <c r="B823" s="20"/>
      <c r="C823" s="20"/>
      <c r="D823" s="20"/>
      <c r="E823" s="20"/>
    </row>
    <row r="824">
      <c r="A824" s="20"/>
      <c r="B824" s="20"/>
      <c r="C824" s="20"/>
      <c r="D824" s="20"/>
      <c r="E824" s="20"/>
    </row>
    <row r="825">
      <c r="A825" s="20"/>
      <c r="B825" s="20"/>
      <c r="C825" s="20"/>
      <c r="D825" s="20"/>
      <c r="E825" s="20"/>
    </row>
    <row r="826">
      <c r="A826" s="20"/>
      <c r="B826" s="20"/>
      <c r="C826" s="20"/>
      <c r="D826" s="20"/>
      <c r="E826" s="20"/>
    </row>
    <row r="827">
      <c r="A827" s="20"/>
      <c r="B827" s="20"/>
      <c r="C827" s="20"/>
      <c r="D827" s="20"/>
      <c r="E827" s="20"/>
    </row>
    <row r="828">
      <c r="A828" s="20"/>
      <c r="B828" s="20"/>
      <c r="C828" s="20"/>
      <c r="D828" s="20"/>
      <c r="E828" s="20"/>
    </row>
    <row r="829">
      <c r="A829" s="20"/>
      <c r="B829" s="20"/>
      <c r="C829" s="20"/>
      <c r="D829" s="20"/>
      <c r="E829" s="20"/>
    </row>
    <row r="830">
      <c r="A830" s="20"/>
      <c r="B830" s="20"/>
      <c r="C830" s="20"/>
      <c r="D830" s="20"/>
      <c r="E830" s="20"/>
    </row>
    <row r="831">
      <c r="A831" s="20"/>
      <c r="B831" s="20"/>
      <c r="C831" s="20"/>
      <c r="D831" s="20"/>
      <c r="E831" s="20"/>
    </row>
    <row r="832">
      <c r="A832" s="20"/>
      <c r="B832" s="20"/>
      <c r="C832" s="20"/>
      <c r="D832" s="20"/>
      <c r="E832" s="20"/>
    </row>
    <row r="833">
      <c r="A833" s="20"/>
      <c r="B833" s="20"/>
      <c r="C833" s="20"/>
      <c r="D833" s="20"/>
      <c r="E833" s="20"/>
    </row>
    <row r="834">
      <c r="A834" s="20"/>
      <c r="B834" s="20"/>
      <c r="C834" s="20"/>
      <c r="D834" s="20"/>
      <c r="E834" s="20"/>
    </row>
    <row r="835">
      <c r="A835" s="20"/>
      <c r="B835" s="20"/>
      <c r="C835" s="20"/>
      <c r="D835" s="20"/>
      <c r="E835" s="20"/>
    </row>
    <row r="836">
      <c r="A836" s="20"/>
      <c r="B836" s="20"/>
      <c r="C836" s="20"/>
      <c r="D836" s="20"/>
      <c r="E836" s="20"/>
    </row>
    <row r="837">
      <c r="A837" s="20"/>
      <c r="B837" s="20"/>
      <c r="C837" s="20"/>
      <c r="D837" s="20"/>
      <c r="E837" s="20"/>
    </row>
    <row r="838">
      <c r="A838" s="20"/>
      <c r="B838" s="20"/>
      <c r="C838" s="20"/>
      <c r="D838" s="20"/>
      <c r="E838" s="20"/>
    </row>
    <row r="839">
      <c r="A839" s="20"/>
      <c r="B839" s="20"/>
      <c r="C839" s="20"/>
      <c r="D839" s="20"/>
      <c r="E839" s="20"/>
    </row>
    <row r="840">
      <c r="A840" s="20"/>
      <c r="B840" s="20"/>
      <c r="C840" s="20"/>
      <c r="D840" s="20"/>
      <c r="E840" s="20"/>
    </row>
    <row r="841">
      <c r="A841" s="20"/>
      <c r="B841" s="20"/>
      <c r="C841" s="20"/>
      <c r="D841" s="20"/>
      <c r="E841" s="20"/>
    </row>
    <row r="842">
      <c r="A842" s="20"/>
      <c r="B842" s="20"/>
      <c r="C842" s="20"/>
      <c r="D842" s="20"/>
      <c r="E842" s="20"/>
    </row>
    <row r="843">
      <c r="A843" s="20"/>
      <c r="B843" s="20"/>
      <c r="C843" s="20"/>
      <c r="D843" s="20"/>
      <c r="E843" s="20"/>
    </row>
    <row r="844">
      <c r="A844" s="20"/>
      <c r="B844" s="20"/>
      <c r="C844" s="20"/>
      <c r="D844" s="20"/>
      <c r="E844" s="20"/>
    </row>
    <row r="845">
      <c r="A845" s="20"/>
      <c r="B845" s="20"/>
      <c r="C845" s="20"/>
      <c r="D845" s="20"/>
      <c r="E845" s="20"/>
    </row>
    <row r="846">
      <c r="A846" s="20"/>
      <c r="B846" s="20"/>
      <c r="C846" s="20"/>
      <c r="D846" s="20"/>
      <c r="E846" s="20"/>
    </row>
    <row r="847">
      <c r="A847" s="20"/>
      <c r="B847" s="20"/>
      <c r="C847" s="20"/>
      <c r="D847" s="20"/>
      <c r="E847" s="20"/>
    </row>
    <row r="848">
      <c r="A848" s="20"/>
      <c r="B848" s="20"/>
      <c r="C848" s="20"/>
      <c r="D848" s="20"/>
      <c r="E848" s="20"/>
    </row>
    <row r="849">
      <c r="A849" s="20"/>
      <c r="B849" s="20"/>
      <c r="C849" s="20"/>
      <c r="D849" s="20"/>
      <c r="E849" s="20"/>
    </row>
    <row r="850">
      <c r="A850" s="20"/>
      <c r="B850" s="20"/>
      <c r="C850" s="20"/>
      <c r="D850" s="20"/>
      <c r="E850" s="20"/>
    </row>
    <row r="851">
      <c r="A851" s="20"/>
      <c r="B851" s="20"/>
      <c r="C851" s="20"/>
      <c r="D851" s="20"/>
      <c r="E851" s="20"/>
    </row>
    <row r="852">
      <c r="A852" s="20"/>
      <c r="B852" s="20"/>
      <c r="C852" s="20"/>
      <c r="D852" s="20"/>
      <c r="E852" s="20"/>
    </row>
    <row r="853">
      <c r="A853" s="20"/>
      <c r="B853" s="20"/>
      <c r="C853" s="20"/>
      <c r="D853" s="20"/>
      <c r="E853" s="20"/>
    </row>
    <row r="854">
      <c r="A854" s="20"/>
      <c r="B854" s="20"/>
      <c r="C854" s="20"/>
      <c r="D854" s="20"/>
      <c r="E854" s="20"/>
    </row>
    <row r="855">
      <c r="A855" s="20"/>
      <c r="B855" s="20"/>
      <c r="C855" s="20"/>
      <c r="D855" s="20"/>
      <c r="E855" s="20"/>
    </row>
    <row r="856">
      <c r="A856" s="20"/>
      <c r="B856" s="20"/>
      <c r="C856" s="20"/>
      <c r="D856" s="20"/>
      <c r="E856" s="20"/>
    </row>
    <row r="857">
      <c r="A857" s="20"/>
      <c r="B857" s="20"/>
      <c r="C857" s="20"/>
      <c r="D857" s="20"/>
      <c r="E857" s="20"/>
    </row>
    <row r="858">
      <c r="A858" s="20"/>
      <c r="B858" s="20"/>
      <c r="C858" s="20"/>
      <c r="D858" s="20"/>
      <c r="E858" s="20"/>
    </row>
    <row r="859">
      <c r="A859" s="20"/>
      <c r="B859" s="20"/>
      <c r="C859" s="20"/>
      <c r="D859" s="20"/>
      <c r="E859" s="20"/>
    </row>
    <row r="860">
      <c r="A860" s="20"/>
      <c r="B860" s="20"/>
      <c r="C860" s="20"/>
      <c r="D860" s="20"/>
      <c r="E860" s="20"/>
    </row>
    <row r="861">
      <c r="A861" s="20"/>
      <c r="B861" s="20"/>
      <c r="C861" s="20"/>
      <c r="D861" s="20"/>
      <c r="E861" s="20"/>
    </row>
    <row r="862">
      <c r="A862" s="20"/>
      <c r="B862" s="20"/>
      <c r="C862" s="20"/>
      <c r="D862" s="20"/>
      <c r="E862" s="20"/>
    </row>
    <row r="863">
      <c r="A863" s="20"/>
      <c r="B863" s="20"/>
      <c r="C863" s="20"/>
      <c r="D863" s="20"/>
      <c r="E863" s="20"/>
    </row>
    <row r="864">
      <c r="A864" s="20"/>
      <c r="B864" s="20"/>
      <c r="C864" s="20"/>
      <c r="D864" s="20"/>
      <c r="E864" s="20"/>
    </row>
    <row r="865">
      <c r="A865" s="20"/>
      <c r="B865" s="20"/>
      <c r="C865" s="20"/>
      <c r="D865" s="20"/>
      <c r="E865" s="20"/>
    </row>
    <row r="866">
      <c r="A866" s="20"/>
      <c r="B866" s="20"/>
      <c r="C866" s="20"/>
      <c r="D866" s="20"/>
      <c r="E866" s="20"/>
    </row>
    <row r="867">
      <c r="A867" s="20"/>
      <c r="B867" s="20"/>
      <c r="C867" s="20"/>
      <c r="D867" s="20"/>
      <c r="E867" s="20"/>
    </row>
    <row r="868">
      <c r="A868" s="20"/>
      <c r="B868" s="20"/>
      <c r="C868" s="20"/>
      <c r="D868" s="20"/>
      <c r="E868" s="20"/>
    </row>
    <row r="869">
      <c r="A869" s="20"/>
      <c r="B869" s="20"/>
      <c r="C869" s="20"/>
      <c r="D869" s="20"/>
      <c r="E869" s="20"/>
    </row>
    <row r="870">
      <c r="A870" s="20"/>
      <c r="B870" s="20"/>
      <c r="C870" s="20"/>
      <c r="D870" s="20"/>
      <c r="E870" s="20"/>
    </row>
    <row r="871">
      <c r="A871" s="20"/>
      <c r="B871" s="20"/>
      <c r="C871" s="20"/>
      <c r="D871" s="20"/>
      <c r="E871" s="20"/>
    </row>
    <row r="872">
      <c r="A872" s="20"/>
      <c r="B872" s="20"/>
      <c r="C872" s="20"/>
      <c r="D872" s="20"/>
      <c r="E872" s="20"/>
    </row>
    <row r="873">
      <c r="A873" s="20"/>
      <c r="B873" s="20"/>
      <c r="C873" s="20"/>
      <c r="D873" s="20"/>
      <c r="E873" s="20"/>
    </row>
    <row r="874">
      <c r="A874" s="20"/>
      <c r="B874" s="20"/>
      <c r="C874" s="20"/>
      <c r="D874" s="20"/>
      <c r="E874" s="20"/>
    </row>
    <row r="875">
      <c r="A875" s="20"/>
      <c r="B875" s="20"/>
      <c r="C875" s="20"/>
      <c r="D875" s="20"/>
      <c r="E875" s="20"/>
    </row>
    <row r="876">
      <c r="A876" s="20"/>
      <c r="B876" s="20"/>
      <c r="C876" s="20"/>
      <c r="D876" s="20"/>
      <c r="E876" s="20"/>
    </row>
    <row r="877">
      <c r="A877" s="20"/>
      <c r="B877" s="20"/>
      <c r="C877" s="20"/>
      <c r="D877" s="20"/>
      <c r="E877" s="20"/>
    </row>
    <row r="878">
      <c r="A878" s="20"/>
      <c r="B878" s="20"/>
      <c r="C878" s="20"/>
      <c r="D878" s="20"/>
      <c r="E878" s="20"/>
    </row>
    <row r="879">
      <c r="A879" s="20"/>
      <c r="B879" s="20"/>
      <c r="C879" s="20"/>
      <c r="D879" s="20"/>
      <c r="E879" s="20"/>
    </row>
    <row r="880">
      <c r="A880" s="20"/>
      <c r="B880" s="20"/>
      <c r="C880" s="20"/>
      <c r="D880" s="20"/>
      <c r="E880" s="20"/>
    </row>
    <row r="881">
      <c r="A881" s="20"/>
      <c r="B881" s="20"/>
      <c r="C881" s="20"/>
      <c r="D881" s="20"/>
      <c r="E881" s="20"/>
    </row>
    <row r="882">
      <c r="A882" s="20"/>
      <c r="B882" s="20"/>
      <c r="C882" s="20"/>
      <c r="D882" s="20"/>
      <c r="E882" s="20"/>
    </row>
    <row r="883">
      <c r="A883" s="20"/>
      <c r="B883" s="20"/>
      <c r="C883" s="20"/>
      <c r="D883" s="20"/>
      <c r="E883" s="20"/>
    </row>
    <row r="884">
      <c r="A884" s="20"/>
      <c r="B884" s="20"/>
      <c r="C884" s="20"/>
      <c r="D884" s="20"/>
      <c r="E884" s="20"/>
    </row>
    <row r="885">
      <c r="A885" s="20"/>
      <c r="B885" s="20"/>
      <c r="C885" s="20"/>
      <c r="D885" s="20"/>
      <c r="E885" s="20"/>
    </row>
    <row r="886">
      <c r="A886" s="20"/>
      <c r="B886" s="20"/>
      <c r="C886" s="20"/>
      <c r="D886" s="20"/>
      <c r="E886" s="20"/>
    </row>
    <row r="887">
      <c r="A887" s="20"/>
      <c r="B887" s="20"/>
      <c r="C887" s="20"/>
      <c r="D887" s="20"/>
      <c r="E887" s="20"/>
    </row>
    <row r="888">
      <c r="A888" s="20"/>
      <c r="B888" s="20"/>
      <c r="C888" s="20"/>
      <c r="D888" s="20"/>
      <c r="E888" s="20"/>
    </row>
    <row r="889">
      <c r="A889" s="20"/>
      <c r="B889" s="20"/>
      <c r="C889" s="20"/>
      <c r="D889" s="20"/>
      <c r="E889" s="20"/>
    </row>
    <row r="890">
      <c r="A890" s="20"/>
      <c r="B890" s="20"/>
      <c r="C890" s="20"/>
      <c r="D890" s="20"/>
      <c r="E890" s="20"/>
    </row>
    <row r="891">
      <c r="A891" s="20"/>
      <c r="B891" s="20"/>
      <c r="C891" s="20"/>
      <c r="D891" s="20"/>
      <c r="E891" s="20"/>
    </row>
    <row r="892">
      <c r="A892" s="20"/>
      <c r="B892" s="20"/>
      <c r="C892" s="20"/>
      <c r="D892" s="20"/>
      <c r="E892" s="20"/>
    </row>
    <row r="893">
      <c r="A893" s="20"/>
      <c r="B893" s="20"/>
      <c r="C893" s="20"/>
      <c r="D893" s="20"/>
      <c r="E893" s="20"/>
    </row>
    <row r="894">
      <c r="A894" s="20"/>
      <c r="B894" s="20"/>
      <c r="C894" s="20"/>
      <c r="D894" s="20"/>
      <c r="E894" s="20"/>
    </row>
    <row r="895">
      <c r="A895" s="20"/>
      <c r="B895" s="20"/>
      <c r="C895" s="20"/>
      <c r="D895" s="20"/>
      <c r="E895" s="20"/>
    </row>
    <row r="896">
      <c r="A896" s="20"/>
      <c r="B896" s="20"/>
      <c r="C896" s="20"/>
      <c r="D896" s="20"/>
      <c r="E896" s="20"/>
    </row>
    <row r="897">
      <c r="A897" s="20"/>
      <c r="B897" s="20"/>
      <c r="C897" s="20"/>
      <c r="D897" s="20"/>
      <c r="E897" s="20"/>
    </row>
    <row r="898">
      <c r="A898" s="20"/>
      <c r="B898" s="20"/>
      <c r="C898" s="20"/>
      <c r="D898" s="20"/>
      <c r="E898" s="20"/>
    </row>
    <row r="899">
      <c r="A899" s="20"/>
      <c r="B899" s="20"/>
      <c r="C899" s="20"/>
      <c r="D899" s="20"/>
      <c r="E899" s="20"/>
    </row>
    <row r="900">
      <c r="A900" s="20"/>
      <c r="B900" s="20"/>
      <c r="C900" s="20"/>
      <c r="D900" s="20"/>
      <c r="E900" s="20"/>
    </row>
    <row r="901">
      <c r="A901" s="20"/>
      <c r="B901" s="20"/>
      <c r="C901" s="20"/>
      <c r="D901" s="20"/>
      <c r="E901" s="20"/>
    </row>
    <row r="902">
      <c r="A902" s="20"/>
      <c r="B902" s="20"/>
      <c r="C902" s="20"/>
      <c r="D902" s="20"/>
      <c r="E902" s="20"/>
    </row>
    <row r="903">
      <c r="A903" s="20"/>
      <c r="B903" s="20"/>
      <c r="C903" s="20"/>
      <c r="D903" s="20"/>
      <c r="E903" s="20"/>
    </row>
    <row r="904">
      <c r="A904" s="20"/>
      <c r="B904" s="20"/>
      <c r="C904" s="20"/>
      <c r="D904" s="20"/>
      <c r="E904" s="20"/>
    </row>
    <row r="905">
      <c r="A905" s="20"/>
      <c r="B905" s="20"/>
      <c r="C905" s="20"/>
      <c r="D905" s="20"/>
      <c r="E905" s="20"/>
    </row>
    <row r="906">
      <c r="A906" s="20"/>
      <c r="B906" s="20"/>
      <c r="C906" s="20"/>
      <c r="D906" s="20"/>
      <c r="E906" s="20"/>
    </row>
    <row r="907">
      <c r="A907" s="20"/>
      <c r="B907" s="20"/>
      <c r="C907" s="20"/>
      <c r="D907" s="20"/>
      <c r="E907" s="20"/>
    </row>
    <row r="908">
      <c r="A908" s="20"/>
      <c r="B908" s="20"/>
      <c r="C908" s="20"/>
      <c r="D908" s="20"/>
      <c r="E908" s="20"/>
    </row>
    <row r="909">
      <c r="A909" s="20"/>
      <c r="B909" s="20"/>
      <c r="C909" s="20"/>
      <c r="D909" s="20"/>
      <c r="E909" s="20"/>
    </row>
    <row r="910">
      <c r="A910" s="20"/>
      <c r="B910" s="20"/>
      <c r="C910" s="20"/>
      <c r="D910" s="20"/>
      <c r="E910" s="20"/>
    </row>
    <row r="911">
      <c r="A911" s="20"/>
      <c r="B911" s="20"/>
      <c r="C911" s="20"/>
      <c r="D911" s="20"/>
      <c r="E911" s="20"/>
    </row>
    <row r="912">
      <c r="A912" s="20"/>
      <c r="B912" s="20"/>
      <c r="C912" s="20"/>
      <c r="D912" s="20"/>
      <c r="E912" s="20"/>
    </row>
    <row r="913">
      <c r="A913" s="20"/>
      <c r="B913" s="20"/>
      <c r="C913" s="20"/>
      <c r="D913" s="20"/>
      <c r="E913" s="20"/>
    </row>
    <row r="914">
      <c r="A914" s="20"/>
      <c r="B914" s="20"/>
      <c r="C914" s="20"/>
      <c r="D914" s="20"/>
      <c r="E914" s="20"/>
    </row>
    <row r="915">
      <c r="A915" s="20"/>
      <c r="B915" s="20"/>
      <c r="C915" s="20"/>
      <c r="D915" s="20"/>
      <c r="E915" s="20"/>
    </row>
    <row r="916">
      <c r="A916" s="20"/>
      <c r="B916" s="20"/>
      <c r="C916" s="20"/>
      <c r="D916" s="20"/>
      <c r="E916" s="20"/>
    </row>
    <row r="917">
      <c r="A917" s="20"/>
      <c r="B917" s="20"/>
      <c r="C917" s="20"/>
      <c r="D917" s="20"/>
      <c r="E917" s="20"/>
    </row>
    <row r="918">
      <c r="A918" s="20"/>
      <c r="B918" s="20"/>
      <c r="C918" s="20"/>
      <c r="D918" s="20"/>
      <c r="E918" s="20"/>
    </row>
    <row r="919">
      <c r="A919" s="20"/>
      <c r="B919" s="20"/>
      <c r="C919" s="20"/>
      <c r="D919" s="20"/>
      <c r="E919" s="20"/>
    </row>
    <row r="920">
      <c r="A920" s="20"/>
      <c r="B920" s="20"/>
      <c r="C920" s="20"/>
      <c r="D920" s="20"/>
      <c r="E920" s="20"/>
    </row>
    <row r="921">
      <c r="A921" s="20"/>
      <c r="B921" s="20"/>
      <c r="C921" s="20"/>
      <c r="D921" s="20"/>
      <c r="E921" s="20"/>
    </row>
    <row r="922">
      <c r="A922" s="20"/>
      <c r="B922" s="20"/>
      <c r="C922" s="20"/>
      <c r="D922" s="20"/>
      <c r="E922" s="20"/>
    </row>
    <row r="923">
      <c r="A923" s="20"/>
      <c r="B923" s="20"/>
      <c r="C923" s="20"/>
      <c r="D923" s="20"/>
      <c r="E923" s="20"/>
    </row>
    <row r="924">
      <c r="A924" s="20"/>
      <c r="B924" s="20"/>
      <c r="C924" s="20"/>
      <c r="D924" s="20"/>
      <c r="E924" s="20"/>
    </row>
    <row r="925">
      <c r="A925" s="20"/>
      <c r="B925" s="20"/>
      <c r="C925" s="20"/>
      <c r="D925" s="20"/>
      <c r="E925" s="20"/>
    </row>
    <row r="926">
      <c r="A926" s="20"/>
      <c r="B926" s="20"/>
      <c r="C926" s="20"/>
      <c r="D926" s="20"/>
      <c r="E926" s="20"/>
    </row>
    <row r="927">
      <c r="A927" s="20"/>
      <c r="B927" s="20"/>
      <c r="C927" s="20"/>
      <c r="D927" s="20"/>
      <c r="E927" s="20"/>
    </row>
    <row r="928">
      <c r="A928" s="20"/>
      <c r="B928" s="20"/>
      <c r="C928" s="20"/>
      <c r="D928" s="20"/>
      <c r="E928" s="20"/>
    </row>
    <row r="929">
      <c r="A929" s="20"/>
      <c r="B929" s="20"/>
      <c r="C929" s="20"/>
      <c r="D929" s="20"/>
      <c r="E929" s="20"/>
    </row>
    <row r="930">
      <c r="A930" s="20"/>
      <c r="B930" s="20"/>
      <c r="C930" s="20"/>
      <c r="D930" s="20"/>
      <c r="E930" s="20"/>
    </row>
    <row r="931">
      <c r="A931" s="20"/>
      <c r="B931" s="20"/>
      <c r="C931" s="20"/>
      <c r="D931" s="20"/>
      <c r="E931" s="20"/>
    </row>
    <row r="932">
      <c r="A932" s="20"/>
      <c r="B932" s="20"/>
      <c r="C932" s="20"/>
      <c r="D932" s="20"/>
      <c r="E932" s="20"/>
    </row>
    <row r="933">
      <c r="A933" s="20"/>
      <c r="B933" s="20"/>
      <c r="C933" s="20"/>
      <c r="D933" s="20"/>
      <c r="E933" s="20"/>
    </row>
    <row r="934">
      <c r="A934" s="20"/>
      <c r="B934" s="20"/>
      <c r="C934" s="20"/>
      <c r="D934" s="20"/>
      <c r="E934" s="20"/>
    </row>
    <row r="935">
      <c r="A935" s="20"/>
      <c r="B935" s="20"/>
      <c r="C935" s="20"/>
      <c r="D935" s="20"/>
      <c r="E935" s="20"/>
    </row>
    <row r="936">
      <c r="A936" s="20"/>
      <c r="B936" s="20"/>
      <c r="C936" s="20"/>
      <c r="D936" s="20"/>
      <c r="E936" s="20"/>
    </row>
    <row r="937">
      <c r="A937" s="20"/>
      <c r="B937" s="20"/>
      <c r="C937" s="20"/>
      <c r="D937" s="20"/>
      <c r="E937" s="20"/>
    </row>
    <row r="938">
      <c r="A938" s="20"/>
      <c r="B938" s="20"/>
      <c r="C938" s="20"/>
      <c r="D938" s="20"/>
      <c r="E938" s="20"/>
    </row>
    <row r="939">
      <c r="A939" s="20"/>
      <c r="B939" s="20"/>
      <c r="C939" s="20"/>
      <c r="D939" s="20"/>
      <c r="E939" s="20"/>
    </row>
    <row r="940">
      <c r="A940" s="20"/>
      <c r="B940" s="20"/>
      <c r="C940" s="20"/>
      <c r="D940" s="20"/>
      <c r="E940" s="20"/>
    </row>
    <row r="941">
      <c r="A941" s="20"/>
      <c r="B941" s="20"/>
      <c r="C941" s="20"/>
      <c r="D941" s="20"/>
      <c r="E941" s="20"/>
    </row>
    <row r="942">
      <c r="A942" s="20"/>
      <c r="B942" s="20"/>
      <c r="C942" s="20"/>
      <c r="D942" s="20"/>
      <c r="E942" s="20"/>
    </row>
    <row r="943">
      <c r="A943" s="20"/>
      <c r="B943" s="20"/>
      <c r="C943" s="20"/>
      <c r="D943" s="20"/>
      <c r="E943" s="20"/>
    </row>
    <row r="944">
      <c r="A944" s="20"/>
      <c r="B944" s="20"/>
      <c r="C944" s="20"/>
      <c r="D944" s="20"/>
      <c r="E944" s="20"/>
    </row>
    <row r="945">
      <c r="A945" s="20"/>
      <c r="B945" s="20"/>
      <c r="C945" s="20"/>
      <c r="D945" s="20"/>
      <c r="E945" s="20"/>
    </row>
    <row r="946">
      <c r="A946" s="20"/>
      <c r="B946" s="20"/>
      <c r="C946" s="20"/>
      <c r="D946" s="20"/>
      <c r="E946" s="20"/>
    </row>
    <row r="947">
      <c r="A947" s="20"/>
      <c r="B947" s="20"/>
      <c r="C947" s="20"/>
      <c r="D947" s="20"/>
      <c r="E947" s="20"/>
    </row>
    <row r="948">
      <c r="A948" s="20"/>
      <c r="B948" s="20"/>
      <c r="C948" s="20"/>
      <c r="D948" s="20"/>
      <c r="E948" s="20"/>
    </row>
    <row r="949">
      <c r="A949" s="20"/>
      <c r="B949" s="20"/>
      <c r="C949" s="20"/>
      <c r="D949" s="20"/>
      <c r="E949" s="20"/>
    </row>
    <row r="950">
      <c r="A950" s="20"/>
      <c r="B950" s="20"/>
      <c r="C950" s="20"/>
      <c r="D950" s="20"/>
      <c r="E950" s="20"/>
    </row>
    <row r="951">
      <c r="A951" s="20"/>
      <c r="B951" s="20"/>
      <c r="C951" s="20"/>
      <c r="D951" s="20"/>
      <c r="E951" s="20"/>
    </row>
    <row r="952">
      <c r="A952" s="20"/>
      <c r="B952" s="20"/>
      <c r="C952" s="20"/>
      <c r="D952" s="20"/>
      <c r="E952" s="20"/>
    </row>
    <row r="953">
      <c r="A953" s="20"/>
      <c r="B953" s="20"/>
      <c r="C953" s="20"/>
      <c r="D953" s="20"/>
      <c r="E953" s="20"/>
    </row>
    <row r="954">
      <c r="A954" s="20"/>
      <c r="B954" s="20"/>
      <c r="C954" s="20"/>
      <c r="D954" s="20"/>
      <c r="E954" s="20"/>
    </row>
    <row r="955">
      <c r="A955" s="20"/>
      <c r="B955" s="20"/>
      <c r="C955" s="20"/>
      <c r="D955" s="20"/>
      <c r="E955" s="20"/>
    </row>
    <row r="956">
      <c r="A956" s="20"/>
      <c r="B956" s="20"/>
      <c r="C956" s="20"/>
      <c r="D956" s="20"/>
      <c r="E956" s="20"/>
    </row>
    <row r="957">
      <c r="A957" s="20"/>
      <c r="B957" s="20"/>
      <c r="C957" s="20"/>
      <c r="D957" s="20"/>
      <c r="E957" s="20"/>
    </row>
    <row r="958">
      <c r="A958" s="20"/>
      <c r="B958" s="20"/>
      <c r="C958" s="20"/>
      <c r="D958" s="20"/>
      <c r="E958" s="20"/>
    </row>
    <row r="959">
      <c r="A959" s="20"/>
      <c r="B959" s="20"/>
      <c r="C959" s="20"/>
      <c r="D959" s="20"/>
      <c r="E959" s="20"/>
    </row>
    <row r="960">
      <c r="A960" s="20"/>
      <c r="B960" s="20"/>
      <c r="C960" s="20"/>
      <c r="D960" s="20"/>
      <c r="E960" s="20"/>
    </row>
    <row r="961">
      <c r="A961" s="20"/>
      <c r="B961" s="20"/>
      <c r="C961" s="20"/>
      <c r="D961" s="20"/>
      <c r="E961" s="20"/>
    </row>
    <row r="962">
      <c r="A962" s="20"/>
      <c r="B962" s="20"/>
      <c r="C962" s="20"/>
      <c r="D962" s="20"/>
      <c r="E962" s="20"/>
    </row>
    <row r="963">
      <c r="A963" s="20"/>
      <c r="B963" s="20"/>
      <c r="C963" s="20"/>
      <c r="D963" s="20"/>
      <c r="E963" s="20"/>
    </row>
    <row r="964">
      <c r="A964" s="20"/>
      <c r="B964" s="20"/>
      <c r="C964" s="20"/>
      <c r="D964" s="20"/>
      <c r="E964" s="20"/>
    </row>
    <row r="965">
      <c r="A965" s="20"/>
      <c r="B965" s="20"/>
      <c r="C965" s="20"/>
      <c r="D965" s="20"/>
      <c r="E965" s="20"/>
    </row>
    <row r="966">
      <c r="A966" s="20"/>
      <c r="B966" s="20"/>
      <c r="C966" s="20"/>
      <c r="D966" s="20"/>
      <c r="E966" s="20"/>
    </row>
    <row r="967">
      <c r="A967" s="20"/>
      <c r="B967" s="20"/>
      <c r="C967" s="20"/>
      <c r="D967" s="20"/>
      <c r="E967" s="20"/>
    </row>
    <row r="968">
      <c r="A968" s="20"/>
      <c r="B968" s="20"/>
      <c r="C968" s="20"/>
      <c r="D968" s="20"/>
      <c r="E968" s="20"/>
    </row>
    <row r="969">
      <c r="A969" s="20"/>
      <c r="B969" s="20"/>
      <c r="C969" s="20"/>
      <c r="D969" s="20"/>
      <c r="E969" s="20"/>
    </row>
    <row r="970">
      <c r="A970" s="20"/>
      <c r="B970" s="20"/>
      <c r="C970" s="20"/>
      <c r="D970" s="20"/>
      <c r="E970" s="20"/>
    </row>
    <row r="971">
      <c r="A971" s="20"/>
      <c r="B971" s="20"/>
      <c r="C971" s="20"/>
      <c r="D971" s="20"/>
      <c r="E971" s="20"/>
    </row>
    <row r="972">
      <c r="A972" s="20"/>
      <c r="B972" s="20"/>
      <c r="C972" s="20"/>
      <c r="D972" s="20"/>
      <c r="E972" s="20"/>
    </row>
    <row r="973">
      <c r="A973" s="20"/>
      <c r="B973" s="20"/>
      <c r="C973" s="20"/>
      <c r="D973" s="20"/>
      <c r="E973" s="20"/>
    </row>
    <row r="974">
      <c r="A974" s="20"/>
      <c r="B974" s="20"/>
      <c r="C974" s="20"/>
      <c r="D974" s="20"/>
      <c r="E974" s="20"/>
    </row>
    <row r="975">
      <c r="A975" s="20"/>
      <c r="B975" s="20"/>
      <c r="C975" s="20"/>
      <c r="D975" s="20"/>
      <c r="E975" s="20"/>
    </row>
    <row r="976">
      <c r="A976" s="20"/>
      <c r="B976" s="20"/>
      <c r="C976" s="20"/>
      <c r="D976" s="20"/>
      <c r="E976" s="20"/>
    </row>
    <row r="977">
      <c r="A977" s="20"/>
      <c r="B977" s="20"/>
      <c r="C977" s="20"/>
      <c r="D977" s="20"/>
      <c r="E977" s="20"/>
    </row>
    <row r="978">
      <c r="A978" s="20"/>
      <c r="B978" s="20"/>
      <c r="C978" s="20"/>
      <c r="D978" s="20"/>
      <c r="E978" s="20"/>
    </row>
    <row r="979">
      <c r="A979" s="20"/>
      <c r="B979" s="20"/>
      <c r="C979" s="20"/>
      <c r="D979" s="20"/>
      <c r="E979" s="20"/>
    </row>
    <row r="980">
      <c r="A980" s="20"/>
      <c r="B980" s="20"/>
      <c r="C980" s="20"/>
      <c r="D980" s="20"/>
      <c r="E980" s="20"/>
    </row>
    <row r="981">
      <c r="A981" s="20"/>
      <c r="B981" s="20"/>
      <c r="C981" s="20"/>
      <c r="D981" s="20"/>
      <c r="E981" s="20"/>
    </row>
    <row r="982">
      <c r="A982" s="20"/>
      <c r="B982" s="20"/>
      <c r="C982" s="20"/>
      <c r="D982" s="20"/>
      <c r="E982" s="20"/>
    </row>
    <row r="983">
      <c r="A983" s="20"/>
      <c r="B983" s="20"/>
      <c r="C983" s="20"/>
      <c r="D983" s="20"/>
      <c r="E983" s="20"/>
    </row>
    <row r="984">
      <c r="A984" s="20"/>
      <c r="B984" s="20"/>
      <c r="C984" s="20"/>
      <c r="D984" s="20"/>
      <c r="E984" s="20"/>
    </row>
    <row r="985">
      <c r="A985" s="20"/>
      <c r="B985" s="20"/>
      <c r="C985" s="20"/>
      <c r="D985" s="20"/>
      <c r="E985" s="20"/>
    </row>
    <row r="986">
      <c r="A986" s="20"/>
      <c r="B986" s="20"/>
      <c r="C986" s="20"/>
      <c r="D986" s="20"/>
      <c r="E986" s="20"/>
    </row>
    <row r="987">
      <c r="A987" s="20"/>
      <c r="B987" s="20"/>
      <c r="C987" s="20"/>
      <c r="D987" s="20"/>
      <c r="E987" s="20"/>
    </row>
    <row r="988">
      <c r="A988" s="20"/>
      <c r="B988" s="20"/>
      <c r="C988" s="20"/>
      <c r="D988" s="20"/>
      <c r="E988" s="20"/>
    </row>
    <row r="989">
      <c r="A989" s="20"/>
      <c r="B989" s="20"/>
      <c r="C989" s="20"/>
      <c r="D989" s="20"/>
      <c r="E989" s="20"/>
    </row>
    <row r="990">
      <c r="A990" s="20"/>
      <c r="B990" s="20"/>
      <c r="C990" s="20"/>
      <c r="D990" s="20"/>
      <c r="E990" s="20"/>
    </row>
    <row r="991">
      <c r="A991" s="20"/>
      <c r="B991" s="20"/>
      <c r="C991" s="20"/>
      <c r="D991" s="20"/>
      <c r="E991" s="20"/>
    </row>
    <row r="992">
      <c r="A992" s="20"/>
      <c r="B992" s="20"/>
      <c r="C992" s="20"/>
      <c r="D992" s="20"/>
      <c r="E992" s="20"/>
    </row>
    <row r="993">
      <c r="A993" s="20"/>
      <c r="B993" s="20"/>
      <c r="C993" s="20"/>
      <c r="D993" s="20"/>
      <c r="E993" s="20"/>
    </row>
    <row r="994">
      <c r="A994" s="20"/>
      <c r="B994" s="20"/>
      <c r="C994" s="20"/>
      <c r="D994" s="20"/>
      <c r="E994" s="20"/>
    </row>
    <row r="995">
      <c r="A995" s="20"/>
      <c r="B995" s="20"/>
      <c r="C995" s="20"/>
      <c r="D995" s="20"/>
      <c r="E995" s="20"/>
    </row>
    <row r="996">
      <c r="A996" s="20"/>
      <c r="B996" s="20"/>
      <c r="C996" s="20"/>
      <c r="D996" s="20"/>
      <c r="E996" s="20"/>
    </row>
    <row r="997">
      <c r="A997" s="20"/>
      <c r="B997" s="20"/>
      <c r="C997" s="20"/>
      <c r="D997" s="20"/>
      <c r="E997" s="20"/>
    </row>
    <row r="998">
      <c r="A998" s="20"/>
      <c r="B998" s="20"/>
      <c r="C998" s="20"/>
      <c r="D998" s="20"/>
      <c r="E998" s="20"/>
    </row>
    <row r="999">
      <c r="A999" s="20"/>
      <c r="B999" s="20"/>
      <c r="C999" s="20"/>
      <c r="D999" s="20"/>
      <c r="E999" s="20"/>
    </row>
    <row r="1000">
      <c r="A1000" s="20"/>
      <c r="B1000" s="20"/>
      <c r="C1000" s="20"/>
      <c r="D1000" s="20"/>
      <c r="E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tr">
        <f>IFERROR(__xludf.DUMMYFUNCTION("IMPORTRANGE(""https://docs.google.com/spreadsheets/d/13MAhBT9K2M70JP2OISI4aettE0FK27CjAGHAew7TsAE/edit?gid=1671364351#gid=1671364351"",""odds!A1:L"")"),"game_id")</f>
        <v>game_id</v>
      </c>
      <c r="B1" s="21" t="str">
        <f>IFERROR(__xludf.DUMMYFUNCTION("""COMPUTED_VALUE"""),"commence_time")</f>
        <v>commence_time</v>
      </c>
      <c r="C1" s="21" t="str">
        <f>IFERROR(__xludf.DUMMYFUNCTION("""COMPUTED_VALUE"""),"in_play")</f>
        <v>in_play</v>
      </c>
      <c r="D1" s="21" t="str">
        <f>IFERROR(__xludf.DUMMYFUNCTION("""COMPUTED_VALUE"""),"bookmaker")</f>
        <v>bookmaker</v>
      </c>
      <c r="E1" s="21" t="str">
        <f>IFERROR(__xludf.DUMMYFUNCTION("""COMPUTED_VALUE"""),"last_update")</f>
        <v>last_update</v>
      </c>
      <c r="F1" s="21" t="str">
        <f>IFERROR(__xludf.DUMMYFUNCTION("""COMPUTED_VALUE"""),"home_team")</f>
        <v>home_team</v>
      </c>
      <c r="G1" s="21" t="str">
        <f>IFERROR(__xludf.DUMMYFUNCTION("""COMPUTED_VALUE"""),"away_team")</f>
        <v>away_team</v>
      </c>
      <c r="H1" s="21" t="str">
        <f>IFERROR(__xludf.DUMMYFUNCTION("""COMPUTED_VALUE"""),"market")</f>
        <v>market</v>
      </c>
      <c r="I1" s="21" t="str">
        <f>IFERROR(__xludf.DUMMYFUNCTION("""COMPUTED_VALUE"""),"label")</f>
        <v>label</v>
      </c>
      <c r="J1" s="21" t="str">
        <f>IFERROR(__xludf.DUMMYFUNCTION("""COMPUTED_VALUE"""),"description")</f>
        <v>description</v>
      </c>
      <c r="K1" s="21" t="str">
        <f>IFERROR(__xludf.DUMMYFUNCTION("""COMPUTED_VALUE"""),"price")</f>
        <v>price</v>
      </c>
      <c r="L1" s="21" t="str">
        <f>IFERROR(__xludf.DUMMYFUNCTION("""COMPUTED_VALUE"""),"point")</f>
        <v>point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1" t="str">
        <f>IFERROR(__xludf.DUMMYFUNCTION("""COMPUTED_VALUE"""),"86278ec4bbdcadd945d79df6c695c2ec")</f>
        <v>86278ec4bbdcadd945d79df6c695c2ec</v>
      </c>
      <c r="B2" s="22">
        <f>IFERROR(__xludf.DUMMYFUNCTION("""COMPUTED_VALUE"""),45594.01041666667)</f>
        <v>45594.01042</v>
      </c>
      <c r="C2" s="23" t="b">
        <f>IFERROR(__xludf.DUMMYFUNCTION("""COMPUTED_VALUE"""),FALSE)</f>
        <v>0</v>
      </c>
      <c r="D2" s="21" t="str">
        <f>IFERROR(__xludf.DUMMYFUNCTION("""COMPUTED_VALUE"""),"DraftKings")</f>
        <v>DraftKings</v>
      </c>
      <c r="E2" s="22">
        <f>IFERROR(__xludf.DUMMYFUNCTION("""COMPUTED_VALUE"""),45593.91478009259)</f>
        <v>45593.91478</v>
      </c>
      <c r="F2" s="21" t="str">
        <f>IFERROR(__xludf.DUMMYFUNCTION("""COMPUTED_VALUE"""),"Pittsburgh Steelers")</f>
        <v>Pittsburgh Steelers</v>
      </c>
      <c r="G2" s="21" t="str">
        <f>IFERROR(__xludf.DUMMYFUNCTION("""COMPUTED_VALUE"""),"New York Giants")</f>
        <v>New York Giants</v>
      </c>
      <c r="H2" s="21" t="str">
        <f>IFERROR(__xludf.DUMMYFUNCTION("""COMPUTED_VALUE"""),"totals")</f>
        <v>totals</v>
      </c>
      <c r="I2" s="21" t="str">
        <f>IFERROR(__xludf.DUMMYFUNCTION("""COMPUTED_VALUE"""),"Over")</f>
        <v>Over</v>
      </c>
      <c r="J2" s="3"/>
      <c r="K2" s="8">
        <f>IFERROR(__xludf.DUMMYFUNCTION("""COMPUTED_VALUE"""),-108.0)</f>
        <v>-108</v>
      </c>
      <c r="L2" s="8">
        <f>IFERROR(__xludf.DUMMYFUNCTION("""COMPUTED_VALUE"""),37.5)</f>
        <v>37.5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1" t="str">
        <f>IFERROR(__xludf.DUMMYFUNCTION("""COMPUTED_VALUE"""),"86278ec4bbdcadd945d79df6c695c2ec")</f>
        <v>86278ec4bbdcadd945d79df6c695c2ec</v>
      </c>
      <c r="B3" s="22">
        <f>IFERROR(__xludf.DUMMYFUNCTION("""COMPUTED_VALUE"""),45594.01041666667)</f>
        <v>45594.01042</v>
      </c>
      <c r="C3" s="23" t="b">
        <f>IFERROR(__xludf.DUMMYFUNCTION("""COMPUTED_VALUE"""),FALSE)</f>
        <v>0</v>
      </c>
      <c r="D3" s="21" t="str">
        <f>IFERROR(__xludf.DUMMYFUNCTION("""COMPUTED_VALUE"""),"DraftKings")</f>
        <v>DraftKings</v>
      </c>
      <c r="E3" s="22">
        <f>IFERROR(__xludf.DUMMYFUNCTION("""COMPUTED_VALUE"""),45593.91478009259)</f>
        <v>45593.91478</v>
      </c>
      <c r="F3" s="21" t="str">
        <f>IFERROR(__xludf.DUMMYFUNCTION("""COMPUTED_VALUE"""),"Pittsburgh Steelers")</f>
        <v>Pittsburgh Steelers</v>
      </c>
      <c r="G3" s="21" t="str">
        <f>IFERROR(__xludf.DUMMYFUNCTION("""COMPUTED_VALUE"""),"New York Giants")</f>
        <v>New York Giants</v>
      </c>
      <c r="H3" s="21" t="str">
        <f>IFERROR(__xludf.DUMMYFUNCTION("""COMPUTED_VALUE"""),"totals")</f>
        <v>totals</v>
      </c>
      <c r="I3" s="21" t="str">
        <f>IFERROR(__xludf.DUMMYFUNCTION("""COMPUTED_VALUE"""),"Under")</f>
        <v>Under</v>
      </c>
      <c r="J3" s="3"/>
      <c r="K3" s="8">
        <f>IFERROR(__xludf.DUMMYFUNCTION("""COMPUTED_VALUE"""),-112.0)</f>
        <v>-112</v>
      </c>
      <c r="L3" s="8">
        <f>IFERROR(__xludf.DUMMYFUNCTION("""COMPUTED_VALUE"""),37.5)</f>
        <v>37.5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1" t="str">
        <f>IFERROR(__xludf.DUMMYFUNCTION("""COMPUTED_VALUE"""),"86278ec4bbdcadd945d79df6c695c2ec")</f>
        <v>86278ec4bbdcadd945d79df6c695c2ec</v>
      </c>
      <c r="B4" s="22">
        <f>IFERROR(__xludf.DUMMYFUNCTION("""COMPUTED_VALUE"""),45594.01041666667)</f>
        <v>45594.01042</v>
      </c>
      <c r="C4" s="23" t="b">
        <f>IFERROR(__xludf.DUMMYFUNCTION("""COMPUTED_VALUE"""),FALSE)</f>
        <v>0</v>
      </c>
      <c r="D4" s="21" t="str">
        <f>IFERROR(__xludf.DUMMYFUNCTION("""COMPUTED_VALUE"""),"BetUS")</f>
        <v>BetUS</v>
      </c>
      <c r="E4" s="22">
        <f>IFERROR(__xludf.DUMMYFUNCTION("""COMPUTED_VALUE"""),45593.91565972222)</f>
        <v>45593.91566</v>
      </c>
      <c r="F4" s="21" t="str">
        <f>IFERROR(__xludf.DUMMYFUNCTION("""COMPUTED_VALUE"""),"Pittsburgh Steelers")</f>
        <v>Pittsburgh Steelers</v>
      </c>
      <c r="G4" s="21" t="str">
        <f>IFERROR(__xludf.DUMMYFUNCTION("""COMPUTED_VALUE"""),"New York Giants")</f>
        <v>New York Giants</v>
      </c>
      <c r="H4" s="21" t="str">
        <f>IFERROR(__xludf.DUMMYFUNCTION("""COMPUTED_VALUE"""),"totals")</f>
        <v>totals</v>
      </c>
      <c r="I4" s="21" t="str">
        <f>IFERROR(__xludf.DUMMYFUNCTION("""COMPUTED_VALUE"""),"Over")</f>
        <v>Over</v>
      </c>
      <c r="J4" s="3"/>
      <c r="K4" s="8">
        <f>IFERROR(__xludf.DUMMYFUNCTION("""COMPUTED_VALUE"""),-115.0)</f>
        <v>-115</v>
      </c>
      <c r="L4" s="8">
        <f>IFERROR(__xludf.DUMMYFUNCTION("""COMPUTED_VALUE"""),37.0)</f>
        <v>37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1" t="str">
        <f>IFERROR(__xludf.DUMMYFUNCTION("""COMPUTED_VALUE"""),"86278ec4bbdcadd945d79df6c695c2ec")</f>
        <v>86278ec4bbdcadd945d79df6c695c2ec</v>
      </c>
      <c r="B5" s="22">
        <f>IFERROR(__xludf.DUMMYFUNCTION("""COMPUTED_VALUE"""),45594.01041666667)</f>
        <v>45594.01042</v>
      </c>
      <c r="C5" s="23" t="b">
        <f>IFERROR(__xludf.DUMMYFUNCTION("""COMPUTED_VALUE"""),FALSE)</f>
        <v>0</v>
      </c>
      <c r="D5" s="21" t="str">
        <f>IFERROR(__xludf.DUMMYFUNCTION("""COMPUTED_VALUE"""),"BetUS")</f>
        <v>BetUS</v>
      </c>
      <c r="E5" s="22">
        <f>IFERROR(__xludf.DUMMYFUNCTION("""COMPUTED_VALUE"""),45593.91565972222)</f>
        <v>45593.91566</v>
      </c>
      <c r="F5" s="21" t="str">
        <f>IFERROR(__xludf.DUMMYFUNCTION("""COMPUTED_VALUE"""),"Pittsburgh Steelers")</f>
        <v>Pittsburgh Steelers</v>
      </c>
      <c r="G5" s="21" t="str">
        <f>IFERROR(__xludf.DUMMYFUNCTION("""COMPUTED_VALUE"""),"New York Giants")</f>
        <v>New York Giants</v>
      </c>
      <c r="H5" s="21" t="str">
        <f>IFERROR(__xludf.DUMMYFUNCTION("""COMPUTED_VALUE"""),"totals")</f>
        <v>totals</v>
      </c>
      <c r="I5" s="21" t="str">
        <f>IFERROR(__xludf.DUMMYFUNCTION("""COMPUTED_VALUE"""),"Under")</f>
        <v>Under</v>
      </c>
      <c r="J5" s="3"/>
      <c r="K5" s="8">
        <f>IFERROR(__xludf.DUMMYFUNCTION("""COMPUTED_VALUE"""),-105.0)</f>
        <v>-105</v>
      </c>
      <c r="L5" s="8">
        <f>IFERROR(__xludf.DUMMYFUNCTION("""COMPUTED_VALUE"""),37.0)</f>
        <v>37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1" t="str">
        <f>IFERROR(__xludf.DUMMYFUNCTION("""COMPUTED_VALUE"""),"86278ec4bbdcadd945d79df6c695c2ec")</f>
        <v>86278ec4bbdcadd945d79df6c695c2ec</v>
      </c>
      <c r="B6" s="22">
        <f>IFERROR(__xludf.DUMMYFUNCTION("""COMPUTED_VALUE"""),45594.01041666667)</f>
        <v>45594.01042</v>
      </c>
      <c r="C6" s="23" t="b">
        <f>IFERROR(__xludf.DUMMYFUNCTION("""COMPUTED_VALUE"""),FALSE)</f>
        <v>0</v>
      </c>
      <c r="D6" s="21" t="str">
        <f>IFERROR(__xludf.DUMMYFUNCTION("""COMPUTED_VALUE"""),"FanDuel")</f>
        <v>FanDuel</v>
      </c>
      <c r="E6" s="22">
        <f>IFERROR(__xludf.DUMMYFUNCTION("""COMPUTED_VALUE"""),45593.91564814815)</f>
        <v>45593.91565</v>
      </c>
      <c r="F6" s="21" t="str">
        <f>IFERROR(__xludf.DUMMYFUNCTION("""COMPUTED_VALUE"""),"Pittsburgh Steelers")</f>
        <v>Pittsburgh Steelers</v>
      </c>
      <c r="G6" s="21" t="str">
        <f>IFERROR(__xludf.DUMMYFUNCTION("""COMPUTED_VALUE"""),"New York Giants")</f>
        <v>New York Giants</v>
      </c>
      <c r="H6" s="21" t="str">
        <f>IFERROR(__xludf.DUMMYFUNCTION("""COMPUTED_VALUE"""),"totals")</f>
        <v>totals</v>
      </c>
      <c r="I6" s="21" t="str">
        <f>IFERROR(__xludf.DUMMYFUNCTION("""COMPUTED_VALUE"""),"Over")</f>
        <v>Over</v>
      </c>
      <c r="J6" s="3"/>
      <c r="K6" s="8">
        <f>IFERROR(__xludf.DUMMYFUNCTION("""COMPUTED_VALUE"""),-112.0)</f>
        <v>-112</v>
      </c>
      <c r="L6" s="8">
        <f>IFERROR(__xludf.DUMMYFUNCTION("""COMPUTED_VALUE"""),36.5)</f>
        <v>36.5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1" t="str">
        <f>IFERROR(__xludf.DUMMYFUNCTION("""COMPUTED_VALUE"""),"86278ec4bbdcadd945d79df6c695c2ec")</f>
        <v>86278ec4bbdcadd945d79df6c695c2ec</v>
      </c>
      <c r="B7" s="22">
        <f>IFERROR(__xludf.DUMMYFUNCTION("""COMPUTED_VALUE"""),45594.01041666667)</f>
        <v>45594.01042</v>
      </c>
      <c r="C7" s="23" t="b">
        <f>IFERROR(__xludf.DUMMYFUNCTION("""COMPUTED_VALUE"""),FALSE)</f>
        <v>0</v>
      </c>
      <c r="D7" s="21" t="str">
        <f>IFERROR(__xludf.DUMMYFUNCTION("""COMPUTED_VALUE"""),"FanDuel")</f>
        <v>FanDuel</v>
      </c>
      <c r="E7" s="22">
        <f>IFERROR(__xludf.DUMMYFUNCTION("""COMPUTED_VALUE"""),45593.91564814815)</f>
        <v>45593.91565</v>
      </c>
      <c r="F7" s="21" t="str">
        <f>IFERROR(__xludf.DUMMYFUNCTION("""COMPUTED_VALUE"""),"Pittsburgh Steelers")</f>
        <v>Pittsburgh Steelers</v>
      </c>
      <c r="G7" s="21" t="str">
        <f>IFERROR(__xludf.DUMMYFUNCTION("""COMPUTED_VALUE"""),"New York Giants")</f>
        <v>New York Giants</v>
      </c>
      <c r="H7" s="21" t="str">
        <f>IFERROR(__xludf.DUMMYFUNCTION("""COMPUTED_VALUE"""),"totals")</f>
        <v>totals</v>
      </c>
      <c r="I7" s="21" t="str">
        <f>IFERROR(__xludf.DUMMYFUNCTION("""COMPUTED_VALUE"""),"Under")</f>
        <v>Under</v>
      </c>
      <c r="J7" s="3"/>
      <c r="K7" s="8">
        <f>IFERROR(__xludf.DUMMYFUNCTION("""COMPUTED_VALUE"""),-108.0)</f>
        <v>-108</v>
      </c>
      <c r="L7" s="8">
        <f>IFERROR(__xludf.DUMMYFUNCTION("""COMPUTED_VALUE"""),36.5)</f>
        <v>36.5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1" t="str">
        <f>IFERROR(__xludf.DUMMYFUNCTION("""COMPUTED_VALUE"""),"86278ec4bbdcadd945d79df6c695c2ec")</f>
        <v>86278ec4bbdcadd945d79df6c695c2ec</v>
      </c>
      <c r="B8" s="22">
        <f>IFERROR(__xludf.DUMMYFUNCTION("""COMPUTED_VALUE"""),45594.01041666667)</f>
        <v>45594.01042</v>
      </c>
      <c r="C8" s="23" t="b">
        <f>IFERROR(__xludf.DUMMYFUNCTION("""COMPUTED_VALUE"""),FALSE)</f>
        <v>0</v>
      </c>
      <c r="D8" s="24" t="str">
        <f>IFERROR(__xludf.DUMMYFUNCTION("""COMPUTED_VALUE"""),"MyBookie.ag")</f>
        <v>MyBookie.ag</v>
      </c>
      <c r="E8" s="22">
        <f>IFERROR(__xludf.DUMMYFUNCTION("""COMPUTED_VALUE"""),45593.91346064815)</f>
        <v>45593.91346</v>
      </c>
      <c r="F8" s="21" t="str">
        <f>IFERROR(__xludf.DUMMYFUNCTION("""COMPUTED_VALUE"""),"Pittsburgh Steelers")</f>
        <v>Pittsburgh Steelers</v>
      </c>
      <c r="G8" s="21" t="str">
        <f>IFERROR(__xludf.DUMMYFUNCTION("""COMPUTED_VALUE"""),"New York Giants")</f>
        <v>New York Giants</v>
      </c>
      <c r="H8" s="21" t="str">
        <f>IFERROR(__xludf.DUMMYFUNCTION("""COMPUTED_VALUE"""),"totals")</f>
        <v>totals</v>
      </c>
      <c r="I8" s="21" t="str">
        <f>IFERROR(__xludf.DUMMYFUNCTION("""COMPUTED_VALUE"""),"Over")</f>
        <v>Over</v>
      </c>
      <c r="J8" s="3"/>
      <c r="K8" s="8">
        <f>IFERROR(__xludf.DUMMYFUNCTION("""COMPUTED_VALUE"""),-110.0)</f>
        <v>-110</v>
      </c>
      <c r="L8" s="8">
        <f>IFERROR(__xludf.DUMMYFUNCTION("""COMPUTED_VALUE"""),37.0)</f>
        <v>37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1" t="str">
        <f>IFERROR(__xludf.DUMMYFUNCTION("""COMPUTED_VALUE"""),"86278ec4bbdcadd945d79df6c695c2ec")</f>
        <v>86278ec4bbdcadd945d79df6c695c2ec</v>
      </c>
      <c r="B9" s="22">
        <f>IFERROR(__xludf.DUMMYFUNCTION("""COMPUTED_VALUE"""),45594.01041666667)</f>
        <v>45594.01042</v>
      </c>
      <c r="C9" s="23" t="b">
        <f>IFERROR(__xludf.DUMMYFUNCTION("""COMPUTED_VALUE"""),FALSE)</f>
        <v>0</v>
      </c>
      <c r="D9" s="24" t="str">
        <f>IFERROR(__xludf.DUMMYFUNCTION("""COMPUTED_VALUE"""),"MyBookie.ag")</f>
        <v>MyBookie.ag</v>
      </c>
      <c r="E9" s="22">
        <f>IFERROR(__xludf.DUMMYFUNCTION("""COMPUTED_VALUE"""),45593.91346064815)</f>
        <v>45593.91346</v>
      </c>
      <c r="F9" s="21" t="str">
        <f>IFERROR(__xludf.DUMMYFUNCTION("""COMPUTED_VALUE"""),"Pittsburgh Steelers")</f>
        <v>Pittsburgh Steelers</v>
      </c>
      <c r="G9" s="21" t="str">
        <f>IFERROR(__xludf.DUMMYFUNCTION("""COMPUTED_VALUE"""),"New York Giants")</f>
        <v>New York Giants</v>
      </c>
      <c r="H9" s="21" t="str">
        <f>IFERROR(__xludf.DUMMYFUNCTION("""COMPUTED_VALUE"""),"totals")</f>
        <v>totals</v>
      </c>
      <c r="I9" s="21" t="str">
        <f>IFERROR(__xludf.DUMMYFUNCTION("""COMPUTED_VALUE"""),"Under")</f>
        <v>Under</v>
      </c>
      <c r="J9" s="3"/>
      <c r="K9" s="8">
        <f>IFERROR(__xludf.DUMMYFUNCTION("""COMPUTED_VALUE"""),-110.0)</f>
        <v>-110</v>
      </c>
      <c r="L9" s="8">
        <f>IFERROR(__xludf.DUMMYFUNCTION("""COMPUTED_VALUE"""),37.0)</f>
        <v>37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1" t="str">
        <f>IFERROR(__xludf.DUMMYFUNCTION("""COMPUTED_VALUE"""),"86278ec4bbdcadd945d79df6c695c2ec")</f>
        <v>86278ec4bbdcadd945d79df6c695c2ec</v>
      </c>
      <c r="B10" s="22">
        <f>IFERROR(__xludf.DUMMYFUNCTION("""COMPUTED_VALUE"""),45594.01041666667)</f>
        <v>45594.01042</v>
      </c>
      <c r="C10" s="23" t="b">
        <f>IFERROR(__xludf.DUMMYFUNCTION("""COMPUTED_VALUE"""),FALSE)</f>
        <v>0</v>
      </c>
      <c r="D10" s="24" t="str">
        <f>IFERROR(__xludf.DUMMYFUNCTION("""COMPUTED_VALUE"""),"BetOnline.ag")</f>
        <v>BetOnline.ag</v>
      </c>
      <c r="E10" s="22">
        <f>IFERROR(__xludf.DUMMYFUNCTION("""COMPUTED_VALUE"""),45593.91604166667)</f>
        <v>45593.91604</v>
      </c>
      <c r="F10" s="21" t="str">
        <f>IFERROR(__xludf.DUMMYFUNCTION("""COMPUTED_VALUE"""),"Pittsburgh Steelers")</f>
        <v>Pittsburgh Steelers</v>
      </c>
      <c r="G10" s="21" t="str">
        <f>IFERROR(__xludf.DUMMYFUNCTION("""COMPUTED_VALUE"""),"New York Giants")</f>
        <v>New York Giants</v>
      </c>
      <c r="H10" s="21" t="str">
        <f>IFERROR(__xludf.DUMMYFUNCTION("""COMPUTED_VALUE"""),"totals")</f>
        <v>totals</v>
      </c>
      <c r="I10" s="21" t="str">
        <f>IFERROR(__xludf.DUMMYFUNCTION("""COMPUTED_VALUE"""),"Over")</f>
        <v>Over</v>
      </c>
      <c r="J10" s="3"/>
      <c r="K10" s="8">
        <f>IFERROR(__xludf.DUMMYFUNCTION("""COMPUTED_VALUE"""),-110.0)</f>
        <v>-110</v>
      </c>
      <c r="L10" s="8">
        <f>IFERROR(__xludf.DUMMYFUNCTION("""COMPUTED_VALUE"""),37.0)</f>
        <v>37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1" t="str">
        <f>IFERROR(__xludf.DUMMYFUNCTION("""COMPUTED_VALUE"""),"86278ec4bbdcadd945d79df6c695c2ec")</f>
        <v>86278ec4bbdcadd945d79df6c695c2ec</v>
      </c>
      <c r="B11" s="22">
        <f>IFERROR(__xludf.DUMMYFUNCTION("""COMPUTED_VALUE"""),45594.01041666667)</f>
        <v>45594.01042</v>
      </c>
      <c r="C11" s="23" t="b">
        <f>IFERROR(__xludf.DUMMYFUNCTION("""COMPUTED_VALUE"""),FALSE)</f>
        <v>0</v>
      </c>
      <c r="D11" s="24" t="str">
        <f>IFERROR(__xludf.DUMMYFUNCTION("""COMPUTED_VALUE"""),"BetOnline.ag")</f>
        <v>BetOnline.ag</v>
      </c>
      <c r="E11" s="22">
        <f>IFERROR(__xludf.DUMMYFUNCTION("""COMPUTED_VALUE"""),45593.91604166667)</f>
        <v>45593.91604</v>
      </c>
      <c r="F11" s="21" t="str">
        <f>IFERROR(__xludf.DUMMYFUNCTION("""COMPUTED_VALUE"""),"Pittsburgh Steelers")</f>
        <v>Pittsburgh Steelers</v>
      </c>
      <c r="G11" s="21" t="str">
        <f>IFERROR(__xludf.DUMMYFUNCTION("""COMPUTED_VALUE"""),"New York Giants")</f>
        <v>New York Giants</v>
      </c>
      <c r="H11" s="21" t="str">
        <f>IFERROR(__xludf.DUMMYFUNCTION("""COMPUTED_VALUE"""),"totals")</f>
        <v>totals</v>
      </c>
      <c r="I11" s="21" t="str">
        <f>IFERROR(__xludf.DUMMYFUNCTION("""COMPUTED_VALUE"""),"Under")</f>
        <v>Under</v>
      </c>
      <c r="J11" s="3"/>
      <c r="K11" s="8">
        <f>IFERROR(__xludf.DUMMYFUNCTION("""COMPUTED_VALUE"""),-110.0)</f>
        <v>-110</v>
      </c>
      <c r="L11" s="8">
        <f>IFERROR(__xludf.DUMMYFUNCTION("""COMPUTED_VALUE"""),37.0)</f>
        <v>37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1" t="str">
        <f>IFERROR(__xludf.DUMMYFUNCTION("""COMPUTED_VALUE"""),"86278ec4bbdcadd945d79df6c695c2ec")</f>
        <v>86278ec4bbdcadd945d79df6c695c2ec</v>
      </c>
      <c r="B12" s="22">
        <f>IFERROR(__xludf.DUMMYFUNCTION("""COMPUTED_VALUE"""),45594.01041666667)</f>
        <v>45594.01042</v>
      </c>
      <c r="C12" s="23" t="b">
        <f>IFERROR(__xludf.DUMMYFUNCTION("""COMPUTED_VALUE"""),FALSE)</f>
        <v>0</v>
      </c>
      <c r="D12" s="24" t="str">
        <f>IFERROR(__xludf.DUMMYFUNCTION("""COMPUTED_VALUE"""),"LowVig.ag")</f>
        <v>LowVig.ag</v>
      </c>
      <c r="E12" s="22">
        <f>IFERROR(__xludf.DUMMYFUNCTION("""COMPUTED_VALUE"""),45593.91604166667)</f>
        <v>45593.91604</v>
      </c>
      <c r="F12" s="21" t="str">
        <f>IFERROR(__xludf.DUMMYFUNCTION("""COMPUTED_VALUE"""),"Pittsburgh Steelers")</f>
        <v>Pittsburgh Steelers</v>
      </c>
      <c r="G12" s="21" t="str">
        <f>IFERROR(__xludf.DUMMYFUNCTION("""COMPUTED_VALUE"""),"New York Giants")</f>
        <v>New York Giants</v>
      </c>
      <c r="H12" s="21" t="str">
        <f>IFERROR(__xludf.DUMMYFUNCTION("""COMPUTED_VALUE"""),"totals")</f>
        <v>totals</v>
      </c>
      <c r="I12" s="21" t="str">
        <f>IFERROR(__xludf.DUMMYFUNCTION("""COMPUTED_VALUE"""),"Over")</f>
        <v>Over</v>
      </c>
      <c r="J12" s="3"/>
      <c r="K12" s="8">
        <f>IFERROR(__xludf.DUMMYFUNCTION("""COMPUTED_VALUE"""),-110.0)</f>
        <v>-110</v>
      </c>
      <c r="L12" s="8">
        <f>IFERROR(__xludf.DUMMYFUNCTION("""COMPUTED_VALUE"""),37.0)</f>
        <v>37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1" t="str">
        <f>IFERROR(__xludf.DUMMYFUNCTION("""COMPUTED_VALUE"""),"86278ec4bbdcadd945d79df6c695c2ec")</f>
        <v>86278ec4bbdcadd945d79df6c695c2ec</v>
      </c>
      <c r="B13" s="22">
        <f>IFERROR(__xludf.DUMMYFUNCTION("""COMPUTED_VALUE"""),45594.01041666667)</f>
        <v>45594.01042</v>
      </c>
      <c r="C13" s="23" t="b">
        <f>IFERROR(__xludf.DUMMYFUNCTION("""COMPUTED_VALUE"""),FALSE)</f>
        <v>0</v>
      </c>
      <c r="D13" s="24" t="str">
        <f>IFERROR(__xludf.DUMMYFUNCTION("""COMPUTED_VALUE"""),"LowVig.ag")</f>
        <v>LowVig.ag</v>
      </c>
      <c r="E13" s="22">
        <f>IFERROR(__xludf.DUMMYFUNCTION("""COMPUTED_VALUE"""),45593.91604166667)</f>
        <v>45593.91604</v>
      </c>
      <c r="F13" s="21" t="str">
        <f>IFERROR(__xludf.DUMMYFUNCTION("""COMPUTED_VALUE"""),"Pittsburgh Steelers")</f>
        <v>Pittsburgh Steelers</v>
      </c>
      <c r="G13" s="21" t="str">
        <f>IFERROR(__xludf.DUMMYFUNCTION("""COMPUTED_VALUE"""),"New York Giants")</f>
        <v>New York Giants</v>
      </c>
      <c r="H13" s="21" t="str">
        <f>IFERROR(__xludf.DUMMYFUNCTION("""COMPUTED_VALUE"""),"totals")</f>
        <v>totals</v>
      </c>
      <c r="I13" s="21" t="str">
        <f>IFERROR(__xludf.DUMMYFUNCTION("""COMPUTED_VALUE"""),"Under")</f>
        <v>Under</v>
      </c>
      <c r="J13" s="3"/>
      <c r="K13" s="8">
        <f>IFERROR(__xludf.DUMMYFUNCTION("""COMPUTED_VALUE"""),-104.0)</f>
        <v>-104</v>
      </c>
      <c r="L13" s="8">
        <f>IFERROR(__xludf.DUMMYFUNCTION("""COMPUTED_VALUE"""),37.0)</f>
        <v>37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1" t="str">
        <f>IFERROR(__xludf.DUMMYFUNCTION("""COMPUTED_VALUE"""),"86278ec4bbdcadd945d79df6c695c2ec")</f>
        <v>86278ec4bbdcadd945d79df6c695c2ec</v>
      </c>
      <c r="B14" s="22">
        <f>IFERROR(__xludf.DUMMYFUNCTION("""COMPUTED_VALUE"""),45594.01041666667)</f>
        <v>45594.01042</v>
      </c>
      <c r="C14" s="23" t="b">
        <f>IFERROR(__xludf.DUMMYFUNCTION("""COMPUTED_VALUE"""),FALSE)</f>
        <v>0</v>
      </c>
      <c r="D14" s="24" t="str">
        <f>IFERROR(__xludf.DUMMYFUNCTION("""COMPUTED_VALUE"""),"BetRivers")</f>
        <v>BetRivers</v>
      </c>
      <c r="E14" s="22">
        <f>IFERROR(__xludf.DUMMYFUNCTION("""COMPUTED_VALUE"""),45593.91564814815)</f>
        <v>45593.91565</v>
      </c>
      <c r="F14" s="21" t="str">
        <f>IFERROR(__xludf.DUMMYFUNCTION("""COMPUTED_VALUE"""),"Pittsburgh Steelers")</f>
        <v>Pittsburgh Steelers</v>
      </c>
      <c r="G14" s="21" t="str">
        <f>IFERROR(__xludf.DUMMYFUNCTION("""COMPUTED_VALUE"""),"New York Giants")</f>
        <v>New York Giants</v>
      </c>
      <c r="H14" s="21" t="str">
        <f>IFERROR(__xludf.DUMMYFUNCTION("""COMPUTED_VALUE"""),"totals")</f>
        <v>totals</v>
      </c>
      <c r="I14" s="21" t="str">
        <f>IFERROR(__xludf.DUMMYFUNCTION("""COMPUTED_VALUE"""),"Over")</f>
        <v>Over</v>
      </c>
      <c r="J14" s="3"/>
      <c r="K14" s="8">
        <f>IFERROR(__xludf.DUMMYFUNCTION("""COMPUTED_VALUE"""),-108.0)</f>
        <v>-108</v>
      </c>
      <c r="L14" s="8">
        <f>IFERROR(__xludf.DUMMYFUNCTION("""COMPUTED_VALUE"""),37.0)</f>
        <v>37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1" t="str">
        <f>IFERROR(__xludf.DUMMYFUNCTION("""COMPUTED_VALUE"""),"86278ec4bbdcadd945d79df6c695c2ec")</f>
        <v>86278ec4bbdcadd945d79df6c695c2ec</v>
      </c>
      <c r="B15" s="22">
        <f>IFERROR(__xludf.DUMMYFUNCTION("""COMPUTED_VALUE"""),45594.01041666667)</f>
        <v>45594.01042</v>
      </c>
      <c r="C15" s="23" t="b">
        <f>IFERROR(__xludf.DUMMYFUNCTION("""COMPUTED_VALUE"""),FALSE)</f>
        <v>0</v>
      </c>
      <c r="D15" s="24" t="str">
        <f>IFERROR(__xludf.DUMMYFUNCTION("""COMPUTED_VALUE"""),"BetRivers")</f>
        <v>BetRivers</v>
      </c>
      <c r="E15" s="22">
        <f>IFERROR(__xludf.DUMMYFUNCTION("""COMPUTED_VALUE"""),45593.91564814815)</f>
        <v>45593.91565</v>
      </c>
      <c r="F15" s="21" t="str">
        <f>IFERROR(__xludf.DUMMYFUNCTION("""COMPUTED_VALUE"""),"Pittsburgh Steelers")</f>
        <v>Pittsburgh Steelers</v>
      </c>
      <c r="G15" s="21" t="str">
        <f>IFERROR(__xludf.DUMMYFUNCTION("""COMPUTED_VALUE"""),"New York Giants")</f>
        <v>New York Giants</v>
      </c>
      <c r="H15" s="21" t="str">
        <f>IFERROR(__xludf.DUMMYFUNCTION("""COMPUTED_VALUE"""),"totals")</f>
        <v>totals</v>
      </c>
      <c r="I15" s="21" t="str">
        <f>IFERROR(__xludf.DUMMYFUNCTION("""COMPUTED_VALUE"""),"Under")</f>
        <v>Under</v>
      </c>
      <c r="J15" s="3"/>
      <c r="K15" s="8">
        <f>IFERROR(__xludf.DUMMYFUNCTION("""COMPUTED_VALUE"""),-113.0)</f>
        <v>-113</v>
      </c>
      <c r="L15" s="8">
        <f>IFERROR(__xludf.DUMMYFUNCTION("""COMPUTED_VALUE"""),37.0)</f>
        <v>37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1" t="str">
        <f>IFERROR(__xludf.DUMMYFUNCTION("""COMPUTED_VALUE"""),"86278ec4bbdcadd945d79df6c695c2ec")</f>
        <v>86278ec4bbdcadd945d79df6c695c2ec</v>
      </c>
      <c r="B16" s="22">
        <f>IFERROR(__xludf.DUMMYFUNCTION("""COMPUTED_VALUE"""),45594.01041666667)</f>
        <v>45594.01042</v>
      </c>
      <c r="C16" s="23" t="b">
        <f>IFERROR(__xludf.DUMMYFUNCTION("""COMPUTED_VALUE"""),FALSE)</f>
        <v>0</v>
      </c>
      <c r="D16" s="21" t="str">
        <f>IFERROR(__xludf.DUMMYFUNCTION("""COMPUTED_VALUE"""),"BetMGM")</f>
        <v>BetMGM</v>
      </c>
      <c r="E16" s="22">
        <f>IFERROR(__xludf.DUMMYFUNCTION("""COMPUTED_VALUE"""),45593.91604166667)</f>
        <v>45593.91604</v>
      </c>
      <c r="F16" s="21" t="str">
        <f>IFERROR(__xludf.DUMMYFUNCTION("""COMPUTED_VALUE"""),"Pittsburgh Steelers")</f>
        <v>Pittsburgh Steelers</v>
      </c>
      <c r="G16" s="21" t="str">
        <f>IFERROR(__xludf.DUMMYFUNCTION("""COMPUTED_VALUE"""),"New York Giants")</f>
        <v>New York Giants</v>
      </c>
      <c r="H16" s="21" t="str">
        <f>IFERROR(__xludf.DUMMYFUNCTION("""COMPUTED_VALUE"""),"totals")</f>
        <v>totals</v>
      </c>
      <c r="I16" s="21" t="str">
        <f>IFERROR(__xludf.DUMMYFUNCTION("""COMPUTED_VALUE"""),"Over")</f>
        <v>Over</v>
      </c>
      <c r="J16" s="3"/>
      <c r="K16" s="8">
        <f>IFERROR(__xludf.DUMMYFUNCTION("""COMPUTED_VALUE"""),-115.0)</f>
        <v>-115</v>
      </c>
      <c r="L16" s="8">
        <f>IFERROR(__xludf.DUMMYFUNCTION("""COMPUTED_VALUE"""),36.5)</f>
        <v>36.5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1" t="str">
        <f>IFERROR(__xludf.DUMMYFUNCTION("""COMPUTED_VALUE"""),"86278ec4bbdcadd945d79df6c695c2ec")</f>
        <v>86278ec4bbdcadd945d79df6c695c2ec</v>
      </c>
      <c r="B17" s="22">
        <f>IFERROR(__xludf.DUMMYFUNCTION("""COMPUTED_VALUE"""),45594.01041666667)</f>
        <v>45594.01042</v>
      </c>
      <c r="C17" s="23" t="b">
        <f>IFERROR(__xludf.DUMMYFUNCTION("""COMPUTED_VALUE"""),FALSE)</f>
        <v>0</v>
      </c>
      <c r="D17" s="21" t="str">
        <f>IFERROR(__xludf.DUMMYFUNCTION("""COMPUTED_VALUE"""),"BetMGM")</f>
        <v>BetMGM</v>
      </c>
      <c r="E17" s="22">
        <f>IFERROR(__xludf.DUMMYFUNCTION("""COMPUTED_VALUE"""),45593.91604166667)</f>
        <v>45593.91604</v>
      </c>
      <c r="F17" s="21" t="str">
        <f>IFERROR(__xludf.DUMMYFUNCTION("""COMPUTED_VALUE"""),"Pittsburgh Steelers")</f>
        <v>Pittsburgh Steelers</v>
      </c>
      <c r="G17" s="21" t="str">
        <f>IFERROR(__xludf.DUMMYFUNCTION("""COMPUTED_VALUE"""),"New York Giants")</f>
        <v>New York Giants</v>
      </c>
      <c r="H17" s="21" t="str">
        <f>IFERROR(__xludf.DUMMYFUNCTION("""COMPUTED_VALUE"""),"totals")</f>
        <v>totals</v>
      </c>
      <c r="I17" s="21" t="str">
        <f>IFERROR(__xludf.DUMMYFUNCTION("""COMPUTED_VALUE"""),"Under")</f>
        <v>Under</v>
      </c>
      <c r="J17" s="3"/>
      <c r="K17" s="8">
        <f>IFERROR(__xludf.DUMMYFUNCTION("""COMPUTED_VALUE"""),-105.0)</f>
        <v>-105</v>
      </c>
      <c r="L17" s="8">
        <f>IFERROR(__xludf.DUMMYFUNCTION("""COMPUTED_VALUE"""),36.5)</f>
        <v>36.5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1" t="str">
        <f>IFERROR(__xludf.DUMMYFUNCTION("""COMPUTED_VALUE"""),"86278ec4bbdcadd945d79df6c695c2ec")</f>
        <v>86278ec4bbdcadd945d79df6c695c2ec</v>
      </c>
      <c r="B18" s="22">
        <f>IFERROR(__xludf.DUMMYFUNCTION("""COMPUTED_VALUE"""),45594.01041666667)</f>
        <v>45594.01042</v>
      </c>
      <c r="C18" s="23" t="b">
        <f>IFERROR(__xludf.DUMMYFUNCTION("""COMPUTED_VALUE"""),FALSE)</f>
        <v>0</v>
      </c>
      <c r="D18" s="21" t="str">
        <f>IFERROR(__xludf.DUMMYFUNCTION("""COMPUTED_VALUE"""),"Bovada")</f>
        <v>Bovada</v>
      </c>
      <c r="E18" s="22">
        <f>IFERROR(__xludf.DUMMYFUNCTION("""COMPUTED_VALUE"""),45593.91564814815)</f>
        <v>45593.91565</v>
      </c>
      <c r="F18" s="21" t="str">
        <f>IFERROR(__xludf.DUMMYFUNCTION("""COMPUTED_VALUE"""),"Pittsburgh Steelers")</f>
        <v>Pittsburgh Steelers</v>
      </c>
      <c r="G18" s="21" t="str">
        <f>IFERROR(__xludf.DUMMYFUNCTION("""COMPUTED_VALUE"""),"New York Giants")</f>
        <v>New York Giants</v>
      </c>
      <c r="H18" s="21" t="str">
        <f>IFERROR(__xludf.DUMMYFUNCTION("""COMPUTED_VALUE"""),"totals")</f>
        <v>totals</v>
      </c>
      <c r="I18" s="21" t="str">
        <f>IFERROR(__xludf.DUMMYFUNCTION("""COMPUTED_VALUE"""),"Over")</f>
        <v>Over</v>
      </c>
      <c r="J18" s="3"/>
      <c r="K18" s="8">
        <f>IFERROR(__xludf.DUMMYFUNCTION("""COMPUTED_VALUE"""),-110.0)</f>
        <v>-110</v>
      </c>
      <c r="L18" s="8">
        <f>IFERROR(__xludf.DUMMYFUNCTION("""COMPUTED_VALUE"""),37.5)</f>
        <v>37.5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1" t="str">
        <f>IFERROR(__xludf.DUMMYFUNCTION("""COMPUTED_VALUE"""),"86278ec4bbdcadd945d79df6c695c2ec")</f>
        <v>86278ec4bbdcadd945d79df6c695c2ec</v>
      </c>
      <c r="B19" s="22">
        <f>IFERROR(__xludf.DUMMYFUNCTION("""COMPUTED_VALUE"""),45594.01041666667)</f>
        <v>45594.01042</v>
      </c>
      <c r="C19" s="23" t="b">
        <f>IFERROR(__xludf.DUMMYFUNCTION("""COMPUTED_VALUE"""),FALSE)</f>
        <v>0</v>
      </c>
      <c r="D19" s="21" t="str">
        <f>IFERROR(__xludf.DUMMYFUNCTION("""COMPUTED_VALUE"""),"Bovada")</f>
        <v>Bovada</v>
      </c>
      <c r="E19" s="22">
        <f>IFERROR(__xludf.DUMMYFUNCTION("""COMPUTED_VALUE"""),45593.91564814815)</f>
        <v>45593.91565</v>
      </c>
      <c r="F19" s="21" t="str">
        <f>IFERROR(__xludf.DUMMYFUNCTION("""COMPUTED_VALUE"""),"Pittsburgh Steelers")</f>
        <v>Pittsburgh Steelers</v>
      </c>
      <c r="G19" s="21" t="str">
        <f>IFERROR(__xludf.DUMMYFUNCTION("""COMPUTED_VALUE"""),"New York Giants")</f>
        <v>New York Giants</v>
      </c>
      <c r="H19" s="21" t="str">
        <f>IFERROR(__xludf.DUMMYFUNCTION("""COMPUTED_VALUE"""),"totals")</f>
        <v>totals</v>
      </c>
      <c r="I19" s="21" t="str">
        <f>IFERROR(__xludf.DUMMYFUNCTION("""COMPUTED_VALUE"""),"Under")</f>
        <v>Under</v>
      </c>
      <c r="J19" s="3"/>
      <c r="K19" s="8">
        <f>IFERROR(__xludf.DUMMYFUNCTION("""COMPUTED_VALUE"""),-110.0)</f>
        <v>-110</v>
      </c>
      <c r="L19" s="8">
        <f>IFERROR(__xludf.DUMMYFUNCTION("""COMPUTED_VALUE"""),37.5)</f>
        <v>37.5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1"/>
      <c r="B20" s="22"/>
      <c r="C20" s="23"/>
      <c r="D20" s="21"/>
      <c r="E20" s="22"/>
      <c r="F20" s="21"/>
      <c r="G20" s="21"/>
      <c r="H20" s="21"/>
      <c r="I20" s="21"/>
      <c r="J20" s="3"/>
      <c r="K20" s="8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1"/>
      <c r="B21" s="22"/>
      <c r="C21" s="23"/>
      <c r="D21" s="21"/>
      <c r="E21" s="22"/>
      <c r="F21" s="21"/>
      <c r="G21" s="21"/>
      <c r="H21" s="21"/>
      <c r="I21" s="21"/>
      <c r="J21" s="3"/>
      <c r="K21" s="8"/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1"/>
      <c r="B22" s="22"/>
      <c r="C22" s="23"/>
      <c r="D22" s="24"/>
      <c r="E22" s="22"/>
      <c r="F22" s="21"/>
      <c r="G22" s="21"/>
      <c r="H22" s="21"/>
      <c r="I22" s="21"/>
      <c r="J22" s="3"/>
      <c r="K22" s="8"/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1"/>
      <c r="B23" s="22"/>
      <c r="C23" s="23"/>
      <c r="D23" s="24"/>
      <c r="E23" s="22"/>
      <c r="F23" s="21"/>
      <c r="G23" s="21"/>
      <c r="H23" s="21"/>
      <c r="I23" s="21"/>
      <c r="J23" s="3"/>
      <c r="K23" s="8"/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1"/>
      <c r="B24" s="22"/>
      <c r="C24" s="23"/>
      <c r="D24" s="24"/>
      <c r="E24" s="22"/>
      <c r="F24" s="21"/>
      <c r="G24" s="21"/>
      <c r="H24" s="21"/>
      <c r="I24" s="21"/>
      <c r="J24" s="3"/>
      <c r="K24" s="8"/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1"/>
      <c r="B25" s="22"/>
      <c r="C25" s="23"/>
      <c r="D25" s="24"/>
      <c r="E25" s="22"/>
      <c r="F25" s="21"/>
      <c r="G25" s="21"/>
      <c r="H25" s="21"/>
      <c r="I25" s="21"/>
      <c r="J25" s="3"/>
      <c r="K25" s="8"/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1"/>
      <c r="B26" s="22"/>
      <c r="C26" s="23"/>
      <c r="D26" s="21"/>
      <c r="E26" s="22"/>
      <c r="F26" s="21"/>
      <c r="G26" s="21"/>
      <c r="H26" s="21"/>
      <c r="I26" s="21"/>
      <c r="J26" s="3"/>
      <c r="K26" s="8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1"/>
      <c r="B27" s="22"/>
      <c r="C27" s="23"/>
      <c r="D27" s="21"/>
      <c r="E27" s="22"/>
      <c r="F27" s="21"/>
      <c r="G27" s="21"/>
      <c r="H27" s="21"/>
      <c r="I27" s="21"/>
      <c r="J27" s="3"/>
      <c r="K27" s="8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1"/>
      <c r="B28" s="22"/>
      <c r="C28" s="23"/>
      <c r="D28" s="21"/>
      <c r="E28" s="22"/>
      <c r="F28" s="21"/>
      <c r="G28" s="21"/>
      <c r="H28" s="21"/>
      <c r="I28" s="21"/>
      <c r="J28" s="3"/>
      <c r="K28" s="8"/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1"/>
      <c r="B29" s="22"/>
      <c r="C29" s="23"/>
      <c r="D29" s="21"/>
      <c r="E29" s="22"/>
      <c r="F29" s="21"/>
      <c r="G29" s="21"/>
      <c r="H29" s="21"/>
      <c r="I29" s="21"/>
      <c r="J29" s="3"/>
      <c r="K29" s="8"/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1"/>
      <c r="B30" s="22"/>
      <c r="C30" s="23"/>
      <c r="D30" s="21"/>
      <c r="E30" s="22"/>
      <c r="F30" s="21"/>
      <c r="G30" s="21"/>
      <c r="H30" s="21"/>
      <c r="I30" s="21"/>
      <c r="J30" s="3"/>
      <c r="K30" s="8"/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1"/>
      <c r="B31" s="22"/>
      <c r="C31" s="23"/>
      <c r="D31" s="21"/>
      <c r="E31" s="22"/>
      <c r="F31" s="21"/>
      <c r="G31" s="21"/>
      <c r="H31" s="21"/>
      <c r="I31" s="21"/>
      <c r="J31" s="3"/>
      <c r="K31" s="8"/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1"/>
      <c r="B32" s="22"/>
      <c r="C32" s="23"/>
      <c r="D32" s="24"/>
      <c r="E32" s="22"/>
      <c r="F32" s="21"/>
      <c r="G32" s="21"/>
      <c r="H32" s="21"/>
      <c r="I32" s="21"/>
      <c r="J32" s="3"/>
      <c r="K32" s="8"/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1"/>
      <c r="B33" s="22"/>
      <c r="C33" s="23"/>
      <c r="D33" s="24"/>
      <c r="E33" s="22"/>
      <c r="F33" s="21"/>
      <c r="G33" s="21"/>
      <c r="H33" s="21"/>
      <c r="I33" s="21"/>
      <c r="J33" s="3"/>
      <c r="K33" s="8"/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1"/>
      <c r="B34" s="22"/>
      <c r="C34" s="23"/>
      <c r="D34" s="21"/>
      <c r="E34" s="22"/>
      <c r="F34" s="21"/>
      <c r="G34" s="21"/>
      <c r="H34" s="21"/>
      <c r="I34" s="21"/>
      <c r="J34" s="3"/>
      <c r="K34" s="8"/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1"/>
      <c r="B35" s="22"/>
      <c r="C35" s="23"/>
      <c r="D35" s="21"/>
      <c r="E35" s="22"/>
      <c r="F35" s="21"/>
      <c r="G35" s="21"/>
      <c r="H35" s="21"/>
      <c r="I35" s="21"/>
      <c r="J35" s="3"/>
      <c r="K35" s="8"/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1"/>
      <c r="B36" s="22"/>
      <c r="C36" s="23"/>
      <c r="D36" s="21"/>
      <c r="E36" s="22"/>
      <c r="F36" s="21"/>
      <c r="G36" s="21"/>
      <c r="H36" s="21"/>
      <c r="I36" s="21"/>
      <c r="J36" s="3"/>
      <c r="K36" s="8"/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/>
      <c r="B37" s="22"/>
      <c r="C37" s="23"/>
      <c r="D37" s="21"/>
      <c r="E37" s="22"/>
      <c r="F37" s="21"/>
      <c r="G37" s="21"/>
      <c r="H37" s="21"/>
      <c r="I37" s="21"/>
      <c r="J37" s="3"/>
      <c r="K37" s="8"/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1"/>
      <c r="B38" s="22"/>
      <c r="C38" s="23"/>
      <c r="D38" s="21"/>
      <c r="E38" s="22"/>
      <c r="F38" s="21"/>
      <c r="G38" s="21"/>
      <c r="H38" s="21"/>
      <c r="I38" s="21"/>
      <c r="J38" s="3"/>
      <c r="K38" s="8"/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1"/>
      <c r="B39" s="22"/>
      <c r="C39" s="23"/>
      <c r="D39" s="21"/>
      <c r="E39" s="22"/>
      <c r="F39" s="21"/>
      <c r="G39" s="21"/>
      <c r="H39" s="21"/>
      <c r="I39" s="21"/>
      <c r="J39" s="3"/>
      <c r="K39" s="8"/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1"/>
      <c r="B40" s="22"/>
      <c r="C40" s="23"/>
      <c r="D40" s="21"/>
      <c r="E40" s="22"/>
      <c r="F40" s="21"/>
      <c r="G40" s="21"/>
      <c r="H40" s="21"/>
      <c r="I40" s="21"/>
      <c r="J40" s="3"/>
      <c r="K40" s="8"/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1"/>
      <c r="B41" s="22"/>
      <c r="C41" s="23"/>
      <c r="D41" s="21"/>
      <c r="E41" s="22"/>
      <c r="F41" s="21"/>
      <c r="G41" s="21"/>
      <c r="H41" s="21"/>
      <c r="I41" s="21"/>
      <c r="J41" s="3"/>
      <c r="K41" s="8"/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1"/>
      <c r="B42" s="22"/>
      <c r="C42" s="23"/>
      <c r="D42" s="21"/>
      <c r="E42" s="22"/>
      <c r="F42" s="21"/>
      <c r="G42" s="21"/>
      <c r="H42" s="21"/>
      <c r="I42" s="21"/>
      <c r="J42" s="3"/>
      <c r="K42" s="8"/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1"/>
      <c r="B43" s="22"/>
      <c r="C43" s="23"/>
      <c r="D43" s="21"/>
      <c r="E43" s="22"/>
      <c r="F43" s="21"/>
      <c r="G43" s="21"/>
      <c r="H43" s="21"/>
      <c r="I43" s="21"/>
      <c r="J43" s="3"/>
      <c r="K43" s="8"/>
      <c r="L43" s="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1"/>
      <c r="B44" s="22"/>
      <c r="C44" s="23"/>
      <c r="D44" s="21"/>
      <c r="E44" s="22"/>
      <c r="F44" s="21"/>
      <c r="G44" s="21"/>
      <c r="H44" s="21"/>
      <c r="I44" s="21"/>
      <c r="J44" s="3"/>
      <c r="K44" s="8"/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1"/>
      <c r="B45" s="22"/>
      <c r="C45" s="23"/>
      <c r="D45" s="21"/>
      <c r="E45" s="22"/>
      <c r="F45" s="21"/>
      <c r="G45" s="21"/>
      <c r="H45" s="21"/>
      <c r="I45" s="21"/>
      <c r="J45" s="3"/>
      <c r="K45" s="8"/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1"/>
      <c r="B46" s="22"/>
      <c r="C46" s="23"/>
      <c r="D46" s="21"/>
      <c r="E46" s="22"/>
      <c r="F46" s="21"/>
      <c r="G46" s="21"/>
      <c r="H46" s="21"/>
      <c r="I46" s="21"/>
      <c r="J46" s="3"/>
      <c r="K46" s="8"/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1"/>
      <c r="B47" s="22"/>
      <c r="C47" s="23"/>
      <c r="D47" s="21"/>
      <c r="E47" s="22"/>
      <c r="F47" s="21"/>
      <c r="G47" s="21"/>
      <c r="H47" s="21"/>
      <c r="I47" s="21"/>
      <c r="J47" s="3"/>
      <c r="K47" s="8"/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1"/>
      <c r="B48" s="22"/>
      <c r="C48" s="23"/>
      <c r="D48" s="24"/>
      <c r="E48" s="22"/>
      <c r="F48" s="21"/>
      <c r="G48" s="21"/>
      <c r="H48" s="21"/>
      <c r="I48" s="21"/>
      <c r="J48" s="3"/>
      <c r="K48" s="8"/>
      <c r="L48" s="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1"/>
      <c r="B49" s="22"/>
      <c r="C49" s="23"/>
      <c r="D49" s="24"/>
      <c r="E49" s="22"/>
      <c r="F49" s="21"/>
      <c r="G49" s="21"/>
      <c r="H49" s="21"/>
      <c r="I49" s="21"/>
      <c r="J49" s="3"/>
      <c r="K49" s="8"/>
      <c r="L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1"/>
      <c r="B50" s="22"/>
      <c r="C50" s="23"/>
      <c r="D50" s="24"/>
      <c r="E50" s="22"/>
      <c r="F50" s="21"/>
      <c r="G50" s="21"/>
      <c r="H50" s="21"/>
      <c r="I50" s="21"/>
      <c r="J50" s="3"/>
      <c r="K50" s="8"/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1"/>
      <c r="B51" s="22"/>
      <c r="C51" s="23"/>
      <c r="D51" s="24"/>
      <c r="E51" s="22"/>
      <c r="F51" s="21"/>
      <c r="G51" s="21"/>
      <c r="H51" s="21"/>
      <c r="I51" s="21"/>
      <c r="J51" s="3"/>
      <c r="K51" s="8"/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1"/>
      <c r="B52" s="22"/>
      <c r="C52" s="23"/>
      <c r="D52" s="21"/>
      <c r="E52" s="22"/>
      <c r="F52" s="21"/>
      <c r="G52" s="21"/>
      <c r="H52" s="21"/>
      <c r="I52" s="21"/>
      <c r="J52" s="3"/>
      <c r="K52" s="8"/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1"/>
      <c r="B53" s="22"/>
      <c r="C53" s="23"/>
      <c r="D53" s="21"/>
      <c r="E53" s="22"/>
      <c r="F53" s="21"/>
      <c r="G53" s="21"/>
      <c r="H53" s="21"/>
      <c r="I53" s="21"/>
      <c r="J53" s="3"/>
      <c r="K53" s="8"/>
      <c r="L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1"/>
      <c r="B54" s="22"/>
      <c r="C54" s="23"/>
      <c r="D54" s="21"/>
      <c r="E54" s="22"/>
      <c r="F54" s="21"/>
      <c r="G54" s="21"/>
      <c r="H54" s="21"/>
      <c r="I54" s="21"/>
      <c r="J54" s="3"/>
      <c r="K54" s="8"/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1"/>
      <c r="B55" s="22"/>
      <c r="C55" s="23"/>
      <c r="D55" s="21"/>
      <c r="E55" s="22"/>
      <c r="F55" s="21"/>
      <c r="G55" s="21"/>
      <c r="H55" s="21"/>
      <c r="I55" s="21"/>
      <c r="J55" s="3"/>
      <c r="K55" s="8"/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1"/>
      <c r="B56" s="22"/>
      <c r="C56" s="23"/>
      <c r="D56" s="21"/>
      <c r="E56" s="22"/>
      <c r="F56" s="21"/>
      <c r="G56" s="21"/>
      <c r="H56" s="21"/>
      <c r="I56" s="21"/>
      <c r="J56" s="3"/>
      <c r="K56" s="8"/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1"/>
      <c r="B57" s="22"/>
      <c r="C57" s="23"/>
      <c r="D57" s="21"/>
      <c r="E57" s="22"/>
      <c r="F57" s="21"/>
      <c r="G57" s="21"/>
      <c r="H57" s="21"/>
      <c r="I57" s="21"/>
      <c r="J57" s="3"/>
      <c r="K57" s="8"/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1"/>
      <c r="B58" s="22"/>
      <c r="C58" s="23"/>
      <c r="D58" s="21"/>
      <c r="E58" s="22"/>
      <c r="F58" s="21"/>
      <c r="G58" s="21"/>
      <c r="H58" s="21"/>
      <c r="I58" s="21"/>
      <c r="J58" s="3"/>
      <c r="K58" s="8"/>
      <c r="L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1"/>
      <c r="B59" s="22"/>
      <c r="C59" s="23"/>
      <c r="D59" s="21"/>
      <c r="E59" s="22"/>
      <c r="F59" s="21"/>
      <c r="G59" s="21"/>
      <c r="H59" s="21"/>
      <c r="I59" s="21"/>
      <c r="J59" s="3"/>
      <c r="K59" s="8"/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1"/>
      <c r="B60" s="22"/>
      <c r="C60" s="23"/>
      <c r="D60" s="21"/>
      <c r="E60" s="22"/>
      <c r="F60" s="21"/>
      <c r="G60" s="21"/>
      <c r="H60" s="21"/>
      <c r="I60" s="21"/>
      <c r="J60" s="3"/>
      <c r="K60" s="8"/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1"/>
      <c r="B61" s="22"/>
      <c r="C61" s="23"/>
      <c r="D61" s="21"/>
      <c r="E61" s="22"/>
      <c r="F61" s="21"/>
      <c r="G61" s="21"/>
      <c r="H61" s="21"/>
      <c r="I61" s="21"/>
      <c r="J61" s="3"/>
      <c r="K61" s="8"/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1"/>
      <c r="B62" s="22"/>
      <c r="C62" s="23"/>
      <c r="D62" s="21"/>
      <c r="E62" s="22"/>
      <c r="F62" s="21"/>
      <c r="G62" s="21"/>
      <c r="H62" s="21"/>
      <c r="I62" s="21"/>
      <c r="J62" s="3"/>
      <c r="K62" s="8"/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1"/>
      <c r="B63" s="22"/>
      <c r="C63" s="23"/>
      <c r="D63" s="21"/>
      <c r="E63" s="22"/>
      <c r="F63" s="21"/>
      <c r="G63" s="21"/>
      <c r="H63" s="21"/>
      <c r="I63" s="21"/>
      <c r="J63" s="3"/>
      <c r="K63" s="8"/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1"/>
      <c r="B64" s="22"/>
      <c r="C64" s="23"/>
      <c r="D64" s="24"/>
      <c r="E64" s="22"/>
      <c r="F64" s="21"/>
      <c r="G64" s="21"/>
      <c r="H64" s="21"/>
      <c r="I64" s="21"/>
      <c r="J64" s="3"/>
      <c r="K64" s="8"/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1"/>
      <c r="B65" s="22"/>
      <c r="C65" s="23"/>
      <c r="D65" s="24"/>
      <c r="E65" s="22"/>
      <c r="F65" s="21"/>
      <c r="G65" s="21"/>
      <c r="H65" s="21"/>
      <c r="I65" s="21"/>
      <c r="J65" s="3"/>
      <c r="K65" s="8"/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1"/>
      <c r="B66" s="22"/>
      <c r="C66" s="23"/>
      <c r="D66" s="24"/>
      <c r="E66" s="22"/>
      <c r="F66" s="21"/>
      <c r="G66" s="21"/>
      <c r="H66" s="21"/>
      <c r="I66" s="21"/>
      <c r="J66" s="3"/>
      <c r="K66" s="8"/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1"/>
      <c r="B67" s="22"/>
      <c r="C67" s="23"/>
      <c r="D67" s="24"/>
      <c r="E67" s="22"/>
      <c r="F67" s="21"/>
      <c r="G67" s="21"/>
      <c r="H67" s="21"/>
      <c r="I67" s="21"/>
      <c r="J67" s="3"/>
      <c r="K67" s="8"/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1"/>
      <c r="B68" s="22"/>
      <c r="C68" s="23"/>
      <c r="D68" s="24"/>
      <c r="E68" s="22"/>
      <c r="F68" s="21"/>
      <c r="G68" s="21"/>
      <c r="H68" s="21"/>
      <c r="I68" s="21"/>
      <c r="J68" s="3"/>
      <c r="K68" s="8"/>
      <c r="L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1"/>
      <c r="B69" s="22"/>
      <c r="C69" s="23"/>
      <c r="D69" s="24"/>
      <c r="E69" s="22"/>
      <c r="F69" s="21"/>
      <c r="G69" s="21"/>
      <c r="H69" s="21"/>
      <c r="I69" s="21"/>
      <c r="J69" s="3"/>
      <c r="K69" s="8"/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1"/>
      <c r="B70" s="22"/>
      <c r="C70" s="23"/>
      <c r="D70" s="21"/>
      <c r="E70" s="22"/>
      <c r="F70" s="21"/>
      <c r="G70" s="21"/>
      <c r="H70" s="21"/>
      <c r="I70" s="21"/>
      <c r="J70" s="3"/>
      <c r="K70" s="8"/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1"/>
      <c r="B71" s="22"/>
      <c r="C71" s="23"/>
      <c r="D71" s="21"/>
      <c r="E71" s="22"/>
      <c r="F71" s="21"/>
      <c r="G71" s="21"/>
      <c r="H71" s="21"/>
      <c r="I71" s="21"/>
      <c r="J71" s="3"/>
      <c r="K71" s="8"/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1"/>
      <c r="B72" s="22"/>
      <c r="C72" s="23"/>
      <c r="D72" s="21"/>
      <c r="E72" s="22"/>
      <c r="F72" s="21"/>
      <c r="G72" s="21"/>
      <c r="H72" s="21"/>
      <c r="I72" s="21"/>
      <c r="J72" s="3"/>
      <c r="K72" s="8"/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1"/>
      <c r="B73" s="22"/>
      <c r="C73" s="23"/>
      <c r="D73" s="21"/>
      <c r="E73" s="22"/>
      <c r="F73" s="21"/>
      <c r="G73" s="21"/>
      <c r="H73" s="21"/>
      <c r="I73" s="21"/>
      <c r="J73" s="3"/>
      <c r="K73" s="8"/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1"/>
      <c r="B74" s="22"/>
      <c r="C74" s="23"/>
      <c r="D74" s="21"/>
      <c r="E74" s="22"/>
      <c r="F74" s="21"/>
      <c r="G74" s="21"/>
      <c r="H74" s="21"/>
      <c r="I74" s="21"/>
      <c r="J74" s="3"/>
      <c r="K74" s="8"/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1"/>
      <c r="B75" s="22"/>
      <c r="C75" s="23"/>
      <c r="D75" s="21"/>
      <c r="E75" s="22"/>
      <c r="F75" s="21"/>
      <c r="G75" s="21"/>
      <c r="H75" s="21"/>
      <c r="I75" s="21"/>
      <c r="J75" s="3"/>
      <c r="K75" s="8"/>
      <c r="L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1"/>
      <c r="B76" s="22"/>
      <c r="C76" s="23"/>
      <c r="D76" s="21"/>
      <c r="E76" s="22"/>
      <c r="F76" s="21"/>
      <c r="G76" s="21"/>
      <c r="H76" s="21"/>
      <c r="I76" s="21"/>
      <c r="J76" s="3"/>
      <c r="K76" s="8"/>
      <c r="L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1"/>
      <c r="B77" s="22"/>
      <c r="C77" s="23"/>
      <c r="D77" s="21"/>
      <c r="E77" s="22"/>
      <c r="F77" s="21"/>
      <c r="G77" s="21"/>
      <c r="H77" s="21"/>
      <c r="I77" s="21"/>
      <c r="J77" s="3"/>
      <c r="K77" s="8"/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1"/>
      <c r="B78" s="22"/>
      <c r="C78" s="23"/>
      <c r="D78" s="21"/>
      <c r="E78" s="22"/>
      <c r="F78" s="21"/>
      <c r="G78" s="21"/>
      <c r="H78" s="21"/>
      <c r="I78" s="21"/>
      <c r="J78" s="3"/>
      <c r="K78" s="8"/>
      <c r="L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1"/>
      <c r="B79" s="22"/>
      <c r="C79" s="23"/>
      <c r="D79" s="21"/>
      <c r="E79" s="22"/>
      <c r="F79" s="21"/>
      <c r="G79" s="21"/>
      <c r="H79" s="21"/>
      <c r="I79" s="21"/>
      <c r="J79" s="3"/>
      <c r="K79" s="8"/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1"/>
      <c r="B80" s="22"/>
      <c r="C80" s="23"/>
      <c r="D80" s="21"/>
      <c r="E80" s="22"/>
      <c r="F80" s="21"/>
      <c r="G80" s="21"/>
      <c r="H80" s="21"/>
      <c r="I80" s="21"/>
      <c r="J80" s="3"/>
      <c r="K80" s="8"/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1"/>
      <c r="B81" s="22"/>
      <c r="C81" s="23"/>
      <c r="D81" s="21"/>
      <c r="E81" s="22"/>
      <c r="F81" s="21"/>
      <c r="G81" s="21"/>
      <c r="H81" s="21"/>
      <c r="I81" s="21"/>
      <c r="J81" s="3"/>
      <c r="K81" s="8"/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1"/>
      <c r="B82" s="22"/>
      <c r="C82" s="23"/>
      <c r="D82" s="24"/>
      <c r="E82" s="22"/>
      <c r="F82" s="21"/>
      <c r="G82" s="21"/>
      <c r="H82" s="21"/>
      <c r="I82" s="21"/>
      <c r="J82" s="3"/>
      <c r="K82" s="8"/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1"/>
      <c r="B83" s="22"/>
      <c r="C83" s="23"/>
      <c r="D83" s="24"/>
      <c r="E83" s="22"/>
      <c r="F83" s="21"/>
      <c r="G83" s="21"/>
      <c r="H83" s="21"/>
      <c r="I83" s="21"/>
      <c r="J83" s="3"/>
      <c r="K83" s="8"/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1"/>
      <c r="B84" s="22"/>
      <c r="C84" s="23"/>
      <c r="D84" s="24"/>
      <c r="E84" s="22"/>
      <c r="F84" s="21"/>
      <c r="G84" s="21"/>
      <c r="H84" s="21"/>
      <c r="I84" s="21"/>
      <c r="J84" s="3"/>
      <c r="K84" s="8"/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1"/>
      <c r="B85" s="22"/>
      <c r="C85" s="23"/>
      <c r="D85" s="24"/>
      <c r="E85" s="22"/>
      <c r="F85" s="21"/>
      <c r="G85" s="21"/>
      <c r="H85" s="21"/>
      <c r="I85" s="21"/>
      <c r="J85" s="3"/>
      <c r="K85" s="8"/>
      <c r="L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1"/>
      <c r="B86" s="22"/>
      <c r="C86" s="23"/>
      <c r="D86" s="24"/>
      <c r="E86" s="22"/>
      <c r="F86" s="21"/>
      <c r="G86" s="21"/>
      <c r="H86" s="21"/>
      <c r="I86" s="21"/>
      <c r="J86" s="3"/>
      <c r="K86" s="8"/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1"/>
      <c r="B87" s="22"/>
      <c r="C87" s="23"/>
      <c r="D87" s="24"/>
      <c r="E87" s="22"/>
      <c r="F87" s="21"/>
      <c r="G87" s="21"/>
      <c r="H87" s="21"/>
      <c r="I87" s="21"/>
      <c r="J87" s="3"/>
      <c r="K87" s="8"/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1"/>
      <c r="B88" s="22"/>
      <c r="C88" s="23"/>
      <c r="D88" s="21"/>
      <c r="E88" s="22"/>
      <c r="F88" s="21"/>
      <c r="G88" s="21"/>
      <c r="H88" s="21"/>
      <c r="I88" s="21"/>
      <c r="J88" s="3"/>
      <c r="K88" s="8"/>
      <c r="L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1"/>
      <c r="B89" s="22"/>
      <c r="C89" s="23"/>
      <c r="D89" s="21"/>
      <c r="E89" s="22"/>
      <c r="F89" s="21"/>
      <c r="G89" s="21"/>
      <c r="H89" s="21"/>
      <c r="I89" s="21"/>
      <c r="J89" s="3"/>
      <c r="K89" s="8"/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1"/>
      <c r="B90" s="22"/>
      <c r="C90" s="23"/>
      <c r="D90" s="21"/>
      <c r="E90" s="22"/>
      <c r="F90" s="21"/>
      <c r="G90" s="21"/>
      <c r="H90" s="21"/>
      <c r="I90" s="21"/>
      <c r="J90" s="3"/>
      <c r="K90" s="8"/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1"/>
      <c r="B91" s="22"/>
      <c r="C91" s="23"/>
      <c r="D91" s="21"/>
      <c r="E91" s="22"/>
      <c r="F91" s="21"/>
      <c r="G91" s="21"/>
      <c r="H91" s="21"/>
      <c r="I91" s="21"/>
      <c r="J91" s="3"/>
      <c r="K91" s="8"/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1"/>
      <c r="B92" s="22"/>
      <c r="C92" s="23"/>
      <c r="D92" s="21"/>
      <c r="E92" s="22"/>
      <c r="F92" s="21"/>
      <c r="G92" s="21"/>
      <c r="H92" s="21"/>
      <c r="I92" s="21"/>
      <c r="J92" s="3"/>
      <c r="K92" s="8"/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1"/>
      <c r="B93" s="22"/>
      <c r="C93" s="23"/>
      <c r="D93" s="21"/>
      <c r="E93" s="22"/>
      <c r="F93" s="21"/>
      <c r="G93" s="21"/>
      <c r="H93" s="21"/>
      <c r="I93" s="21"/>
      <c r="J93" s="3"/>
      <c r="K93" s="8"/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1"/>
      <c r="B94" s="22"/>
      <c r="C94" s="23"/>
      <c r="D94" s="21"/>
      <c r="E94" s="22"/>
      <c r="F94" s="21"/>
      <c r="G94" s="21"/>
      <c r="H94" s="21"/>
      <c r="I94" s="21"/>
      <c r="J94" s="3"/>
      <c r="K94" s="8"/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1"/>
      <c r="B95" s="22"/>
      <c r="C95" s="23"/>
      <c r="D95" s="21"/>
      <c r="E95" s="22"/>
      <c r="F95" s="21"/>
      <c r="G95" s="21"/>
      <c r="H95" s="21"/>
      <c r="I95" s="21"/>
      <c r="J95" s="3"/>
      <c r="K95" s="8"/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1"/>
      <c r="B96" s="22"/>
      <c r="C96" s="23"/>
      <c r="D96" s="21"/>
      <c r="E96" s="22"/>
      <c r="F96" s="21"/>
      <c r="G96" s="21"/>
      <c r="H96" s="21"/>
      <c r="I96" s="21"/>
      <c r="J96" s="3"/>
      <c r="K96" s="8"/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1"/>
      <c r="B97" s="22"/>
      <c r="C97" s="23"/>
      <c r="D97" s="21"/>
      <c r="E97" s="22"/>
      <c r="F97" s="21"/>
      <c r="G97" s="21"/>
      <c r="H97" s="21"/>
      <c r="I97" s="21"/>
      <c r="J97" s="3"/>
      <c r="K97" s="8"/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1"/>
      <c r="B98" s="22"/>
      <c r="C98" s="23"/>
      <c r="D98" s="21"/>
      <c r="E98" s="22"/>
      <c r="F98" s="21"/>
      <c r="G98" s="21"/>
      <c r="H98" s="21"/>
      <c r="I98" s="21"/>
      <c r="J98" s="3"/>
      <c r="K98" s="8"/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1"/>
      <c r="B99" s="22"/>
      <c r="C99" s="23"/>
      <c r="D99" s="21"/>
      <c r="E99" s="22"/>
      <c r="F99" s="21"/>
      <c r="G99" s="21"/>
      <c r="H99" s="21"/>
      <c r="I99" s="21"/>
      <c r="J99" s="3"/>
      <c r="K99" s="8"/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1"/>
      <c r="B100" s="22"/>
      <c r="C100" s="23"/>
      <c r="D100" s="24"/>
      <c r="E100" s="22"/>
      <c r="F100" s="21"/>
      <c r="G100" s="21"/>
      <c r="H100" s="21"/>
      <c r="I100" s="21"/>
      <c r="J100" s="3"/>
      <c r="K100" s="8"/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1"/>
      <c r="B101" s="22"/>
      <c r="C101" s="23"/>
      <c r="D101" s="24"/>
      <c r="E101" s="22"/>
      <c r="F101" s="21"/>
      <c r="G101" s="21"/>
      <c r="H101" s="21"/>
      <c r="I101" s="21"/>
      <c r="J101" s="3"/>
      <c r="K101" s="8"/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1"/>
      <c r="B102" s="22"/>
      <c r="C102" s="23"/>
      <c r="D102" s="24"/>
      <c r="E102" s="22"/>
      <c r="F102" s="21"/>
      <c r="G102" s="21"/>
      <c r="H102" s="21"/>
      <c r="I102" s="21"/>
      <c r="J102" s="3"/>
      <c r="K102" s="8"/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1"/>
      <c r="B103" s="22"/>
      <c r="C103" s="23"/>
      <c r="D103" s="24"/>
      <c r="E103" s="22"/>
      <c r="F103" s="21"/>
      <c r="G103" s="21"/>
      <c r="H103" s="21"/>
      <c r="I103" s="21"/>
      <c r="J103" s="3"/>
      <c r="K103" s="8"/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1"/>
      <c r="B104" s="22"/>
      <c r="C104" s="23"/>
      <c r="D104" s="24"/>
      <c r="E104" s="22"/>
      <c r="F104" s="21"/>
      <c r="G104" s="21"/>
      <c r="H104" s="21"/>
      <c r="I104" s="21"/>
      <c r="J104" s="3"/>
      <c r="K104" s="8"/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1"/>
      <c r="B105" s="22"/>
      <c r="C105" s="23"/>
      <c r="D105" s="24"/>
      <c r="E105" s="22"/>
      <c r="F105" s="21"/>
      <c r="G105" s="21"/>
      <c r="H105" s="21"/>
      <c r="I105" s="21"/>
      <c r="J105" s="3"/>
      <c r="K105" s="8"/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1"/>
      <c r="B106" s="22"/>
      <c r="C106" s="23"/>
      <c r="D106" s="21"/>
      <c r="E106" s="22"/>
      <c r="F106" s="21"/>
      <c r="G106" s="21"/>
      <c r="H106" s="21"/>
      <c r="I106" s="21"/>
      <c r="J106" s="3"/>
      <c r="K106" s="8"/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1"/>
      <c r="B107" s="22"/>
      <c r="C107" s="23"/>
      <c r="D107" s="21"/>
      <c r="E107" s="22"/>
      <c r="F107" s="21"/>
      <c r="G107" s="21"/>
      <c r="H107" s="21"/>
      <c r="I107" s="21"/>
      <c r="J107" s="3"/>
      <c r="K107" s="8"/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1"/>
      <c r="B108" s="22"/>
      <c r="C108" s="23"/>
      <c r="D108" s="21"/>
      <c r="E108" s="22"/>
      <c r="F108" s="21"/>
      <c r="G108" s="21"/>
      <c r="H108" s="21"/>
      <c r="I108" s="21"/>
      <c r="J108" s="3"/>
      <c r="K108" s="8"/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1"/>
      <c r="B109" s="22"/>
      <c r="C109" s="23"/>
      <c r="D109" s="21"/>
      <c r="E109" s="22"/>
      <c r="F109" s="21"/>
      <c r="G109" s="21"/>
      <c r="H109" s="21"/>
      <c r="I109" s="21"/>
      <c r="J109" s="3"/>
      <c r="K109" s="8"/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1"/>
      <c r="B110" s="22"/>
      <c r="C110" s="23"/>
      <c r="D110" s="21"/>
      <c r="E110" s="22"/>
      <c r="F110" s="21"/>
      <c r="G110" s="21"/>
      <c r="H110" s="21"/>
      <c r="I110" s="21"/>
      <c r="J110" s="3"/>
      <c r="K110" s="8"/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1"/>
      <c r="B111" s="22"/>
      <c r="C111" s="23"/>
      <c r="D111" s="21"/>
      <c r="E111" s="22"/>
      <c r="F111" s="21"/>
      <c r="G111" s="21"/>
      <c r="H111" s="21"/>
      <c r="I111" s="21"/>
      <c r="J111" s="3"/>
      <c r="K111" s="8"/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1"/>
      <c r="B112" s="22"/>
      <c r="C112" s="23"/>
      <c r="D112" s="21"/>
      <c r="E112" s="22"/>
      <c r="F112" s="21"/>
      <c r="G112" s="21"/>
      <c r="H112" s="21"/>
      <c r="I112" s="21"/>
      <c r="J112" s="3"/>
      <c r="K112" s="8"/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1"/>
      <c r="B113" s="22"/>
      <c r="C113" s="23"/>
      <c r="D113" s="21"/>
      <c r="E113" s="22"/>
      <c r="F113" s="21"/>
      <c r="G113" s="21"/>
      <c r="H113" s="21"/>
      <c r="I113" s="21"/>
      <c r="J113" s="3"/>
      <c r="K113" s="8"/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1"/>
      <c r="B114" s="22"/>
      <c r="C114" s="23"/>
      <c r="D114" s="21"/>
      <c r="E114" s="22"/>
      <c r="F114" s="21"/>
      <c r="G114" s="21"/>
      <c r="H114" s="21"/>
      <c r="I114" s="21"/>
      <c r="J114" s="3"/>
      <c r="K114" s="8"/>
      <c r="L114" s="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1"/>
      <c r="B115" s="22"/>
      <c r="C115" s="23"/>
      <c r="D115" s="21"/>
      <c r="E115" s="22"/>
      <c r="F115" s="21"/>
      <c r="G115" s="21"/>
      <c r="H115" s="21"/>
      <c r="I115" s="21"/>
      <c r="J115" s="3"/>
      <c r="K115" s="8"/>
      <c r="L115" s="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1"/>
      <c r="B116" s="22"/>
      <c r="C116" s="23"/>
      <c r="D116" s="21"/>
      <c r="E116" s="22"/>
      <c r="F116" s="21"/>
      <c r="G116" s="21"/>
      <c r="H116" s="21"/>
      <c r="I116" s="21"/>
      <c r="J116" s="3"/>
      <c r="K116" s="8"/>
      <c r="L116" s="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1"/>
      <c r="B117" s="22"/>
      <c r="C117" s="23"/>
      <c r="D117" s="21"/>
      <c r="E117" s="22"/>
      <c r="F117" s="21"/>
      <c r="G117" s="21"/>
      <c r="H117" s="21"/>
      <c r="I117" s="21"/>
      <c r="J117" s="3"/>
      <c r="K117" s="8"/>
      <c r="L117" s="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1"/>
      <c r="B118" s="22"/>
      <c r="C118" s="23"/>
      <c r="D118" s="24"/>
      <c r="E118" s="22"/>
      <c r="F118" s="21"/>
      <c r="G118" s="21"/>
      <c r="H118" s="21"/>
      <c r="I118" s="21"/>
      <c r="J118" s="3"/>
      <c r="K118" s="8"/>
      <c r="L118" s="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1"/>
      <c r="B119" s="22"/>
      <c r="C119" s="23"/>
      <c r="D119" s="24"/>
      <c r="E119" s="22"/>
      <c r="F119" s="21"/>
      <c r="G119" s="21"/>
      <c r="H119" s="21"/>
      <c r="I119" s="21"/>
      <c r="J119" s="3"/>
      <c r="K119" s="8"/>
      <c r="L119" s="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1"/>
      <c r="B120" s="22"/>
      <c r="C120" s="23"/>
      <c r="D120" s="24"/>
      <c r="E120" s="22"/>
      <c r="F120" s="21"/>
      <c r="G120" s="21"/>
      <c r="H120" s="21"/>
      <c r="I120" s="21"/>
      <c r="J120" s="3"/>
      <c r="K120" s="8"/>
      <c r="L120" s="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1"/>
      <c r="B121" s="22"/>
      <c r="C121" s="23"/>
      <c r="D121" s="24"/>
      <c r="E121" s="22"/>
      <c r="F121" s="21"/>
      <c r="G121" s="21"/>
      <c r="H121" s="21"/>
      <c r="I121" s="21"/>
      <c r="J121" s="3"/>
      <c r="K121" s="8"/>
      <c r="L121" s="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1"/>
      <c r="B122" s="22"/>
      <c r="C122" s="23"/>
      <c r="D122" s="21"/>
      <c r="E122" s="22"/>
      <c r="F122" s="21"/>
      <c r="G122" s="21"/>
      <c r="H122" s="21"/>
      <c r="I122" s="21"/>
      <c r="J122" s="3"/>
      <c r="K122" s="8"/>
      <c r="L122" s="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1"/>
      <c r="B123" s="22"/>
      <c r="C123" s="23"/>
      <c r="D123" s="21"/>
      <c r="E123" s="22"/>
      <c r="F123" s="21"/>
      <c r="G123" s="21"/>
      <c r="H123" s="21"/>
      <c r="I123" s="21"/>
      <c r="J123" s="3"/>
      <c r="K123" s="8"/>
      <c r="L123" s="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1"/>
      <c r="B124" s="22"/>
      <c r="C124" s="23"/>
      <c r="D124" s="21"/>
      <c r="E124" s="22"/>
      <c r="F124" s="21"/>
      <c r="G124" s="21"/>
      <c r="H124" s="21"/>
      <c r="I124" s="21"/>
      <c r="J124" s="3"/>
      <c r="K124" s="8"/>
      <c r="L124" s="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1"/>
      <c r="B125" s="22"/>
      <c r="C125" s="23"/>
      <c r="D125" s="21"/>
      <c r="E125" s="22"/>
      <c r="F125" s="21"/>
      <c r="G125" s="21"/>
      <c r="H125" s="21"/>
      <c r="I125" s="21"/>
      <c r="J125" s="3"/>
      <c r="K125" s="8"/>
      <c r="L125" s="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1"/>
      <c r="B126" s="22"/>
      <c r="C126" s="23"/>
      <c r="D126" s="21"/>
      <c r="E126" s="22"/>
      <c r="F126" s="21"/>
      <c r="G126" s="21"/>
      <c r="H126" s="21"/>
      <c r="I126" s="21"/>
      <c r="J126" s="3"/>
      <c r="K126" s="8"/>
      <c r="L126" s="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1"/>
      <c r="B127" s="22"/>
      <c r="C127" s="23"/>
      <c r="D127" s="21"/>
      <c r="E127" s="22"/>
      <c r="F127" s="21"/>
      <c r="G127" s="21"/>
      <c r="H127" s="21"/>
      <c r="I127" s="21"/>
      <c r="J127" s="3"/>
      <c r="K127" s="8"/>
      <c r="L127" s="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1"/>
      <c r="B128" s="22"/>
      <c r="C128" s="23"/>
      <c r="D128" s="21"/>
      <c r="E128" s="22"/>
      <c r="F128" s="21"/>
      <c r="G128" s="21"/>
      <c r="H128" s="21"/>
      <c r="I128" s="21"/>
      <c r="J128" s="3"/>
      <c r="K128" s="8"/>
      <c r="L128" s="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1"/>
      <c r="B129" s="22"/>
      <c r="C129" s="23"/>
      <c r="D129" s="21"/>
      <c r="E129" s="22"/>
      <c r="F129" s="21"/>
      <c r="G129" s="21"/>
      <c r="H129" s="21"/>
      <c r="I129" s="21"/>
      <c r="J129" s="3"/>
      <c r="K129" s="8"/>
      <c r="L129" s="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1"/>
      <c r="B130" s="22"/>
      <c r="C130" s="23"/>
      <c r="D130" s="21"/>
      <c r="E130" s="22"/>
      <c r="F130" s="21"/>
      <c r="G130" s="21"/>
      <c r="H130" s="21"/>
      <c r="I130" s="21"/>
      <c r="J130" s="3"/>
      <c r="K130" s="8"/>
      <c r="L130" s="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1"/>
      <c r="B131" s="22"/>
      <c r="C131" s="23"/>
      <c r="D131" s="21"/>
      <c r="E131" s="22"/>
      <c r="F131" s="21"/>
      <c r="G131" s="21"/>
      <c r="H131" s="21"/>
      <c r="I131" s="21"/>
      <c r="J131" s="3"/>
      <c r="K131" s="8"/>
      <c r="L131" s="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1"/>
      <c r="B132" s="22"/>
      <c r="C132" s="23"/>
      <c r="D132" s="21"/>
      <c r="E132" s="22"/>
      <c r="F132" s="21"/>
      <c r="G132" s="21"/>
      <c r="H132" s="21"/>
      <c r="I132" s="21"/>
      <c r="J132" s="3"/>
      <c r="K132" s="8"/>
      <c r="L132" s="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1"/>
      <c r="B133" s="22"/>
      <c r="C133" s="23"/>
      <c r="D133" s="21"/>
      <c r="E133" s="22"/>
      <c r="F133" s="21"/>
      <c r="G133" s="21"/>
      <c r="H133" s="21"/>
      <c r="I133" s="21"/>
      <c r="J133" s="3"/>
      <c r="K133" s="8"/>
      <c r="L133" s="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1"/>
      <c r="B134" s="22"/>
      <c r="C134" s="23"/>
      <c r="D134" s="21"/>
      <c r="E134" s="22"/>
      <c r="F134" s="21"/>
      <c r="G134" s="21"/>
      <c r="H134" s="21"/>
      <c r="I134" s="21"/>
      <c r="J134" s="3"/>
      <c r="K134" s="8"/>
      <c r="L134" s="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1"/>
      <c r="B135" s="22"/>
      <c r="C135" s="23"/>
      <c r="D135" s="21"/>
      <c r="E135" s="22"/>
      <c r="F135" s="21"/>
      <c r="G135" s="21"/>
      <c r="H135" s="21"/>
      <c r="I135" s="21"/>
      <c r="J135" s="3"/>
      <c r="K135" s="8"/>
      <c r="L135" s="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1"/>
      <c r="B136" s="22"/>
      <c r="C136" s="23"/>
      <c r="D136" s="24"/>
      <c r="E136" s="22"/>
      <c r="F136" s="21"/>
      <c r="G136" s="21"/>
      <c r="H136" s="21"/>
      <c r="I136" s="21"/>
      <c r="J136" s="3"/>
      <c r="K136" s="8"/>
      <c r="L136" s="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1"/>
      <c r="B137" s="22"/>
      <c r="C137" s="23"/>
      <c r="D137" s="24"/>
      <c r="E137" s="22"/>
      <c r="F137" s="21"/>
      <c r="G137" s="21"/>
      <c r="H137" s="21"/>
      <c r="I137" s="21"/>
      <c r="J137" s="3"/>
      <c r="K137" s="8"/>
      <c r="L137" s="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1"/>
      <c r="B138" s="22"/>
      <c r="C138" s="23"/>
      <c r="D138" s="24"/>
      <c r="E138" s="22"/>
      <c r="F138" s="21"/>
      <c r="G138" s="21"/>
      <c r="H138" s="21"/>
      <c r="I138" s="21"/>
      <c r="J138" s="3"/>
      <c r="K138" s="8"/>
      <c r="L138" s="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1"/>
      <c r="B139" s="22"/>
      <c r="C139" s="23"/>
      <c r="D139" s="24"/>
      <c r="E139" s="22"/>
      <c r="F139" s="21"/>
      <c r="G139" s="21"/>
      <c r="H139" s="21"/>
      <c r="I139" s="21"/>
      <c r="J139" s="3"/>
      <c r="K139" s="8"/>
      <c r="L139" s="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1"/>
      <c r="B140" s="22"/>
      <c r="C140" s="23"/>
      <c r="D140" s="24"/>
      <c r="E140" s="22"/>
      <c r="F140" s="21"/>
      <c r="G140" s="21"/>
      <c r="H140" s="21"/>
      <c r="I140" s="21"/>
      <c r="J140" s="3"/>
      <c r="K140" s="8"/>
      <c r="L140" s="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1"/>
      <c r="B141" s="22"/>
      <c r="C141" s="23"/>
      <c r="D141" s="24"/>
      <c r="E141" s="22"/>
      <c r="F141" s="21"/>
      <c r="G141" s="21"/>
      <c r="H141" s="21"/>
      <c r="I141" s="21"/>
      <c r="J141" s="3"/>
      <c r="K141" s="8"/>
      <c r="L141" s="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1"/>
      <c r="B142" s="22"/>
      <c r="C142" s="23"/>
      <c r="D142" s="21"/>
      <c r="E142" s="22"/>
      <c r="F142" s="21"/>
      <c r="G142" s="21"/>
      <c r="H142" s="21"/>
      <c r="I142" s="21"/>
      <c r="J142" s="3"/>
      <c r="K142" s="8"/>
      <c r="L142" s="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1"/>
      <c r="B143" s="22"/>
      <c r="C143" s="23"/>
      <c r="D143" s="21"/>
      <c r="E143" s="22"/>
      <c r="F143" s="21"/>
      <c r="G143" s="21"/>
      <c r="H143" s="21"/>
      <c r="I143" s="21"/>
      <c r="J143" s="3"/>
      <c r="K143" s="8"/>
      <c r="L143" s="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1"/>
      <c r="B144" s="22"/>
      <c r="C144" s="23"/>
      <c r="D144" s="21"/>
      <c r="E144" s="22"/>
      <c r="F144" s="21"/>
      <c r="G144" s="21"/>
      <c r="H144" s="21"/>
      <c r="I144" s="21"/>
      <c r="J144" s="3"/>
      <c r="K144" s="8"/>
      <c r="L144" s="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1"/>
      <c r="B145" s="22"/>
      <c r="C145" s="23"/>
      <c r="D145" s="21"/>
      <c r="E145" s="22"/>
      <c r="F145" s="21"/>
      <c r="G145" s="21"/>
      <c r="H145" s="21"/>
      <c r="I145" s="21"/>
      <c r="J145" s="3"/>
      <c r="K145" s="8"/>
      <c r="L145" s="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1"/>
      <c r="B146" s="22"/>
      <c r="C146" s="23"/>
      <c r="D146" s="21"/>
      <c r="E146" s="22"/>
      <c r="F146" s="21"/>
      <c r="G146" s="21"/>
      <c r="H146" s="21"/>
      <c r="I146" s="21"/>
      <c r="J146" s="3"/>
      <c r="K146" s="8"/>
      <c r="L146" s="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1"/>
      <c r="B147" s="22"/>
      <c r="C147" s="23"/>
      <c r="D147" s="21"/>
      <c r="E147" s="22"/>
      <c r="F147" s="21"/>
      <c r="G147" s="21"/>
      <c r="H147" s="21"/>
      <c r="I147" s="21"/>
      <c r="J147" s="3"/>
      <c r="K147" s="8"/>
      <c r="L147" s="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1"/>
      <c r="B148" s="22"/>
      <c r="C148" s="23"/>
      <c r="D148" s="21"/>
      <c r="E148" s="22"/>
      <c r="F148" s="21"/>
      <c r="G148" s="21"/>
      <c r="H148" s="21"/>
      <c r="I148" s="21"/>
      <c r="J148" s="3"/>
      <c r="K148" s="8"/>
      <c r="L148" s="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1"/>
      <c r="B149" s="22"/>
      <c r="C149" s="23"/>
      <c r="D149" s="21"/>
      <c r="E149" s="22"/>
      <c r="F149" s="21"/>
      <c r="G149" s="21"/>
      <c r="H149" s="21"/>
      <c r="I149" s="21"/>
      <c r="J149" s="3"/>
      <c r="K149" s="8"/>
      <c r="L149" s="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1"/>
      <c r="B150" s="22"/>
      <c r="C150" s="23"/>
      <c r="D150" s="21"/>
      <c r="E150" s="22"/>
      <c r="F150" s="21"/>
      <c r="G150" s="21"/>
      <c r="H150" s="21"/>
      <c r="I150" s="21"/>
      <c r="J150" s="3"/>
      <c r="K150" s="8"/>
      <c r="L150" s="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1"/>
      <c r="B151" s="22"/>
      <c r="C151" s="23"/>
      <c r="D151" s="21"/>
      <c r="E151" s="22"/>
      <c r="F151" s="21"/>
      <c r="G151" s="21"/>
      <c r="H151" s="21"/>
      <c r="I151" s="21"/>
      <c r="J151" s="3"/>
      <c r="K151" s="8"/>
      <c r="L151" s="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1"/>
      <c r="B152" s="22"/>
      <c r="C152" s="23"/>
      <c r="D152" s="21"/>
      <c r="E152" s="22"/>
      <c r="F152" s="21"/>
      <c r="G152" s="21"/>
      <c r="H152" s="21"/>
      <c r="I152" s="21"/>
      <c r="J152" s="3"/>
      <c r="K152" s="8"/>
      <c r="L152" s="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1"/>
      <c r="B153" s="22"/>
      <c r="C153" s="23"/>
      <c r="D153" s="21"/>
      <c r="E153" s="22"/>
      <c r="F153" s="21"/>
      <c r="G153" s="21"/>
      <c r="H153" s="21"/>
      <c r="I153" s="21"/>
      <c r="J153" s="3"/>
      <c r="K153" s="8"/>
      <c r="L153" s="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1"/>
      <c r="B154" s="22"/>
      <c r="C154" s="23"/>
      <c r="D154" s="21"/>
      <c r="E154" s="22"/>
      <c r="F154" s="21"/>
      <c r="G154" s="21"/>
      <c r="H154" s="21"/>
      <c r="I154" s="21"/>
      <c r="J154" s="3"/>
      <c r="K154" s="8"/>
      <c r="L154" s="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1"/>
      <c r="B155" s="22"/>
      <c r="C155" s="23"/>
      <c r="D155" s="21"/>
      <c r="E155" s="22"/>
      <c r="F155" s="21"/>
      <c r="G155" s="21"/>
      <c r="H155" s="21"/>
      <c r="I155" s="21"/>
      <c r="J155" s="3"/>
      <c r="K155" s="8"/>
      <c r="L155" s="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1"/>
      <c r="B156" s="22"/>
      <c r="C156" s="23"/>
      <c r="D156" s="24"/>
      <c r="E156" s="22"/>
      <c r="F156" s="21"/>
      <c r="G156" s="21"/>
      <c r="H156" s="21"/>
      <c r="I156" s="21"/>
      <c r="J156" s="3"/>
      <c r="K156" s="8"/>
      <c r="L156" s="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1"/>
      <c r="B157" s="22"/>
      <c r="C157" s="23"/>
      <c r="D157" s="24"/>
      <c r="E157" s="22"/>
      <c r="F157" s="21"/>
      <c r="G157" s="21"/>
      <c r="H157" s="21"/>
      <c r="I157" s="21"/>
      <c r="J157" s="3"/>
      <c r="K157" s="8"/>
      <c r="L157" s="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1"/>
      <c r="B158" s="22"/>
      <c r="C158" s="23"/>
      <c r="D158" s="24"/>
      <c r="E158" s="22"/>
      <c r="F158" s="21"/>
      <c r="G158" s="21"/>
      <c r="H158" s="21"/>
      <c r="I158" s="21"/>
      <c r="J158" s="3"/>
      <c r="K158" s="8"/>
      <c r="L158" s="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1"/>
      <c r="B159" s="22"/>
      <c r="C159" s="23"/>
      <c r="D159" s="24"/>
      <c r="E159" s="22"/>
      <c r="F159" s="21"/>
      <c r="G159" s="21"/>
      <c r="H159" s="21"/>
      <c r="I159" s="21"/>
      <c r="J159" s="3"/>
      <c r="K159" s="8"/>
      <c r="L159" s="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1"/>
      <c r="B160" s="22"/>
      <c r="C160" s="23"/>
      <c r="D160" s="21"/>
      <c r="E160" s="22"/>
      <c r="F160" s="21"/>
      <c r="G160" s="21"/>
      <c r="H160" s="21"/>
      <c r="I160" s="21"/>
      <c r="J160" s="3"/>
      <c r="K160" s="8"/>
      <c r="L160" s="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1"/>
      <c r="B161" s="22"/>
      <c r="C161" s="23"/>
      <c r="D161" s="21"/>
      <c r="E161" s="22"/>
      <c r="F161" s="21"/>
      <c r="G161" s="21"/>
      <c r="H161" s="21"/>
      <c r="I161" s="21"/>
      <c r="J161" s="3"/>
      <c r="K161" s="8"/>
      <c r="L161" s="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1"/>
      <c r="B162" s="22"/>
      <c r="C162" s="23"/>
      <c r="D162" s="21"/>
      <c r="E162" s="22"/>
      <c r="F162" s="21"/>
      <c r="G162" s="21"/>
      <c r="H162" s="21"/>
      <c r="I162" s="21"/>
      <c r="J162" s="3"/>
      <c r="K162" s="8"/>
      <c r="L162" s="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1"/>
      <c r="B163" s="22"/>
      <c r="C163" s="23"/>
      <c r="D163" s="21"/>
      <c r="E163" s="22"/>
      <c r="F163" s="21"/>
      <c r="G163" s="21"/>
      <c r="H163" s="21"/>
      <c r="I163" s="21"/>
      <c r="J163" s="3"/>
      <c r="K163" s="8"/>
      <c r="L163" s="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1"/>
      <c r="B164" s="22"/>
      <c r="C164" s="23"/>
      <c r="D164" s="21"/>
      <c r="E164" s="22"/>
      <c r="F164" s="21"/>
      <c r="G164" s="21"/>
      <c r="H164" s="21"/>
      <c r="I164" s="21"/>
      <c r="J164" s="3"/>
      <c r="K164" s="8"/>
      <c r="L164" s="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1"/>
      <c r="B165" s="22"/>
      <c r="C165" s="23"/>
      <c r="D165" s="21"/>
      <c r="E165" s="22"/>
      <c r="F165" s="21"/>
      <c r="G165" s="21"/>
      <c r="H165" s="21"/>
      <c r="I165" s="21"/>
      <c r="J165" s="3"/>
      <c r="K165" s="8"/>
      <c r="L165" s="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1"/>
      <c r="B166" s="22"/>
      <c r="C166" s="23"/>
      <c r="D166" s="21"/>
      <c r="E166" s="22"/>
      <c r="F166" s="21"/>
      <c r="G166" s="21"/>
      <c r="H166" s="21"/>
      <c r="I166" s="21"/>
      <c r="J166" s="3"/>
      <c r="K166" s="8"/>
      <c r="L166" s="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1"/>
      <c r="B167" s="22"/>
      <c r="C167" s="23"/>
      <c r="D167" s="21"/>
      <c r="E167" s="22"/>
      <c r="F167" s="21"/>
      <c r="G167" s="21"/>
      <c r="H167" s="21"/>
      <c r="I167" s="21"/>
      <c r="J167" s="3"/>
      <c r="K167" s="8"/>
      <c r="L167" s="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1"/>
      <c r="B168" s="22"/>
      <c r="C168" s="23"/>
      <c r="D168" s="21"/>
      <c r="E168" s="22"/>
      <c r="F168" s="21"/>
      <c r="G168" s="21"/>
      <c r="H168" s="21"/>
      <c r="I168" s="21"/>
      <c r="J168" s="3"/>
      <c r="K168" s="8"/>
      <c r="L168" s="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1"/>
      <c r="B169" s="22"/>
      <c r="C169" s="23"/>
      <c r="D169" s="21"/>
      <c r="E169" s="22"/>
      <c r="F169" s="21"/>
      <c r="G169" s="21"/>
      <c r="H169" s="21"/>
      <c r="I169" s="21"/>
      <c r="J169" s="3"/>
      <c r="K169" s="8"/>
      <c r="L169" s="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1"/>
      <c r="B170" s="22"/>
      <c r="C170" s="23"/>
      <c r="D170" s="21"/>
      <c r="E170" s="22"/>
      <c r="F170" s="21"/>
      <c r="G170" s="21"/>
      <c r="H170" s="21"/>
      <c r="I170" s="21"/>
      <c r="J170" s="3"/>
      <c r="K170" s="8"/>
      <c r="L170" s="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1"/>
      <c r="B171" s="22"/>
      <c r="C171" s="23"/>
      <c r="D171" s="21"/>
      <c r="E171" s="22"/>
      <c r="F171" s="21"/>
      <c r="G171" s="21"/>
      <c r="H171" s="21"/>
      <c r="I171" s="21"/>
      <c r="J171" s="3"/>
      <c r="K171" s="8"/>
      <c r="L171" s="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1"/>
      <c r="B172" s="22"/>
      <c r="C172" s="23"/>
      <c r="D172" s="21"/>
      <c r="E172" s="22"/>
      <c r="F172" s="21"/>
      <c r="G172" s="21"/>
      <c r="H172" s="21"/>
      <c r="I172" s="21"/>
      <c r="J172" s="3"/>
      <c r="K172" s="8"/>
      <c r="L172" s="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1"/>
      <c r="B173" s="22"/>
      <c r="C173" s="23"/>
      <c r="D173" s="21"/>
      <c r="E173" s="22"/>
      <c r="F173" s="21"/>
      <c r="G173" s="21"/>
      <c r="H173" s="21"/>
      <c r="I173" s="21"/>
      <c r="J173" s="3"/>
      <c r="K173" s="8"/>
      <c r="L173" s="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1"/>
      <c r="B174" s="22"/>
      <c r="C174" s="23"/>
      <c r="D174" s="24"/>
      <c r="E174" s="22"/>
      <c r="F174" s="21"/>
      <c r="G174" s="21"/>
      <c r="H174" s="21"/>
      <c r="I174" s="21"/>
      <c r="J174" s="3"/>
      <c r="K174" s="8"/>
      <c r="L174" s="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1"/>
      <c r="B175" s="22"/>
      <c r="C175" s="23"/>
      <c r="D175" s="24"/>
      <c r="E175" s="22"/>
      <c r="F175" s="21"/>
      <c r="G175" s="21"/>
      <c r="H175" s="21"/>
      <c r="I175" s="21"/>
      <c r="J175" s="3"/>
      <c r="K175" s="8"/>
      <c r="L175" s="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1"/>
      <c r="B176" s="22"/>
      <c r="C176" s="23"/>
      <c r="D176" s="24"/>
      <c r="E176" s="22"/>
      <c r="F176" s="21"/>
      <c r="G176" s="21"/>
      <c r="H176" s="21"/>
      <c r="I176" s="21"/>
      <c r="J176" s="3"/>
      <c r="K176" s="8"/>
      <c r="L176" s="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1"/>
      <c r="B177" s="22"/>
      <c r="C177" s="23"/>
      <c r="D177" s="24"/>
      <c r="E177" s="22"/>
      <c r="F177" s="21"/>
      <c r="G177" s="21"/>
      <c r="H177" s="21"/>
      <c r="I177" s="21"/>
      <c r="J177" s="3"/>
      <c r="K177" s="8"/>
      <c r="L177" s="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1"/>
      <c r="B178" s="22"/>
      <c r="C178" s="23"/>
      <c r="D178" s="21"/>
      <c r="E178" s="22"/>
      <c r="F178" s="21"/>
      <c r="G178" s="21"/>
      <c r="H178" s="21"/>
      <c r="I178" s="21"/>
      <c r="J178" s="3"/>
      <c r="K178" s="8"/>
      <c r="L178" s="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1"/>
      <c r="B179" s="22"/>
      <c r="C179" s="23"/>
      <c r="D179" s="21"/>
      <c r="E179" s="22"/>
      <c r="F179" s="21"/>
      <c r="G179" s="21"/>
      <c r="H179" s="21"/>
      <c r="I179" s="21"/>
      <c r="J179" s="3"/>
      <c r="K179" s="8"/>
      <c r="L179" s="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1"/>
      <c r="B180" s="22"/>
      <c r="C180" s="23"/>
      <c r="D180" s="21"/>
      <c r="E180" s="22"/>
      <c r="F180" s="21"/>
      <c r="G180" s="21"/>
      <c r="H180" s="21"/>
      <c r="I180" s="21"/>
      <c r="J180" s="3"/>
      <c r="K180" s="8"/>
      <c r="L180" s="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1"/>
      <c r="B181" s="22"/>
      <c r="C181" s="23"/>
      <c r="D181" s="21"/>
      <c r="E181" s="22"/>
      <c r="F181" s="21"/>
      <c r="G181" s="21"/>
      <c r="H181" s="21"/>
      <c r="I181" s="21"/>
      <c r="J181" s="3"/>
      <c r="K181" s="8"/>
      <c r="L181" s="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1"/>
      <c r="B182" s="22"/>
      <c r="C182" s="23"/>
      <c r="D182" s="21"/>
      <c r="E182" s="22"/>
      <c r="F182" s="21"/>
      <c r="G182" s="21"/>
      <c r="H182" s="21"/>
      <c r="I182" s="21"/>
      <c r="J182" s="3"/>
      <c r="K182" s="8"/>
      <c r="L182" s="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1"/>
      <c r="B183" s="22"/>
      <c r="C183" s="23"/>
      <c r="D183" s="21"/>
      <c r="E183" s="22"/>
      <c r="F183" s="21"/>
      <c r="G183" s="21"/>
      <c r="H183" s="21"/>
      <c r="I183" s="21"/>
      <c r="J183" s="3"/>
      <c r="K183" s="8"/>
      <c r="L183" s="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1"/>
      <c r="B184" s="22"/>
      <c r="C184" s="23"/>
      <c r="D184" s="21"/>
      <c r="E184" s="22"/>
      <c r="F184" s="21"/>
      <c r="G184" s="21"/>
      <c r="H184" s="21"/>
      <c r="I184" s="21"/>
      <c r="J184" s="3"/>
      <c r="K184" s="8"/>
      <c r="L184" s="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1"/>
      <c r="B185" s="22"/>
      <c r="C185" s="23"/>
      <c r="D185" s="21"/>
      <c r="E185" s="22"/>
      <c r="F185" s="21"/>
      <c r="G185" s="21"/>
      <c r="H185" s="21"/>
      <c r="I185" s="21"/>
      <c r="J185" s="3"/>
      <c r="K185" s="8"/>
      <c r="L185" s="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1"/>
      <c r="B186" s="22"/>
      <c r="C186" s="23"/>
      <c r="D186" s="21"/>
      <c r="E186" s="22"/>
      <c r="F186" s="21"/>
      <c r="G186" s="21"/>
      <c r="H186" s="21"/>
      <c r="I186" s="21"/>
      <c r="J186" s="3"/>
      <c r="K186" s="8"/>
      <c r="L186" s="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1"/>
      <c r="B187" s="22"/>
      <c r="C187" s="23"/>
      <c r="D187" s="21"/>
      <c r="E187" s="22"/>
      <c r="F187" s="21"/>
      <c r="G187" s="21"/>
      <c r="H187" s="21"/>
      <c r="I187" s="21"/>
      <c r="J187" s="3"/>
      <c r="K187" s="8"/>
      <c r="L187" s="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1"/>
      <c r="B188" s="22"/>
      <c r="C188" s="23"/>
      <c r="D188" s="24"/>
      <c r="E188" s="22"/>
      <c r="F188" s="21"/>
      <c r="G188" s="21"/>
      <c r="H188" s="21"/>
      <c r="I188" s="21"/>
      <c r="J188" s="3"/>
      <c r="K188" s="8"/>
      <c r="L188" s="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1"/>
      <c r="B189" s="22"/>
      <c r="C189" s="23"/>
      <c r="D189" s="24"/>
      <c r="E189" s="22"/>
      <c r="F189" s="21"/>
      <c r="G189" s="21"/>
      <c r="H189" s="21"/>
      <c r="I189" s="21"/>
      <c r="J189" s="3"/>
      <c r="K189" s="8"/>
      <c r="L189" s="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1"/>
      <c r="B190" s="22"/>
      <c r="C190" s="23"/>
      <c r="D190" s="24"/>
      <c r="E190" s="22"/>
      <c r="F190" s="21"/>
      <c r="G190" s="21"/>
      <c r="H190" s="21"/>
      <c r="I190" s="21"/>
      <c r="J190" s="3"/>
      <c r="K190" s="8"/>
      <c r="L190" s="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1"/>
      <c r="B191" s="22"/>
      <c r="C191" s="23"/>
      <c r="D191" s="24"/>
      <c r="E191" s="22"/>
      <c r="F191" s="21"/>
      <c r="G191" s="21"/>
      <c r="H191" s="21"/>
      <c r="I191" s="21"/>
      <c r="J191" s="3"/>
      <c r="K191" s="8"/>
      <c r="L191" s="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1"/>
      <c r="B192" s="22"/>
      <c r="C192" s="23"/>
      <c r="D192" s="24"/>
      <c r="E192" s="22"/>
      <c r="F192" s="21"/>
      <c r="G192" s="21"/>
      <c r="H192" s="21"/>
      <c r="I192" s="21"/>
      <c r="J192" s="3"/>
      <c r="K192" s="8"/>
      <c r="L192" s="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1"/>
      <c r="B193" s="22"/>
      <c r="C193" s="23"/>
      <c r="D193" s="24"/>
      <c r="E193" s="22"/>
      <c r="F193" s="21"/>
      <c r="G193" s="21"/>
      <c r="H193" s="21"/>
      <c r="I193" s="21"/>
      <c r="J193" s="3"/>
      <c r="K193" s="8"/>
      <c r="L193" s="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1"/>
      <c r="B194" s="22"/>
      <c r="C194" s="23"/>
      <c r="D194" s="21"/>
      <c r="E194" s="22"/>
      <c r="F194" s="21"/>
      <c r="G194" s="21"/>
      <c r="H194" s="21"/>
      <c r="I194" s="21"/>
      <c r="J194" s="3"/>
      <c r="K194" s="8"/>
      <c r="L194" s="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1"/>
      <c r="B195" s="22"/>
      <c r="C195" s="23"/>
      <c r="D195" s="21"/>
      <c r="E195" s="22"/>
      <c r="F195" s="21"/>
      <c r="G195" s="21"/>
      <c r="H195" s="21"/>
      <c r="I195" s="21"/>
      <c r="J195" s="3"/>
      <c r="K195" s="8"/>
      <c r="L195" s="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1"/>
      <c r="B196" s="22"/>
      <c r="C196" s="23"/>
      <c r="D196" s="21"/>
      <c r="E196" s="22"/>
      <c r="F196" s="21"/>
      <c r="G196" s="21"/>
      <c r="H196" s="21"/>
      <c r="I196" s="21"/>
      <c r="J196" s="3"/>
      <c r="K196" s="8"/>
      <c r="L196" s="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1"/>
      <c r="B197" s="22"/>
      <c r="C197" s="23"/>
      <c r="D197" s="21"/>
      <c r="E197" s="22"/>
      <c r="F197" s="21"/>
      <c r="G197" s="21"/>
      <c r="H197" s="21"/>
      <c r="I197" s="21"/>
      <c r="J197" s="3"/>
      <c r="K197" s="8"/>
      <c r="L197" s="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1"/>
      <c r="B198" s="22"/>
      <c r="C198" s="23"/>
      <c r="D198" s="21"/>
      <c r="E198" s="22"/>
      <c r="F198" s="21"/>
      <c r="G198" s="21"/>
      <c r="H198" s="21"/>
      <c r="I198" s="21"/>
      <c r="J198" s="3"/>
      <c r="K198" s="8"/>
      <c r="L198" s="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1"/>
      <c r="B199" s="22"/>
      <c r="C199" s="23"/>
      <c r="D199" s="21"/>
      <c r="E199" s="22"/>
      <c r="F199" s="21"/>
      <c r="G199" s="21"/>
      <c r="H199" s="21"/>
      <c r="I199" s="21"/>
      <c r="J199" s="3"/>
      <c r="K199" s="8"/>
      <c r="L199" s="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1"/>
      <c r="B200" s="22"/>
      <c r="C200" s="23"/>
      <c r="D200" s="21"/>
      <c r="E200" s="22"/>
      <c r="F200" s="21"/>
      <c r="G200" s="21"/>
      <c r="H200" s="21"/>
      <c r="I200" s="21"/>
      <c r="J200" s="3"/>
      <c r="K200" s="8"/>
      <c r="L200" s="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1"/>
      <c r="B201" s="22"/>
      <c r="C201" s="23"/>
      <c r="D201" s="21"/>
      <c r="E201" s="22"/>
      <c r="F201" s="21"/>
      <c r="G201" s="21"/>
      <c r="H201" s="21"/>
      <c r="I201" s="21"/>
      <c r="J201" s="3"/>
      <c r="K201" s="8"/>
      <c r="L201" s="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1"/>
      <c r="B202" s="22"/>
      <c r="C202" s="23"/>
      <c r="D202" s="21"/>
      <c r="E202" s="22"/>
      <c r="F202" s="21"/>
      <c r="G202" s="21"/>
      <c r="H202" s="21"/>
      <c r="I202" s="21"/>
      <c r="J202" s="3"/>
      <c r="K202" s="8"/>
      <c r="L202" s="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1"/>
      <c r="B203" s="22"/>
      <c r="C203" s="23"/>
      <c r="D203" s="21"/>
      <c r="E203" s="22"/>
      <c r="F203" s="21"/>
      <c r="G203" s="21"/>
      <c r="H203" s="21"/>
      <c r="I203" s="21"/>
      <c r="J203" s="3"/>
      <c r="K203" s="8"/>
      <c r="L203" s="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1"/>
      <c r="B204" s="22"/>
      <c r="C204" s="23"/>
      <c r="D204" s="21"/>
      <c r="E204" s="22"/>
      <c r="F204" s="21"/>
      <c r="G204" s="21"/>
      <c r="H204" s="21"/>
      <c r="I204" s="21"/>
      <c r="J204" s="3"/>
      <c r="K204" s="8"/>
      <c r="L204" s="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1"/>
      <c r="B205" s="22"/>
      <c r="C205" s="23"/>
      <c r="D205" s="21"/>
      <c r="E205" s="22"/>
      <c r="F205" s="21"/>
      <c r="G205" s="21"/>
      <c r="H205" s="21"/>
      <c r="I205" s="21"/>
      <c r="J205" s="3"/>
      <c r="K205" s="8"/>
      <c r="L205" s="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1"/>
      <c r="B206" s="22"/>
      <c r="C206" s="23"/>
      <c r="D206" s="24"/>
      <c r="E206" s="22"/>
      <c r="F206" s="21"/>
      <c r="G206" s="21"/>
      <c r="H206" s="21"/>
      <c r="I206" s="21"/>
      <c r="J206" s="3"/>
      <c r="K206" s="8"/>
      <c r="L206" s="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1"/>
      <c r="B207" s="22"/>
      <c r="C207" s="23"/>
      <c r="D207" s="24"/>
      <c r="E207" s="22"/>
      <c r="F207" s="21"/>
      <c r="G207" s="21"/>
      <c r="H207" s="21"/>
      <c r="I207" s="21"/>
      <c r="J207" s="3"/>
      <c r="K207" s="8"/>
      <c r="L207" s="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1"/>
      <c r="B208" s="22"/>
      <c r="C208" s="23"/>
      <c r="D208" s="21"/>
      <c r="E208" s="22"/>
      <c r="F208" s="21"/>
      <c r="G208" s="21"/>
      <c r="H208" s="21"/>
      <c r="I208" s="21"/>
      <c r="J208" s="3"/>
      <c r="K208" s="8"/>
      <c r="L208" s="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1"/>
      <c r="B209" s="22"/>
      <c r="C209" s="23"/>
      <c r="D209" s="21"/>
      <c r="E209" s="22"/>
      <c r="F209" s="21"/>
      <c r="G209" s="21"/>
      <c r="H209" s="21"/>
      <c r="I209" s="21"/>
      <c r="J209" s="3"/>
      <c r="K209" s="8"/>
      <c r="L209" s="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1"/>
      <c r="B210" s="22"/>
      <c r="C210" s="23"/>
      <c r="D210" s="24"/>
      <c r="E210" s="22"/>
      <c r="F210" s="21"/>
      <c r="G210" s="21"/>
      <c r="H210" s="21"/>
      <c r="I210" s="21"/>
      <c r="J210" s="3"/>
      <c r="K210" s="8"/>
      <c r="L210" s="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1"/>
      <c r="B211" s="22"/>
      <c r="C211" s="23"/>
      <c r="D211" s="24"/>
      <c r="E211" s="22"/>
      <c r="F211" s="21"/>
      <c r="G211" s="21"/>
      <c r="H211" s="21"/>
      <c r="I211" s="21"/>
      <c r="J211" s="3"/>
      <c r="K211" s="8"/>
      <c r="L211" s="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1"/>
      <c r="B212" s="22"/>
      <c r="C212" s="23"/>
      <c r="D212" s="24"/>
      <c r="E212" s="22"/>
      <c r="F212" s="21"/>
      <c r="G212" s="21"/>
      <c r="H212" s="21"/>
      <c r="I212" s="21"/>
      <c r="J212" s="3"/>
      <c r="K212" s="8"/>
      <c r="L212" s="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1"/>
      <c r="B213" s="22"/>
      <c r="C213" s="23"/>
      <c r="D213" s="24"/>
      <c r="E213" s="22"/>
      <c r="F213" s="21"/>
      <c r="G213" s="21"/>
      <c r="H213" s="21"/>
      <c r="I213" s="21"/>
      <c r="J213" s="3"/>
      <c r="K213" s="8"/>
      <c r="L213" s="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1"/>
      <c r="B214" s="22"/>
      <c r="C214" s="23"/>
      <c r="D214" s="21"/>
      <c r="E214" s="22"/>
      <c r="F214" s="21"/>
      <c r="G214" s="21"/>
      <c r="H214" s="21"/>
      <c r="I214" s="21"/>
      <c r="J214" s="3"/>
      <c r="K214" s="8"/>
      <c r="L214" s="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1"/>
      <c r="B215" s="22"/>
      <c r="C215" s="23"/>
      <c r="D215" s="21"/>
      <c r="E215" s="22"/>
      <c r="F215" s="21"/>
      <c r="G215" s="21"/>
      <c r="H215" s="21"/>
      <c r="I215" s="21"/>
      <c r="J215" s="3"/>
      <c r="K215" s="8"/>
      <c r="L215" s="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1"/>
      <c r="B216" s="22"/>
      <c r="C216" s="23"/>
      <c r="D216" s="21"/>
      <c r="E216" s="22"/>
      <c r="F216" s="21"/>
      <c r="G216" s="21"/>
      <c r="H216" s="21"/>
      <c r="I216" s="21"/>
      <c r="J216" s="3"/>
      <c r="K216" s="8"/>
      <c r="L216" s="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1"/>
      <c r="B217" s="22"/>
      <c r="C217" s="23"/>
      <c r="D217" s="21"/>
      <c r="E217" s="22"/>
      <c r="F217" s="21"/>
      <c r="G217" s="21"/>
      <c r="H217" s="21"/>
      <c r="I217" s="21"/>
      <c r="J217" s="3"/>
      <c r="K217" s="8"/>
      <c r="L217" s="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1"/>
      <c r="B218" s="22"/>
      <c r="C218" s="23"/>
      <c r="D218" s="21"/>
      <c r="E218" s="22"/>
      <c r="F218" s="21"/>
      <c r="G218" s="21"/>
      <c r="H218" s="21"/>
      <c r="I218" s="21"/>
      <c r="J218" s="3"/>
      <c r="K218" s="8"/>
      <c r="L218" s="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1"/>
      <c r="B219" s="22"/>
      <c r="C219" s="23"/>
      <c r="D219" s="21"/>
      <c r="E219" s="22"/>
      <c r="F219" s="21"/>
      <c r="G219" s="21"/>
      <c r="H219" s="21"/>
      <c r="I219" s="21"/>
      <c r="J219" s="3"/>
      <c r="K219" s="8"/>
      <c r="L219" s="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1"/>
      <c r="B220" s="22"/>
      <c r="C220" s="23"/>
      <c r="D220" s="24"/>
      <c r="E220" s="22"/>
      <c r="F220" s="21"/>
      <c r="G220" s="21"/>
      <c r="H220" s="21"/>
      <c r="I220" s="21"/>
      <c r="J220" s="3"/>
      <c r="K220" s="8"/>
      <c r="L220" s="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1"/>
      <c r="B221" s="22"/>
      <c r="C221" s="23"/>
      <c r="D221" s="24"/>
      <c r="E221" s="22"/>
      <c r="F221" s="21"/>
      <c r="G221" s="21"/>
      <c r="H221" s="21"/>
      <c r="I221" s="21"/>
      <c r="J221" s="3"/>
      <c r="K221" s="8"/>
      <c r="L221" s="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1"/>
      <c r="B222" s="22"/>
      <c r="C222" s="23"/>
      <c r="D222" s="24"/>
      <c r="E222" s="22"/>
      <c r="F222" s="21"/>
      <c r="G222" s="21"/>
      <c r="H222" s="21"/>
      <c r="I222" s="21"/>
      <c r="J222" s="3"/>
      <c r="K222" s="8"/>
      <c r="L222" s="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1"/>
      <c r="B223" s="22"/>
      <c r="C223" s="23"/>
      <c r="D223" s="24"/>
      <c r="E223" s="22"/>
      <c r="F223" s="21"/>
      <c r="G223" s="21"/>
      <c r="H223" s="21"/>
      <c r="I223" s="21"/>
      <c r="J223" s="3"/>
      <c r="K223" s="8"/>
      <c r="L223" s="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1"/>
      <c r="B224" s="22"/>
      <c r="C224" s="23"/>
      <c r="D224" s="24"/>
      <c r="E224" s="22"/>
      <c r="F224" s="21"/>
      <c r="G224" s="21"/>
      <c r="H224" s="21"/>
      <c r="I224" s="21"/>
      <c r="J224" s="3"/>
      <c r="K224" s="8"/>
      <c r="L224" s="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1"/>
      <c r="B225" s="22"/>
      <c r="C225" s="23"/>
      <c r="D225" s="24"/>
      <c r="E225" s="22"/>
      <c r="F225" s="21"/>
      <c r="G225" s="21"/>
      <c r="H225" s="21"/>
      <c r="I225" s="21"/>
      <c r="J225" s="3"/>
      <c r="K225" s="8"/>
      <c r="L225" s="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1"/>
      <c r="B226" s="22"/>
      <c r="C226" s="23"/>
      <c r="D226" s="21"/>
      <c r="E226" s="22"/>
      <c r="F226" s="21"/>
      <c r="G226" s="21"/>
      <c r="H226" s="21"/>
      <c r="I226" s="21"/>
      <c r="J226" s="3"/>
      <c r="K226" s="8"/>
      <c r="L226" s="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1"/>
      <c r="B227" s="22"/>
      <c r="C227" s="23"/>
      <c r="D227" s="21"/>
      <c r="E227" s="22"/>
      <c r="F227" s="21"/>
      <c r="G227" s="21"/>
      <c r="H227" s="21"/>
      <c r="I227" s="21"/>
      <c r="J227" s="3"/>
      <c r="K227" s="8"/>
      <c r="L227" s="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1"/>
      <c r="B228" s="22"/>
      <c r="C228" s="23"/>
      <c r="D228" s="24"/>
      <c r="E228" s="22"/>
      <c r="F228" s="21"/>
      <c r="G228" s="21"/>
      <c r="H228" s="21"/>
      <c r="I228" s="21"/>
      <c r="J228" s="3"/>
      <c r="K228" s="8"/>
      <c r="L228" s="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1"/>
      <c r="B229" s="22"/>
      <c r="C229" s="23"/>
      <c r="D229" s="24"/>
      <c r="E229" s="22"/>
      <c r="F229" s="21"/>
      <c r="G229" s="21"/>
      <c r="H229" s="21"/>
      <c r="I229" s="21"/>
      <c r="J229" s="3"/>
      <c r="K229" s="8"/>
      <c r="L229" s="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1"/>
      <c r="B230" s="22"/>
      <c r="C230" s="23"/>
      <c r="D230" s="21"/>
      <c r="E230" s="22"/>
      <c r="F230" s="21"/>
      <c r="G230" s="21"/>
      <c r="H230" s="21"/>
      <c r="I230" s="21"/>
      <c r="J230" s="3"/>
      <c r="K230" s="8"/>
      <c r="L230" s="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1"/>
      <c r="B231" s="22"/>
      <c r="C231" s="23"/>
      <c r="D231" s="21"/>
      <c r="E231" s="22"/>
      <c r="F231" s="21"/>
      <c r="G231" s="21"/>
      <c r="H231" s="21"/>
      <c r="I231" s="21"/>
      <c r="J231" s="3"/>
      <c r="K231" s="8"/>
      <c r="L231" s="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1"/>
      <c r="B232" s="22"/>
      <c r="C232" s="23"/>
      <c r="D232" s="21"/>
      <c r="E232" s="22"/>
      <c r="F232" s="21"/>
      <c r="G232" s="21"/>
      <c r="H232" s="21"/>
      <c r="I232" s="21"/>
      <c r="J232" s="3"/>
      <c r="K232" s="8"/>
      <c r="L232" s="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1"/>
      <c r="B233" s="22"/>
      <c r="C233" s="23"/>
      <c r="D233" s="21"/>
      <c r="E233" s="22"/>
      <c r="F233" s="21"/>
      <c r="G233" s="21"/>
      <c r="H233" s="21"/>
      <c r="I233" s="21"/>
      <c r="J233" s="3"/>
      <c r="K233" s="8"/>
      <c r="L233" s="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1"/>
      <c r="B234" s="22"/>
      <c r="C234" s="23"/>
      <c r="D234" s="21"/>
      <c r="E234" s="22"/>
      <c r="F234" s="21"/>
      <c r="G234" s="21"/>
      <c r="H234" s="21"/>
      <c r="I234" s="21"/>
      <c r="J234" s="3"/>
      <c r="K234" s="8"/>
      <c r="L234" s="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1"/>
      <c r="B235" s="22"/>
      <c r="C235" s="23"/>
      <c r="D235" s="21"/>
      <c r="E235" s="22"/>
      <c r="F235" s="21"/>
      <c r="G235" s="21"/>
      <c r="H235" s="21"/>
      <c r="I235" s="21"/>
      <c r="J235" s="3"/>
      <c r="K235" s="8"/>
      <c r="L235" s="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1"/>
      <c r="B236" s="22"/>
      <c r="C236" s="23"/>
      <c r="D236" s="21"/>
      <c r="E236" s="22"/>
      <c r="F236" s="21"/>
      <c r="G236" s="21"/>
      <c r="H236" s="21"/>
      <c r="I236" s="21"/>
      <c r="J236" s="3"/>
      <c r="K236" s="8"/>
      <c r="L236" s="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1"/>
      <c r="B237" s="22"/>
      <c r="C237" s="23"/>
      <c r="D237" s="21"/>
      <c r="E237" s="22"/>
      <c r="F237" s="21"/>
      <c r="G237" s="21"/>
      <c r="H237" s="21"/>
      <c r="I237" s="21"/>
      <c r="J237" s="3"/>
      <c r="K237" s="8"/>
      <c r="L237" s="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1"/>
      <c r="B238" s="22"/>
      <c r="C238" s="23"/>
      <c r="D238" s="21"/>
      <c r="E238" s="22"/>
      <c r="F238" s="21"/>
      <c r="G238" s="21"/>
      <c r="H238" s="21"/>
      <c r="I238" s="21"/>
      <c r="J238" s="3"/>
      <c r="K238" s="8"/>
      <c r="L238" s="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1"/>
      <c r="B239" s="22"/>
      <c r="C239" s="23"/>
      <c r="D239" s="21"/>
      <c r="E239" s="22"/>
      <c r="F239" s="21"/>
      <c r="G239" s="21"/>
      <c r="H239" s="21"/>
      <c r="I239" s="21"/>
      <c r="J239" s="3"/>
      <c r="K239" s="8"/>
      <c r="L239" s="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1"/>
      <c r="B240" s="22"/>
      <c r="C240" s="23"/>
      <c r="D240" s="21"/>
      <c r="E240" s="22"/>
      <c r="F240" s="21"/>
      <c r="G240" s="21"/>
      <c r="H240" s="21"/>
      <c r="I240" s="21"/>
      <c r="J240" s="3"/>
      <c r="K240" s="8"/>
      <c r="L240" s="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1"/>
      <c r="B241" s="22"/>
      <c r="C241" s="23"/>
      <c r="D241" s="21"/>
      <c r="E241" s="22"/>
      <c r="F241" s="21"/>
      <c r="G241" s="21"/>
      <c r="H241" s="21"/>
      <c r="I241" s="21"/>
      <c r="J241" s="3"/>
      <c r="K241" s="8"/>
      <c r="L241" s="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1"/>
      <c r="B242" s="22"/>
      <c r="C242" s="23"/>
      <c r="D242" s="21"/>
      <c r="E242" s="22"/>
      <c r="F242" s="21"/>
      <c r="G242" s="21"/>
      <c r="H242" s="21"/>
      <c r="I242" s="21"/>
      <c r="J242" s="3"/>
      <c r="K242" s="8"/>
      <c r="L242" s="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1"/>
      <c r="B243" s="22"/>
      <c r="C243" s="23"/>
      <c r="D243" s="21"/>
      <c r="E243" s="22"/>
      <c r="F243" s="21"/>
      <c r="G243" s="21"/>
      <c r="H243" s="21"/>
      <c r="I243" s="21"/>
      <c r="J243" s="3"/>
      <c r="K243" s="8"/>
      <c r="L243" s="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1"/>
      <c r="B244" s="22"/>
      <c r="C244" s="23"/>
      <c r="D244" s="24"/>
      <c r="E244" s="22"/>
      <c r="F244" s="21"/>
      <c r="G244" s="21"/>
      <c r="H244" s="21"/>
      <c r="I244" s="21"/>
      <c r="J244" s="3"/>
      <c r="K244" s="8"/>
      <c r="L244" s="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1"/>
      <c r="B245" s="22"/>
      <c r="C245" s="23"/>
      <c r="D245" s="24"/>
      <c r="E245" s="22"/>
      <c r="F245" s="21"/>
      <c r="G245" s="21"/>
      <c r="H245" s="21"/>
      <c r="I245" s="21"/>
      <c r="J245" s="3"/>
      <c r="K245" s="8"/>
      <c r="L245" s="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1"/>
      <c r="B246" s="22"/>
      <c r="C246" s="23"/>
      <c r="D246" s="24"/>
      <c r="E246" s="22"/>
      <c r="F246" s="21"/>
      <c r="G246" s="21"/>
      <c r="H246" s="21"/>
      <c r="I246" s="21"/>
      <c r="J246" s="3"/>
      <c r="K246" s="8"/>
      <c r="L246" s="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1"/>
      <c r="B247" s="22"/>
      <c r="C247" s="23"/>
      <c r="D247" s="24"/>
      <c r="E247" s="22"/>
      <c r="F247" s="21"/>
      <c r="G247" s="21"/>
      <c r="H247" s="21"/>
      <c r="I247" s="21"/>
      <c r="J247" s="3"/>
      <c r="K247" s="8"/>
      <c r="L247" s="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1"/>
      <c r="B248" s="22"/>
      <c r="C248" s="23"/>
      <c r="D248" s="24"/>
      <c r="E248" s="22"/>
      <c r="F248" s="21"/>
      <c r="G248" s="21"/>
      <c r="H248" s="21"/>
      <c r="I248" s="21"/>
      <c r="J248" s="3"/>
      <c r="K248" s="8"/>
      <c r="L248" s="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1"/>
      <c r="B249" s="22"/>
      <c r="C249" s="23"/>
      <c r="D249" s="24"/>
      <c r="E249" s="22"/>
      <c r="F249" s="21"/>
      <c r="G249" s="21"/>
      <c r="H249" s="21"/>
      <c r="I249" s="21"/>
      <c r="J249" s="3"/>
      <c r="K249" s="8"/>
      <c r="L249" s="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1"/>
      <c r="B250" s="22"/>
      <c r="C250" s="23"/>
      <c r="D250" s="21"/>
      <c r="E250" s="22"/>
      <c r="F250" s="21"/>
      <c r="G250" s="21"/>
      <c r="H250" s="21"/>
      <c r="I250" s="21"/>
      <c r="J250" s="3"/>
      <c r="K250" s="8"/>
      <c r="L250" s="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1"/>
      <c r="B251" s="22"/>
      <c r="C251" s="23"/>
      <c r="D251" s="21"/>
      <c r="E251" s="22"/>
      <c r="F251" s="21"/>
      <c r="G251" s="21"/>
      <c r="H251" s="21"/>
      <c r="I251" s="21"/>
      <c r="J251" s="3"/>
      <c r="K251" s="8"/>
      <c r="L251" s="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1"/>
      <c r="B252" s="22"/>
      <c r="C252" s="23"/>
      <c r="D252" s="21"/>
      <c r="E252" s="22"/>
      <c r="F252" s="21"/>
      <c r="G252" s="21"/>
      <c r="H252" s="21"/>
      <c r="I252" s="21"/>
      <c r="J252" s="3"/>
      <c r="K252" s="8"/>
      <c r="L252" s="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1"/>
      <c r="B253" s="22"/>
      <c r="C253" s="23"/>
      <c r="D253" s="21"/>
      <c r="E253" s="22"/>
      <c r="F253" s="21"/>
      <c r="G253" s="21"/>
      <c r="H253" s="21"/>
      <c r="I253" s="21"/>
      <c r="J253" s="3"/>
      <c r="K253" s="8"/>
      <c r="L253" s="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1"/>
      <c r="B254" s="22"/>
      <c r="C254" s="23"/>
      <c r="D254" s="21"/>
      <c r="E254" s="22"/>
      <c r="F254" s="21"/>
      <c r="G254" s="21"/>
      <c r="H254" s="21"/>
      <c r="I254" s="21"/>
      <c r="J254" s="3"/>
      <c r="K254" s="8"/>
      <c r="L254" s="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1"/>
      <c r="B255" s="22"/>
      <c r="C255" s="23"/>
      <c r="D255" s="21"/>
      <c r="E255" s="22"/>
      <c r="F255" s="21"/>
      <c r="G255" s="21"/>
      <c r="H255" s="21"/>
      <c r="I255" s="21"/>
      <c r="J255" s="3"/>
      <c r="K255" s="8"/>
      <c r="L255" s="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1"/>
      <c r="B256" s="22"/>
      <c r="C256" s="23"/>
      <c r="D256" s="21"/>
      <c r="E256" s="22"/>
      <c r="F256" s="21"/>
      <c r="G256" s="21"/>
      <c r="H256" s="21"/>
      <c r="I256" s="21"/>
      <c r="J256" s="3"/>
      <c r="K256" s="8"/>
      <c r="L256" s="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1"/>
      <c r="B257" s="22"/>
      <c r="C257" s="23"/>
      <c r="D257" s="21"/>
      <c r="E257" s="22"/>
      <c r="F257" s="21"/>
      <c r="G257" s="21"/>
      <c r="H257" s="21"/>
      <c r="I257" s="21"/>
      <c r="J257" s="3"/>
      <c r="K257" s="8"/>
      <c r="L257" s="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1"/>
      <c r="B258" s="22"/>
      <c r="C258" s="23"/>
      <c r="D258" s="21"/>
      <c r="E258" s="22"/>
      <c r="F258" s="21"/>
      <c r="G258" s="21"/>
      <c r="H258" s="21"/>
      <c r="I258" s="21"/>
      <c r="J258" s="3"/>
      <c r="K258" s="8"/>
      <c r="L258" s="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1"/>
      <c r="B259" s="22"/>
      <c r="C259" s="23"/>
      <c r="D259" s="21"/>
      <c r="E259" s="22"/>
      <c r="F259" s="21"/>
      <c r="G259" s="21"/>
      <c r="H259" s="21"/>
      <c r="I259" s="21"/>
      <c r="J259" s="3"/>
      <c r="K259" s="8"/>
      <c r="L259" s="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1"/>
      <c r="B260" s="22"/>
      <c r="C260" s="23"/>
      <c r="D260" s="21"/>
      <c r="E260" s="22"/>
      <c r="F260" s="21"/>
      <c r="G260" s="21"/>
      <c r="H260" s="21"/>
      <c r="I260" s="21"/>
      <c r="J260" s="3"/>
      <c r="K260" s="8"/>
      <c r="L260" s="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1"/>
      <c r="B261" s="22"/>
      <c r="C261" s="23"/>
      <c r="D261" s="21"/>
      <c r="E261" s="22"/>
      <c r="F261" s="21"/>
      <c r="G261" s="21"/>
      <c r="H261" s="21"/>
      <c r="I261" s="21"/>
      <c r="J261" s="3"/>
      <c r="K261" s="8"/>
      <c r="L261" s="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1"/>
      <c r="B262" s="22"/>
      <c r="C262" s="23"/>
      <c r="D262" s="24"/>
      <c r="E262" s="22"/>
      <c r="F262" s="21"/>
      <c r="G262" s="21"/>
      <c r="H262" s="21"/>
      <c r="I262" s="21"/>
      <c r="J262" s="3"/>
      <c r="K262" s="8"/>
      <c r="L262" s="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1"/>
      <c r="B263" s="22"/>
      <c r="C263" s="23"/>
      <c r="D263" s="24"/>
      <c r="E263" s="22"/>
      <c r="F263" s="21"/>
      <c r="G263" s="21"/>
      <c r="H263" s="21"/>
      <c r="I263" s="21"/>
      <c r="J263" s="3"/>
      <c r="K263" s="8"/>
      <c r="L263" s="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1"/>
      <c r="B264" s="22"/>
      <c r="C264" s="23"/>
      <c r="D264" s="24"/>
      <c r="E264" s="22"/>
      <c r="F264" s="21"/>
      <c r="G264" s="21"/>
      <c r="H264" s="21"/>
      <c r="I264" s="21"/>
      <c r="J264" s="3"/>
      <c r="K264" s="8"/>
      <c r="L264" s="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1"/>
      <c r="B265" s="22"/>
      <c r="C265" s="23"/>
      <c r="D265" s="24"/>
      <c r="E265" s="22"/>
      <c r="F265" s="21"/>
      <c r="G265" s="21"/>
      <c r="H265" s="21"/>
      <c r="I265" s="21"/>
      <c r="J265" s="3"/>
      <c r="K265" s="8"/>
      <c r="L265" s="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1"/>
      <c r="B266" s="22"/>
      <c r="C266" s="23"/>
      <c r="D266" s="24"/>
      <c r="E266" s="22"/>
      <c r="F266" s="21"/>
      <c r="G266" s="21"/>
      <c r="H266" s="21"/>
      <c r="I266" s="21"/>
      <c r="J266" s="3"/>
      <c r="K266" s="8"/>
      <c r="L266" s="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1"/>
      <c r="B267" s="22"/>
      <c r="C267" s="23"/>
      <c r="D267" s="24"/>
      <c r="E267" s="22"/>
      <c r="F267" s="21"/>
      <c r="G267" s="21"/>
      <c r="H267" s="21"/>
      <c r="I267" s="21"/>
      <c r="J267" s="3"/>
      <c r="K267" s="8"/>
      <c r="L267" s="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1"/>
      <c r="B268" s="22"/>
      <c r="C268" s="23"/>
      <c r="D268" s="21"/>
      <c r="E268" s="22"/>
      <c r="F268" s="21"/>
      <c r="G268" s="21"/>
      <c r="H268" s="21"/>
      <c r="I268" s="21"/>
      <c r="J268" s="3"/>
      <c r="K268" s="8"/>
      <c r="L268" s="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1"/>
      <c r="B269" s="22"/>
      <c r="C269" s="23"/>
      <c r="D269" s="21"/>
      <c r="E269" s="22"/>
      <c r="F269" s="21"/>
      <c r="G269" s="21"/>
      <c r="H269" s="21"/>
      <c r="I269" s="21"/>
      <c r="J269" s="3"/>
      <c r="K269" s="8"/>
      <c r="L269" s="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1"/>
      <c r="B270" s="22"/>
      <c r="C270" s="23"/>
      <c r="D270" s="21"/>
      <c r="E270" s="22"/>
      <c r="F270" s="21"/>
      <c r="G270" s="21"/>
      <c r="H270" s="21"/>
      <c r="I270" s="21"/>
      <c r="J270" s="3"/>
      <c r="K270" s="8"/>
      <c r="L270" s="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1"/>
      <c r="B271" s="22"/>
      <c r="C271" s="23"/>
      <c r="D271" s="21"/>
      <c r="E271" s="22"/>
      <c r="F271" s="21"/>
      <c r="G271" s="21"/>
      <c r="H271" s="21"/>
      <c r="I271" s="21"/>
      <c r="J271" s="3"/>
      <c r="K271" s="8"/>
      <c r="L271" s="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1"/>
      <c r="B272" s="22"/>
      <c r="C272" s="23"/>
      <c r="D272" s="21"/>
      <c r="E272" s="22"/>
      <c r="F272" s="21"/>
      <c r="G272" s="21"/>
      <c r="H272" s="21"/>
      <c r="I272" s="21"/>
      <c r="J272" s="3"/>
      <c r="K272" s="8"/>
      <c r="L272" s="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1"/>
      <c r="B273" s="22"/>
      <c r="C273" s="23"/>
      <c r="D273" s="21"/>
      <c r="E273" s="22"/>
      <c r="F273" s="21"/>
      <c r="G273" s="21"/>
      <c r="H273" s="21"/>
      <c r="I273" s="21"/>
      <c r="J273" s="3"/>
      <c r="K273" s="8"/>
      <c r="L273" s="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1"/>
      <c r="B274" s="22"/>
      <c r="C274" s="23"/>
      <c r="D274" s="21"/>
      <c r="E274" s="22"/>
      <c r="F274" s="21"/>
      <c r="G274" s="21"/>
      <c r="H274" s="21"/>
      <c r="I274" s="21"/>
      <c r="J274" s="3"/>
      <c r="K274" s="8"/>
      <c r="L274" s="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1"/>
      <c r="B275" s="22"/>
      <c r="C275" s="23"/>
      <c r="D275" s="21"/>
      <c r="E275" s="22"/>
      <c r="F275" s="21"/>
      <c r="G275" s="21"/>
      <c r="H275" s="21"/>
      <c r="I275" s="21"/>
      <c r="J275" s="3"/>
      <c r="K275" s="8"/>
      <c r="L275" s="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1"/>
      <c r="B276" s="22"/>
      <c r="C276" s="23"/>
      <c r="D276" s="24"/>
      <c r="E276" s="22"/>
      <c r="F276" s="21"/>
      <c r="G276" s="21"/>
      <c r="H276" s="21"/>
      <c r="I276" s="21"/>
      <c r="J276" s="3"/>
      <c r="K276" s="8"/>
      <c r="L276" s="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1"/>
      <c r="B277" s="22"/>
      <c r="C277" s="23"/>
      <c r="D277" s="24"/>
      <c r="E277" s="22"/>
      <c r="F277" s="21"/>
      <c r="G277" s="21"/>
      <c r="H277" s="21"/>
      <c r="I277" s="21"/>
      <c r="J277" s="3"/>
      <c r="K277" s="8"/>
      <c r="L277" s="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1"/>
      <c r="B278" s="22"/>
      <c r="C278" s="23"/>
      <c r="D278" s="24"/>
      <c r="E278" s="22"/>
      <c r="F278" s="21"/>
      <c r="G278" s="21"/>
      <c r="H278" s="21"/>
      <c r="I278" s="21"/>
      <c r="J278" s="3"/>
      <c r="K278" s="8"/>
      <c r="L278" s="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1"/>
      <c r="B279" s="22"/>
      <c r="C279" s="23"/>
      <c r="D279" s="24"/>
      <c r="E279" s="22"/>
      <c r="F279" s="21"/>
      <c r="G279" s="21"/>
      <c r="H279" s="21"/>
      <c r="I279" s="21"/>
      <c r="J279" s="3"/>
      <c r="K279" s="8"/>
      <c r="L279" s="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1"/>
      <c r="B280" s="22"/>
      <c r="C280" s="23"/>
      <c r="D280" s="24"/>
      <c r="E280" s="22"/>
      <c r="F280" s="21"/>
      <c r="G280" s="21"/>
      <c r="H280" s="21"/>
      <c r="I280" s="21"/>
      <c r="J280" s="3"/>
      <c r="K280" s="8"/>
      <c r="L280" s="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1"/>
      <c r="B281" s="22"/>
      <c r="C281" s="23"/>
      <c r="D281" s="24"/>
      <c r="E281" s="22"/>
      <c r="F281" s="21"/>
      <c r="G281" s="21"/>
      <c r="H281" s="21"/>
      <c r="I281" s="21"/>
      <c r="J281" s="3"/>
      <c r="K281" s="8"/>
      <c r="L281" s="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1"/>
      <c r="B282" s="22"/>
      <c r="C282" s="23"/>
      <c r="D282" s="24"/>
      <c r="E282" s="22"/>
      <c r="F282" s="21"/>
      <c r="G282" s="21"/>
      <c r="H282" s="21"/>
      <c r="I282" s="21"/>
      <c r="J282" s="3"/>
      <c r="K282" s="8"/>
      <c r="L282" s="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1"/>
      <c r="B283" s="22"/>
      <c r="C283" s="23"/>
      <c r="D283" s="24"/>
      <c r="E283" s="22"/>
      <c r="F283" s="21"/>
      <c r="G283" s="21"/>
      <c r="H283" s="21"/>
      <c r="I283" s="21"/>
      <c r="J283" s="3"/>
      <c r="K283" s="8"/>
      <c r="L283" s="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1"/>
      <c r="B284" s="22"/>
      <c r="C284" s="23"/>
      <c r="D284" s="21"/>
      <c r="E284" s="22"/>
      <c r="F284" s="21"/>
      <c r="G284" s="21"/>
      <c r="H284" s="21"/>
      <c r="I284" s="21"/>
      <c r="J284" s="3"/>
      <c r="K284" s="8"/>
      <c r="L284" s="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1"/>
      <c r="B285" s="22"/>
      <c r="C285" s="23"/>
      <c r="D285" s="21"/>
      <c r="E285" s="22"/>
      <c r="F285" s="21"/>
      <c r="G285" s="21"/>
      <c r="H285" s="21"/>
      <c r="I285" s="21"/>
      <c r="J285" s="3"/>
      <c r="K285" s="8"/>
      <c r="L285" s="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1"/>
      <c r="B286" s="22"/>
      <c r="C286" s="23"/>
      <c r="D286" s="21"/>
      <c r="E286" s="22"/>
      <c r="F286" s="21"/>
      <c r="G286" s="21"/>
      <c r="H286" s="21"/>
      <c r="I286" s="21"/>
      <c r="J286" s="3"/>
      <c r="K286" s="8"/>
      <c r="L286" s="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1"/>
      <c r="B287" s="22"/>
      <c r="C287" s="23"/>
      <c r="D287" s="21"/>
      <c r="E287" s="22"/>
      <c r="F287" s="21"/>
      <c r="G287" s="21"/>
      <c r="H287" s="21"/>
      <c r="I287" s="21"/>
      <c r="J287" s="3"/>
      <c r="K287" s="8"/>
      <c r="L287" s="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1"/>
      <c r="B288" s="25"/>
      <c r="C288" s="21"/>
      <c r="D288" s="21"/>
      <c r="E288" s="25"/>
      <c r="F288" s="21"/>
      <c r="G288" s="21"/>
      <c r="H288" s="21"/>
      <c r="I288" s="2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1"/>
      <c r="B289" s="25"/>
      <c r="C289" s="21"/>
      <c r="D289" s="21"/>
      <c r="E289" s="25"/>
      <c r="F289" s="21"/>
      <c r="G289" s="21"/>
      <c r="H289" s="21"/>
      <c r="I289" s="2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IFERROR(__xludf.DUMMYFUNCTION("QUERY(IMPORTHTML(""https://www.teamrankings.com/nfl/stat/average-time-of-possession-net-of-ot?date=""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17</v>
      </c>
      <c r="B2" s="31" t="str">
        <f>IFERROR(__xludf.DUMMYFUNCTION("""COMPUTED_VALUE"""),"Houston")</f>
        <v>Houston</v>
      </c>
      <c r="C2" s="32">
        <f>IFERROR(__xludf.DUMMYFUNCTION("""COMPUTED_VALUE"""),1.3715277777773736)</f>
        <v>1.371527778</v>
      </c>
      <c r="D2" s="32">
        <f>IFERROR(__xludf.DUMMYFUNCTION("""COMPUTED_VALUE"""),1.3527777777781012)</f>
        <v>1.352777778</v>
      </c>
      <c r="E2" s="32">
        <f>IFERROR(__xludf.DUMMYFUNCTION("""COMPUTED_VALUE"""),1.4722222222226264)</f>
        <v>1.472222222</v>
      </c>
      <c r="F2" s="32">
        <f>IFERROR(__xludf.DUMMYFUNCTION("""COMPUTED_VALUE"""),1.359722222223354)</f>
        <v>1.359722222</v>
      </c>
      <c r="G2" s="32">
        <f>IFERROR(__xludf.DUMMYFUNCTION("""COMPUTED_VALUE"""),1.382638888888323)</f>
        <v>1.382638889</v>
      </c>
      <c r="H2" s="32">
        <f>IFERROR(__xludf.DUMMYFUNCTION("""COMPUTED_VALUE"""),1.203472222223354)</f>
        <v>1.203472222</v>
      </c>
      <c r="I2" s="33">
        <f t="shared" ref="I2:I33" si="1">AVERAGE(C2:H2)</f>
        <v>1.357060185</v>
      </c>
    </row>
    <row r="3">
      <c r="A3" s="30">
        <f>VLOOKUP(B3,map!B:C,2,false)</f>
        <v>25</v>
      </c>
      <c r="B3" s="31" t="str">
        <f>IFERROR(__xludf.DUMMYFUNCTION("""COMPUTED_VALUE"""),"San Francisco")</f>
        <v>San Francisco</v>
      </c>
      <c r="C3" s="32">
        <f>IFERROR(__xludf.DUMMYFUNCTION("""COMPUTED_VALUE"""),1.367361111111677)</f>
        <v>1.367361111</v>
      </c>
      <c r="D3" s="32">
        <f>IFERROR(__xludf.DUMMYFUNCTION("""COMPUTED_VALUE"""),1.265972222223354)</f>
        <v>1.265972222</v>
      </c>
      <c r="E3" s="32">
        <f>IFERROR(__xludf.DUMMYFUNCTION("""COMPUTED_VALUE"""),1.383333333335031)</f>
        <v>1.383333333</v>
      </c>
      <c r="F3" s="32">
        <f>IFERROR(__xludf.DUMMYFUNCTION("""COMPUTED_VALUE"""),1.34444444444307)</f>
        <v>1.344444444</v>
      </c>
      <c r="G3" s="32">
        <f>IFERROR(__xludf.DUMMYFUNCTION("""COMPUTED_VALUE"""),1.40694444444307)</f>
        <v>1.406944444</v>
      </c>
      <c r="H3" s="32">
        <f>IFERROR(__xludf.DUMMYFUNCTION("""COMPUTED_VALUE"""),1.2958333333335759)</f>
        <v>1.295833333</v>
      </c>
      <c r="I3" s="33">
        <f t="shared" si="1"/>
        <v>1.343981481</v>
      </c>
    </row>
    <row r="4">
      <c r="A4" s="30">
        <f>VLOOKUP(B4,map!B:C,2,false)</f>
        <v>2</v>
      </c>
      <c r="B4" s="31" t="str">
        <f>IFERROR(__xludf.DUMMYFUNCTION("""COMPUTED_VALUE"""),"Kansas City")</f>
        <v>Kansas City</v>
      </c>
      <c r="C4" s="32">
        <f>IFERROR(__xludf.DUMMYFUNCTION("""COMPUTED_VALUE"""),1.3472222222226264)</f>
        <v>1.347222222</v>
      </c>
      <c r="D4" s="32">
        <f>IFERROR(__xludf.DUMMYFUNCTION("""COMPUTED_VALUE"""),1.4930555555547471)</f>
        <v>1.493055556</v>
      </c>
      <c r="E4" s="32">
        <f>IFERROR(__xludf.DUMMYFUNCTION("""COMPUTED_VALUE"""),1.3541666666678793)</f>
        <v>1.354166667</v>
      </c>
      <c r="F4" s="32">
        <f>IFERROR(__xludf.DUMMYFUNCTION("""COMPUTED_VALUE"""),1.3152777777795563)</f>
        <v>1.315277778</v>
      </c>
      <c r="G4" s="32">
        <f>IFERROR(__xludf.DUMMYFUNCTION("""COMPUTED_VALUE"""),1.3708333333343035)</f>
        <v>1.370833333</v>
      </c>
      <c r="H4" s="32">
        <f>IFERROR(__xludf.DUMMYFUNCTION("""COMPUTED_VALUE"""),1.272916666664969)</f>
        <v>1.272916667</v>
      </c>
      <c r="I4" s="33">
        <f t="shared" si="1"/>
        <v>1.358912037</v>
      </c>
    </row>
    <row r="5">
      <c r="A5" s="30">
        <f>VLOOKUP(B5,map!B:C,2,false)</f>
        <v>32</v>
      </c>
      <c r="B5" s="31" t="str">
        <f>IFERROR(__xludf.DUMMYFUNCTION("""COMPUTED_VALUE"""),"Tennessee")</f>
        <v>Tennessee</v>
      </c>
      <c r="C5" s="32">
        <f>IFERROR(__xludf.DUMMYFUNCTION("""COMPUTED_VALUE"""),1.3458333333328483)</f>
        <v>1.345833333</v>
      </c>
      <c r="D5" s="32">
        <f>IFERROR(__xludf.DUMMYFUNCTION("""COMPUTED_VALUE"""),1.3736111111102218)</f>
        <v>1.373611111</v>
      </c>
      <c r="E5" s="32">
        <f>IFERROR(__xludf.DUMMYFUNCTION("""COMPUTED_VALUE"""),1.484027777776646)</f>
        <v>1.484027778</v>
      </c>
      <c r="F5" s="32">
        <f>IFERROR(__xludf.DUMMYFUNCTION("""COMPUTED_VALUE"""),1.2222222222226264)</f>
        <v>1.222222222</v>
      </c>
      <c r="G5" s="32">
        <f>IFERROR(__xludf.DUMMYFUNCTION("""COMPUTED_VALUE"""),1.4388888888897782)</f>
        <v>1.438888889</v>
      </c>
      <c r="H5" s="32">
        <f>IFERROR(__xludf.DUMMYFUNCTION("""COMPUTED_VALUE"""),1.2041666666664241)</f>
        <v>1.204166667</v>
      </c>
      <c r="I5" s="33">
        <f t="shared" si="1"/>
        <v>1.344791667</v>
      </c>
    </row>
    <row r="6">
      <c r="A6" s="30">
        <f>VLOOKUP(B6,map!B:C,2,false)</f>
        <v>29</v>
      </c>
      <c r="B6" s="31" t="str">
        <f>IFERROR(__xludf.DUMMYFUNCTION("""COMPUTED_VALUE"""),"Pittsburgh")</f>
        <v>Pittsburgh</v>
      </c>
      <c r="C6" s="32">
        <f>IFERROR(__xludf.DUMMYFUNCTION("""COMPUTED_VALUE"""),1.335416666664969)</f>
        <v>1.335416667</v>
      </c>
      <c r="D6" s="32">
        <f>IFERROR(__xludf.DUMMYFUNCTION("""COMPUTED_VALUE"""),1.2708333333321207)</f>
        <v>1.270833333</v>
      </c>
      <c r="E6" s="32">
        <f>IFERROR(__xludf.DUMMYFUNCTION("""COMPUTED_VALUE"""),1.3395833333343035)</f>
        <v>1.339583333</v>
      </c>
      <c r="F6" s="32">
        <f>IFERROR(__xludf.DUMMYFUNCTION("""COMPUTED_VALUE"""),1.2986111111094942)</f>
        <v>1.298611111</v>
      </c>
      <c r="G6" s="32">
        <f>IFERROR(__xludf.DUMMYFUNCTION("""COMPUTED_VALUE"""),1.3631944444459805)</f>
        <v>1.363194444</v>
      </c>
      <c r="H6" s="32">
        <f>IFERROR(__xludf.DUMMYFUNCTION("""COMPUTED_VALUE"""),1.2277777777781012)</f>
        <v>1.227777778</v>
      </c>
      <c r="I6" s="33">
        <f t="shared" si="1"/>
        <v>1.305902778</v>
      </c>
    </row>
    <row r="7">
      <c r="A7" s="30">
        <f>VLOOKUP(B7,map!B:C,2,false)</f>
        <v>7</v>
      </c>
      <c r="B7" s="31" t="str">
        <f>IFERROR(__xludf.DUMMYFUNCTION("""COMPUTED_VALUE"""),"LA Chargers")</f>
        <v>LA Chargers</v>
      </c>
      <c r="C7" s="32">
        <f>IFERROR(__xludf.DUMMYFUNCTION("""COMPUTED_VALUE"""),1.3347222222218988)</f>
        <v>1.334722222</v>
      </c>
      <c r="D7" s="32">
        <f>IFERROR(__xludf.DUMMYFUNCTION("""COMPUTED_VALUE"""),1.4270833333321207)</f>
        <v>1.427083333</v>
      </c>
      <c r="E7" s="32">
        <f>IFERROR(__xludf.DUMMYFUNCTION("""COMPUTED_VALUE"""),1.297222222223354)</f>
        <v>1.297222222</v>
      </c>
      <c r="F7" s="32">
        <f>IFERROR(__xludf.DUMMYFUNCTION("""COMPUTED_VALUE"""),1.2534722222226264)</f>
        <v>1.253472222</v>
      </c>
      <c r="G7" s="32">
        <f>IFERROR(__xludf.DUMMYFUNCTION("""COMPUTED_VALUE"""),1.3965277777788287)</f>
        <v>1.396527778</v>
      </c>
      <c r="H7" s="32">
        <f>IFERROR(__xludf.DUMMYFUNCTION("""COMPUTED_VALUE"""),1.2048611111094942)</f>
        <v>1.204861111</v>
      </c>
      <c r="I7" s="33">
        <f t="shared" si="1"/>
        <v>1.318981481</v>
      </c>
    </row>
    <row r="8">
      <c r="A8" s="30">
        <f>VLOOKUP(B8,map!B:C,2,false)</f>
        <v>15</v>
      </c>
      <c r="B8" s="31" t="str">
        <f>IFERROR(__xludf.DUMMYFUNCTION("""COMPUTED_VALUE"""),"Green Bay")</f>
        <v>Green Bay</v>
      </c>
      <c r="C8" s="32">
        <f>IFERROR(__xludf.DUMMYFUNCTION("""COMPUTED_VALUE"""),1.3243055555540195)</f>
        <v>1.324305556</v>
      </c>
      <c r="D8" s="32">
        <f>IFERROR(__xludf.DUMMYFUNCTION("""COMPUTED_VALUE"""),1.3812499999985448)</f>
        <v>1.38125</v>
      </c>
      <c r="E8" s="32">
        <f>IFERROR(__xludf.DUMMYFUNCTION("""COMPUTED_VALUE"""),1.4229166666664241)</f>
        <v>1.422916667</v>
      </c>
      <c r="F8" s="32">
        <f>IFERROR(__xludf.DUMMYFUNCTION("""COMPUTED_VALUE"""),1.3875000000007276)</f>
        <v>1.3875</v>
      </c>
      <c r="G8" s="32">
        <f>IFERROR(__xludf.DUMMYFUNCTION("""COMPUTED_VALUE"""),1.2618055555540195)</f>
        <v>1.261805556</v>
      </c>
      <c r="H8" s="32">
        <f>IFERROR(__xludf.DUMMYFUNCTION("""COMPUTED_VALUE"""),1.2374999999992724)</f>
        <v>1.2375</v>
      </c>
      <c r="I8" s="33">
        <f t="shared" si="1"/>
        <v>1.33587963</v>
      </c>
    </row>
    <row r="9">
      <c r="A9" s="30">
        <f>VLOOKUP(B9,map!B:C,2,false)</f>
        <v>14</v>
      </c>
      <c r="B9" s="31" t="str">
        <f>IFERROR(__xludf.DUMMYFUNCTION("""COMPUTED_VALUE"""),"Tampa Bay")</f>
        <v>Tampa Bay</v>
      </c>
      <c r="C9" s="32">
        <f>IFERROR(__xludf.DUMMYFUNCTION("""COMPUTED_VALUE"""),1.3187499999985448)</f>
        <v>1.31875</v>
      </c>
      <c r="D9" s="32">
        <f>IFERROR(__xludf.DUMMYFUNCTION("""COMPUTED_VALUE"""),1.4118055555554747)</f>
        <v>1.411805556</v>
      </c>
      <c r="E9" s="32">
        <f>IFERROR(__xludf.DUMMYFUNCTION("""COMPUTED_VALUE"""),1.3569444444437977)</f>
        <v>1.356944444</v>
      </c>
      <c r="F9" s="32">
        <f>IFERROR(__xludf.DUMMYFUNCTION("""COMPUTED_VALUE"""),1.3784722222226264)</f>
        <v>1.378472222</v>
      </c>
      <c r="G9" s="32">
        <f>IFERROR(__xludf.DUMMYFUNCTION("""COMPUTED_VALUE"""),1.21875)</f>
        <v>1.21875</v>
      </c>
      <c r="H9" s="32">
        <f>IFERROR(__xludf.DUMMYFUNCTION("""COMPUTED_VALUE"""),1.2326388888905058)</f>
        <v>1.232638889</v>
      </c>
      <c r="I9" s="33">
        <f t="shared" si="1"/>
        <v>1.319560185</v>
      </c>
    </row>
    <row r="10">
      <c r="A10" s="30">
        <f>VLOOKUP(B10,map!B:C,2,false)</f>
        <v>8</v>
      </c>
      <c r="B10" s="31" t="str">
        <f>IFERROR(__xludf.DUMMYFUNCTION("""COMPUTED_VALUE"""),"Washington")</f>
        <v>Washington</v>
      </c>
      <c r="C10" s="32">
        <f>IFERROR(__xludf.DUMMYFUNCTION("""COMPUTED_VALUE"""),1.3166666666656965)</f>
        <v>1.316666667</v>
      </c>
      <c r="D10" s="32">
        <f>IFERROR(__xludf.DUMMYFUNCTION("""COMPUTED_VALUE"""),1.2666666666664241)</f>
        <v>1.266666667</v>
      </c>
      <c r="E10" s="34">
        <f>IFERROR(__xludf.DUMMYFUNCTION("""COMPUTED_VALUE"""),1.34444444444307)</f>
        <v>1.344444444</v>
      </c>
      <c r="F10" s="32">
        <f>IFERROR(__xludf.DUMMYFUNCTION("""COMPUTED_VALUE"""),1.4180555555540195)</f>
        <v>1.418055556</v>
      </c>
      <c r="G10" s="32">
        <f>IFERROR(__xludf.DUMMYFUNCTION("""COMPUTED_VALUE"""),1.2145833333343035)</f>
        <v>1.214583333</v>
      </c>
      <c r="H10" s="32">
        <f>IFERROR(__xludf.DUMMYFUNCTION("""COMPUTED_VALUE"""),1.2305555555540195)</f>
        <v>1.230555556</v>
      </c>
      <c r="I10" s="33">
        <f t="shared" si="1"/>
        <v>1.29849537</v>
      </c>
    </row>
    <row r="11">
      <c r="A11" s="30">
        <f>VLOOKUP(B11,map!B:C,2,false)</f>
        <v>26</v>
      </c>
      <c r="B11" s="31" t="str">
        <f>IFERROR(__xludf.DUMMYFUNCTION("""COMPUTED_VALUE"""),"NY Giants")</f>
        <v>NY Giants</v>
      </c>
      <c r="C11" s="32">
        <f>IFERROR(__xludf.DUMMYFUNCTION("""COMPUTED_VALUE"""),1.3125)</f>
        <v>1.3125</v>
      </c>
      <c r="D11" s="32">
        <f>IFERROR(__xludf.DUMMYFUNCTION("""COMPUTED_VALUE"""),1.335416666664969)</f>
        <v>1.335416667</v>
      </c>
      <c r="E11" s="32">
        <f>IFERROR(__xludf.DUMMYFUNCTION("""COMPUTED_VALUE"""),1.0277777777773736)</f>
        <v>1.027777778</v>
      </c>
      <c r="F11" s="32">
        <f>IFERROR(__xludf.DUMMYFUNCTION("""COMPUTED_VALUE"""),1.320833333335031)</f>
        <v>1.320833333</v>
      </c>
      <c r="G11" s="32">
        <f>IFERROR(__xludf.DUMMYFUNCTION("""COMPUTED_VALUE"""),1.3020833333321207)</f>
        <v>1.302083333</v>
      </c>
      <c r="H11" s="32">
        <f>IFERROR(__xludf.DUMMYFUNCTION("""COMPUTED_VALUE"""),1.226388888888323)</f>
        <v>1.226388889</v>
      </c>
      <c r="I11" s="33">
        <f t="shared" si="1"/>
        <v>1.254166667</v>
      </c>
    </row>
    <row r="12">
      <c r="A12" s="30">
        <f>VLOOKUP(B12,map!B:C,2,false)</f>
        <v>12</v>
      </c>
      <c r="B12" s="31" t="str">
        <f>IFERROR(__xludf.DUMMYFUNCTION("""COMPUTED_VALUE"""),"Philadelphia")</f>
        <v>Philadelphia</v>
      </c>
      <c r="C12" s="32">
        <f>IFERROR(__xludf.DUMMYFUNCTION("""COMPUTED_VALUE"""),1.3097222222204437)</f>
        <v>1.309722222</v>
      </c>
      <c r="D12" s="32">
        <f>IFERROR(__xludf.DUMMYFUNCTION("""COMPUTED_VALUE"""),1.328472222223354)</f>
        <v>1.328472222</v>
      </c>
      <c r="E12" s="32">
        <f>IFERROR(__xludf.DUMMYFUNCTION("""COMPUTED_VALUE"""),1.3250000000007276)</f>
        <v>1.325</v>
      </c>
      <c r="F12" s="32">
        <f>IFERROR(__xludf.DUMMYFUNCTION("""COMPUTED_VALUE"""),1.3375000000014552)</f>
        <v>1.3375</v>
      </c>
      <c r="G12" s="32">
        <f>IFERROR(__xludf.DUMMYFUNCTION("""COMPUTED_VALUE"""),1.2986111111094942)</f>
        <v>1.298611111</v>
      </c>
      <c r="H12" s="32">
        <f>IFERROR(__xludf.DUMMYFUNCTION("""COMPUTED_VALUE"""),1.2666666666664241)</f>
        <v>1.266666667</v>
      </c>
      <c r="I12" s="33">
        <f t="shared" si="1"/>
        <v>1.31099537</v>
      </c>
    </row>
    <row r="13">
      <c r="A13" s="30">
        <f>VLOOKUP(B13,map!B:C,2,false)</f>
        <v>10</v>
      </c>
      <c r="B13" s="31" t="str">
        <f>IFERROR(__xludf.DUMMYFUNCTION("""COMPUTED_VALUE"""),"Miami")</f>
        <v>Miami</v>
      </c>
      <c r="C13" s="32">
        <f>IFERROR(__xludf.DUMMYFUNCTION("""COMPUTED_VALUE"""),1.304166666664969)</f>
        <v>1.304166667</v>
      </c>
      <c r="D13" s="32">
        <f>IFERROR(__xludf.DUMMYFUNCTION("""COMPUTED_VALUE"""),1.3333333333321207)</f>
        <v>1.333333333</v>
      </c>
      <c r="E13" s="32">
        <f>IFERROR(__xludf.DUMMYFUNCTION("""COMPUTED_VALUE"""),1.2715277777788287)</f>
        <v>1.271527778</v>
      </c>
      <c r="F13" s="32">
        <f>IFERROR(__xludf.DUMMYFUNCTION("""COMPUTED_VALUE"""),1.3034722222218988)</f>
        <v>1.303472222</v>
      </c>
      <c r="G13" s="32">
        <f>IFERROR(__xludf.DUMMYFUNCTION("""COMPUTED_VALUE"""),1.3062500000014552)</f>
        <v>1.30625</v>
      </c>
      <c r="H13" s="32">
        <f>IFERROR(__xludf.DUMMYFUNCTION("""COMPUTED_VALUE"""),1.2472222222204437)</f>
        <v>1.247222222</v>
      </c>
      <c r="I13" s="33">
        <f t="shared" si="1"/>
        <v>1.294328704</v>
      </c>
    </row>
    <row r="14">
      <c r="A14" s="30">
        <f>VLOOKUP(B14,map!B:C,2,false)</f>
        <v>30</v>
      </c>
      <c r="B14" s="31" t="str">
        <f>IFERROR(__xludf.DUMMYFUNCTION("""COMPUTED_VALUE"""),"Baltimore")</f>
        <v>Baltimore</v>
      </c>
      <c r="C14" s="32">
        <f>IFERROR(__xludf.DUMMYFUNCTION("""COMPUTED_VALUE"""),1.2916666666678793)</f>
        <v>1.291666667</v>
      </c>
      <c r="D14" s="32">
        <f>IFERROR(__xludf.DUMMYFUNCTION("""COMPUTED_VALUE"""),1.24930555555693)</f>
        <v>1.249305556</v>
      </c>
      <c r="E14" s="32">
        <f>IFERROR(__xludf.DUMMYFUNCTION("""COMPUTED_VALUE"""),1.2041666666664241)</f>
        <v>1.204166667</v>
      </c>
      <c r="F14" s="32">
        <f>IFERROR(__xludf.DUMMYFUNCTION("""COMPUTED_VALUE"""),1.3395833333343035)</f>
        <v>1.339583333</v>
      </c>
      <c r="G14" s="32">
        <f>IFERROR(__xludf.DUMMYFUNCTION("""COMPUTED_VALUE"""),1.2631944444437977)</f>
        <v>1.263194444</v>
      </c>
      <c r="H14" s="32">
        <f>IFERROR(__xludf.DUMMYFUNCTION("""COMPUTED_VALUE"""),1.2881944444452529)</f>
        <v>1.288194444</v>
      </c>
      <c r="I14" s="33">
        <f t="shared" si="1"/>
        <v>1.272685185</v>
      </c>
    </row>
    <row r="15">
      <c r="A15" s="30">
        <f>VLOOKUP(B15,map!B:C,2,false)</f>
        <v>16</v>
      </c>
      <c r="B15" s="31" t="str">
        <f>IFERROR(__xludf.DUMMYFUNCTION("""COMPUTED_VALUE"""),"Cleveland")</f>
        <v>Cleveland</v>
      </c>
      <c r="C15" s="32">
        <f>IFERROR(__xludf.DUMMYFUNCTION("""COMPUTED_VALUE"""),1.2902777777781012)</f>
        <v>1.290277778</v>
      </c>
      <c r="D15" s="32">
        <f>IFERROR(__xludf.DUMMYFUNCTION("""COMPUTED_VALUE"""),1.3472222222226264)</f>
        <v>1.347222222</v>
      </c>
      <c r="E15" s="32">
        <f>IFERROR(__xludf.DUMMYFUNCTION("""COMPUTED_VALUE"""),1.2958333333335759)</f>
        <v>1.295833333</v>
      </c>
      <c r="F15" s="32">
        <f>IFERROR(__xludf.DUMMYFUNCTION("""COMPUTED_VALUE"""),1.2763888888875954)</f>
        <v>1.276388889</v>
      </c>
      <c r="G15" s="32">
        <f>IFERROR(__xludf.DUMMYFUNCTION("""COMPUTED_VALUE"""),1.304166666664969)</f>
        <v>1.304166667</v>
      </c>
      <c r="H15" s="32">
        <f>IFERROR(__xludf.DUMMYFUNCTION("""COMPUTED_VALUE"""),1.3534722222211713)</f>
        <v>1.353472222</v>
      </c>
      <c r="I15" s="33">
        <f t="shared" si="1"/>
        <v>1.311226852</v>
      </c>
    </row>
    <row r="16">
      <c r="A16" s="30">
        <f>VLOOKUP(B16,map!B:C,2,false)</f>
        <v>31</v>
      </c>
      <c r="B16" s="31" t="str">
        <f>IFERROR(__xludf.DUMMYFUNCTION("""COMPUTED_VALUE"""),"Chicago")</f>
        <v>Chicago</v>
      </c>
      <c r="C16" s="32">
        <f>IFERROR(__xludf.DUMMYFUNCTION("""COMPUTED_VALUE"""),1.2645833333335759)</f>
        <v>1.264583333</v>
      </c>
      <c r="D16" s="32">
        <f>IFERROR(__xludf.DUMMYFUNCTION("""COMPUTED_VALUE"""),1.28055555555693)</f>
        <v>1.280555556</v>
      </c>
      <c r="E16" s="32">
        <f>IFERROR(__xludf.DUMMYFUNCTION("""COMPUTED_VALUE"""),1.15555555555693)</f>
        <v>1.155555556</v>
      </c>
      <c r="F16" s="32">
        <f>IFERROR(__xludf.DUMMYFUNCTION("""COMPUTED_VALUE"""),1.2201388888897782)</f>
        <v>1.220138889</v>
      </c>
      <c r="G16" s="32">
        <f>IFERROR(__xludf.DUMMYFUNCTION("""COMPUTED_VALUE"""),1.2979166666664241)</f>
        <v>1.297916667</v>
      </c>
      <c r="H16" s="32">
        <f>IFERROR(__xludf.DUMMYFUNCTION("""COMPUTED_VALUE"""),1.3312499999992724)</f>
        <v>1.33125</v>
      </c>
      <c r="I16" s="33">
        <f t="shared" si="1"/>
        <v>1.258333333</v>
      </c>
    </row>
    <row r="17">
      <c r="A17" s="30">
        <f>VLOOKUP(B17,map!B:C,2,false)</f>
        <v>19</v>
      </c>
      <c r="B17" s="31" t="str">
        <f>IFERROR(__xludf.DUMMYFUNCTION("""COMPUTED_VALUE"""),"NY Jets")</f>
        <v>NY Jets</v>
      </c>
      <c r="C17" s="32">
        <f>IFERROR(__xludf.DUMMYFUNCTION("""COMPUTED_VALUE"""),1.2520833333328483)</f>
        <v>1.252083333</v>
      </c>
      <c r="D17" s="32">
        <f>IFERROR(__xludf.DUMMYFUNCTION("""COMPUTED_VALUE"""),1.2201388888897782)</f>
        <v>1.220138889</v>
      </c>
      <c r="E17" s="32">
        <f>IFERROR(__xludf.DUMMYFUNCTION("""COMPUTED_VALUE"""),1.2319444444437977)</f>
        <v>1.231944444</v>
      </c>
      <c r="F17" s="32">
        <f>IFERROR(__xludf.DUMMYFUNCTION("""COMPUTED_VALUE"""),1.4194444444437977)</f>
        <v>1.419444444</v>
      </c>
      <c r="G17" s="32">
        <f>IFERROR(__xludf.DUMMYFUNCTION("""COMPUTED_VALUE"""),1.1513888888875954)</f>
        <v>1.151388889</v>
      </c>
      <c r="H17" s="32">
        <f>IFERROR(__xludf.DUMMYFUNCTION("""COMPUTED_VALUE"""),1.2097222222218988)</f>
        <v>1.209722222</v>
      </c>
      <c r="I17" s="33">
        <f t="shared" si="1"/>
        <v>1.247453704</v>
      </c>
    </row>
    <row r="18">
      <c r="A18" s="30">
        <f>VLOOKUP(B18,map!B:C,2,false)</f>
        <v>5</v>
      </c>
      <c r="B18" s="31" t="str">
        <f>IFERROR(__xludf.DUMMYFUNCTION("""COMPUTED_VALUE"""),"Detroit")</f>
        <v>Detroit</v>
      </c>
      <c r="C18" s="32">
        <f>IFERROR(__xludf.DUMMYFUNCTION("""COMPUTED_VALUE"""),1.2486111111102218)</f>
        <v>1.248611111</v>
      </c>
      <c r="D18" s="32">
        <f>IFERROR(__xludf.DUMMYFUNCTION("""COMPUTED_VALUE"""),1.2243055555554747)</f>
        <v>1.224305556</v>
      </c>
      <c r="E18" s="32">
        <f>IFERROR(__xludf.DUMMYFUNCTION("""COMPUTED_VALUE"""),1.015972222223354)</f>
        <v>1.015972222</v>
      </c>
      <c r="F18" s="32">
        <f>IFERROR(__xludf.DUMMYFUNCTION("""COMPUTED_VALUE"""),1.1381944444437977)</f>
        <v>1.138194444</v>
      </c>
      <c r="G18" s="32">
        <f>IFERROR(__xludf.DUMMYFUNCTION("""COMPUTED_VALUE"""),1.3965277777788287)</f>
        <v>1.396527778</v>
      </c>
      <c r="H18" s="32">
        <f>IFERROR(__xludf.DUMMYFUNCTION("""COMPUTED_VALUE"""),1.297222222223354)</f>
        <v>1.297222222</v>
      </c>
      <c r="I18" s="33">
        <f t="shared" si="1"/>
        <v>1.220138889</v>
      </c>
    </row>
    <row r="19">
      <c r="A19" s="30">
        <f>VLOOKUP(B19,map!B:C,2,false)</f>
        <v>18</v>
      </c>
      <c r="B19" s="31" t="str">
        <f>IFERROR(__xludf.DUMMYFUNCTION("""COMPUTED_VALUE"""),"LA Rams")</f>
        <v>LA Rams</v>
      </c>
      <c r="C19" s="32">
        <f>IFERROR(__xludf.DUMMYFUNCTION("""COMPUTED_VALUE"""),1.2381944444459805)</f>
        <v>1.238194444</v>
      </c>
      <c r="D19" s="34">
        <f>IFERROR(__xludf.DUMMYFUNCTION("""COMPUTED_VALUE"""),1.2847222222226264)</f>
        <v>1.284722222</v>
      </c>
      <c r="E19" s="32">
        <f>IFERROR(__xludf.DUMMYFUNCTION("""COMPUTED_VALUE"""),1.4006944444445253)</f>
        <v>1.400694444</v>
      </c>
      <c r="F19" s="32">
        <f>IFERROR(__xludf.DUMMYFUNCTION("""COMPUTED_VALUE"""),1.2395833333321207)</f>
        <v>1.239583333</v>
      </c>
      <c r="G19" s="32">
        <f>IFERROR(__xludf.DUMMYFUNCTION("""COMPUTED_VALUE"""),1.2368055555562023)</f>
        <v>1.236805556</v>
      </c>
      <c r="H19" s="32">
        <f>IFERROR(__xludf.DUMMYFUNCTION("""COMPUTED_VALUE"""),1.2687499999992724)</f>
        <v>1.26875</v>
      </c>
      <c r="I19" s="33">
        <f t="shared" si="1"/>
        <v>1.278125</v>
      </c>
    </row>
    <row r="20">
      <c r="A20" s="30">
        <f>VLOOKUP(B20,map!B:C,2,false)</f>
        <v>27</v>
      </c>
      <c r="B20" s="31" t="str">
        <f>IFERROR(__xludf.DUMMYFUNCTION("""COMPUTED_VALUE"""),"Denver")</f>
        <v>Denver</v>
      </c>
      <c r="C20" s="32">
        <f>IFERROR(__xludf.DUMMYFUNCTION("""COMPUTED_VALUE"""),1.234027777776646)</f>
        <v>1.234027778</v>
      </c>
      <c r="D20" s="32">
        <f>IFERROR(__xludf.DUMMYFUNCTION("""COMPUTED_VALUE"""),1.2368055555562023)</f>
        <v>1.236805556</v>
      </c>
      <c r="E20" s="32">
        <f>IFERROR(__xludf.DUMMYFUNCTION("""COMPUTED_VALUE"""),1.3819444444452529)</f>
        <v>1.381944444</v>
      </c>
      <c r="F20" s="32">
        <f>IFERROR(__xludf.DUMMYFUNCTION("""COMPUTED_VALUE"""),1.1673611111109494)</f>
        <v>1.167361111</v>
      </c>
      <c r="G20" s="32">
        <f>IFERROR(__xludf.DUMMYFUNCTION("""COMPUTED_VALUE"""),1.3006944444459805)</f>
        <v>1.300694444</v>
      </c>
      <c r="H20" s="32">
        <f>IFERROR(__xludf.DUMMYFUNCTION("""COMPUTED_VALUE"""),1.2291666666678793)</f>
        <v>1.229166667</v>
      </c>
      <c r="I20" s="33">
        <f t="shared" si="1"/>
        <v>1.258333333</v>
      </c>
    </row>
    <row r="21">
      <c r="A21" s="30">
        <f>VLOOKUP(B21,map!B:C,2,false)</f>
        <v>24</v>
      </c>
      <c r="B21" s="31" t="str">
        <f>IFERROR(__xludf.DUMMYFUNCTION("""COMPUTED_VALUE"""),"Las Vegas")</f>
        <v>Las Vegas</v>
      </c>
      <c r="C21" s="32">
        <f>IFERROR(__xludf.DUMMYFUNCTION("""COMPUTED_VALUE"""),1.2319444444437977)</f>
        <v>1.231944444</v>
      </c>
      <c r="D21" s="32">
        <f>IFERROR(__xludf.DUMMYFUNCTION("""COMPUTED_VALUE"""),1.242361111111677)</f>
        <v>1.242361111</v>
      </c>
      <c r="E21" s="32">
        <f>IFERROR(__xludf.DUMMYFUNCTION("""COMPUTED_VALUE"""),1.1458333333321207)</f>
        <v>1.145833333</v>
      </c>
      <c r="F21" s="32">
        <f>IFERROR(__xludf.DUMMYFUNCTION("""COMPUTED_VALUE"""),1.1340277777781012)</f>
        <v>1.134027778</v>
      </c>
      <c r="G21" s="32">
        <f>IFERROR(__xludf.DUMMYFUNCTION("""COMPUTED_VALUE"""),1.3291666666664241)</f>
        <v>1.329166667</v>
      </c>
      <c r="H21" s="32">
        <f>IFERROR(__xludf.DUMMYFUNCTION("""COMPUTED_VALUE"""),1.1902777777795563)</f>
        <v>1.190277778</v>
      </c>
      <c r="I21" s="33">
        <f t="shared" si="1"/>
        <v>1.212268519</v>
      </c>
    </row>
    <row r="22">
      <c r="A22" s="30">
        <f>VLOOKUP(B22,map!B:C,2,false)</f>
        <v>11</v>
      </c>
      <c r="B22" s="31" t="str">
        <f>IFERROR(__xludf.DUMMYFUNCTION("""COMPUTED_VALUE"""),"Buffalo")</f>
        <v>Buffalo</v>
      </c>
      <c r="C22" s="32">
        <f>IFERROR(__xludf.DUMMYFUNCTION("""COMPUTED_VALUE"""),1.2312500000007276)</f>
        <v>1.23125</v>
      </c>
      <c r="D22" s="32">
        <f>IFERROR(__xludf.DUMMYFUNCTION("""COMPUTED_VALUE"""),1.3173611111124046)</f>
        <v>1.317361111</v>
      </c>
      <c r="E22" s="32">
        <f>IFERROR(__xludf.DUMMYFUNCTION("""COMPUTED_VALUE"""),1.585416666664969)</f>
        <v>1.585416667</v>
      </c>
      <c r="F22" s="32">
        <f>IFERROR(__xludf.DUMMYFUNCTION("""COMPUTED_VALUE"""),1.241666666664969)</f>
        <v>1.241666667</v>
      </c>
      <c r="G22" s="32">
        <f>IFERROR(__xludf.DUMMYFUNCTION("""COMPUTED_VALUE"""),1.2256944444452529)</f>
        <v>1.225694444</v>
      </c>
      <c r="H22" s="32">
        <f>IFERROR(__xludf.DUMMYFUNCTION("""COMPUTED_VALUE"""),1.3368055555547471)</f>
        <v>1.336805556</v>
      </c>
      <c r="I22" s="33">
        <f t="shared" si="1"/>
        <v>1.323032407</v>
      </c>
    </row>
    <row r="23">
      <c r="A23" s="30">
        <f>VLOOKUP(B23,map!B:C,2,false)</f>
        <v>9</v>
      </c>
      <c r="B23" s="31" t="str">
        <f>IFERROR(__xludf.DUMMYFUNCTION("""COMPUTED_VALUE"""),"New Orleans")</f>
        <v>New Orleans</v>
      </c>
      <c r="C23" s="32">
        <f>IFERROR(__xludf.DUMMYFUNCTION("""COMPUTED_VALUE"""),1.2090277777788287)</f>
        <v>1.209027778</v>
      </c>
      <c r="D23" s="32">
        <f>IFERROR(__xludf.DUMMYFUNCTION("""COMPUTED_VALUE"""),1.132638888888323)</f>
        <v>1.132638889</v>
      </c>
      <c r="E23" s="32">
        <f>IFERROR(__xludf.DUMMYFUNCTION("""COMPUTED_VALUE"""),1.202777777776646)</f>
        <v>1.202777778</v>
      </c>
      <c r="F23" s="32">
        <f>IFERROR(__xludf.DUMMYFUNCTION("""COMPUTED_VALUE"""),1.21944444444307)</f>
        <v>1.219444444</v>
      </c>
      <c r="G23" s="32">
        <f>IFERROR(__xludf.DUMMYFUNCTION("""COMPUTED_VALUE"""),1.1993055555540195)</f>
        <v>1.199305556</v>
      </c>
      <c r="H23" s="32">
        <f>IFERROR(__xludf.DUMMYFUNCTION("""COMPUTED_VALUE"""),1.2986111111094942)</f>
        <v>1.298611111</v>
      </c>
      <c r="I23" s="33">
        <f t="shared" si="1"/>
        <v>1.210300926</v>
      </c>
    </row>
    <row r="24">
      <c r="A24" s="30">
        <f>VLOOKUP(B24,map!B:C,2,false)</f>
        <v>3</v>
      </c>
      <c r="B24" s="31" t="str">
        <f>IFERROR(__xludf.DUMMYFUNCTION("""COMPUTED_VALUE"""),"Minnesota")</f>
        <v>Minnesota</v>
      </c>
      <c r="C24" s="32">
        <f>IFERROR(__xludf.DUMMYFUNCTION("""COMPUTED_VALUE"""),1.203472222223354)</f>
        <v>1.203472222</v>
      </c>
      <c r="D24" s="32">
        <f>IFERROR(__xludf.DUMMYFUNCTION("""COMPUTED_VALUE"""),1.2215277777795563)</f>
        <v>1.221527778</v>
      </c>
      <c r="E24" s="32">
        <f>IFERROR(__xludf.DUMMYFUNCTION("""COMPUTED_VALUE"""),1.0993055555554747)</f>
        <v>1.099305556</v>
      </c>
      <c r="F24" s="32">
        <f>IFERROR(__xludf.DUMMYFUNCTION("""COMPUTED_VALUE"""),1.18680555555693)</f>
        <v>1.186805556</v>
      </c>
      <c r="G24" s="32">
        <f>IFERROR(__xludf.DUMMYFUNCTION("""COMPUTED_VALUE"""),1.2166666666671517)</f>
        <v>1.216666667</v>
      </c>
      <c r="H24" s="32">
        <f>IFERROR(__xludf.DUMMYFUNCTION("""COMPUTED_VALUE"""),1.2138888888875954)</f>
        <v>1.213888889</v>
      </c>
      <c r="I24" s="33">
        <f t="shared" si="1"/>
        <v>1.190277778</v>
      </c>
    </row>
    <row r="25">
      <c r="A25" s="30">
        <f>VLOOKUP(B25,map!B:C,2,false)</f>
        <v>22</v>
      </c>
      <c r="B25" s="31" t="str">
        <f>IFERROR(__xludf.DUMMYFUNCTION("""COMPUTED_VALUE"""),"New England")</f>
        <v>New England</v>
      </c>
      <c r="C25" s="32">
        <f>IFERROR(__xludf.DUMMYFUNCTION("""COMPUTED_VALUE"""),1.1888888888897782)</f>
        <v>1.188888889</v>
      </c>
      <c r="D25" s="32">
        <f>IFERROR(__xludf.DUMMYFUNCTION("""COMPUTED_VALUE"""),1.2000000000007276)</f>
        <v>1.2</v>
      </c>
      <c r="E25" s="32">
        <f>IFERROR(__xludf.DUMMYFUNCTION("""COMPUTED_VALUE"""),1.2680555555562023)</f>
        <v>1.268055556</v>
      </c>
      <c r="F25" s="32">
        <f>IFERROR(__xludf.DUMMYFUNCTION("""COMPUTED_VALUE"""),1.241666666664969)</f>
        <v>1.241666667</v>
      </c>
      <c r="G25" s="32">
        <f>IFERROR(__xludf.DUMMYFUNCTION("""COMPUTED_VALUE"""),1.1368055555540195)</f>
        <v>1.136805556</v>
      </c>
      <c r="H25" s="32">
        <f>IFERROR(__xludf.DUMMYFUNCTION("""COMPUTED_VALUE"""),1.1680555555540195)</f>
        <v>1.168055556</v>
      </c>
      <c r="I25" s="33">
        <f t="shared" si="1"/>
        <v>1.200578704</v>
      </c>
    </row>
    <row r="26">
      <c r="A26" s="30">
        <f>VLOOKUP(B26,map!B:C,2,false)</f>
        <v>6</v>
      </c>
      <c r="B26" s="31" t="str">
        <f>IFERROR(__xludf.DUMMYFUNCTION("""COMPUTED_VALUE"""),"Jacksonville")</f>
        <v>Jacksonville</v>
      </c>
      <c r="C26" s="32">
        <f>IFERROR(__xludf.DUMMYFUNCTION("""COMPUTED_VALUE"""),1.1687500000007276)</f>
        <v>1.16875</v>
      </c>
      <c r="D26" s="32">
        <f>IFERROR(__xludf.DUMMYFUNCTION("""COMPUTED_VALUE"""),1.2277777777781012)</f>
        <v>1.227777778</v>
      </c>
      <c r="E26" s="32">
        <f>IFERROR(__xludf.DUMMYFUNCTION("""COMPUTED_VALUE"""),1.0770833333335759)</f>
        <v>1.077083333</v>
      </c>
      <c r="F26" s="32">
        <f>IFERROR(__xludf.DUMMYFUNCTION("""COMPUTED_VALUE"""),1.109722222223354)</f>
        <v>1.109722222</v>
      </c>
      <c r="G26" s="32">
        <f>IFERROR(__xludf.DUMMYFUNCTION("""COMPUTED_VALUE"""),1.203472222223354)</f>
        <v>1.203472222</v>
      </c>
      <c r="H26" s="32">
        <f>IFERROR(__xludf.DUMMYFUNCTION("""COMPUTED_VALUE"""),1.2756944444445253)</f>
        <v>1.275694444</v>
      </c>
      <c r="I26" s="33">
        <f t="shared" si="1"/>
        <v>1.177083333</v>
      </c>
    </row>
    <row r="27">
      <c r="A27" s="30">
        <f>VLOOKUP(B27,map!B:C,2,false)</f>
        <v>4</v>
      </c>
      <c r="B27" s="31" t="str">
        <f>IFERROR(__xludf.DUMMYFUNCTION("""COMPUTED_VALUE"""),"Cincinnati")</f>
        <v>Cincinnati</v>
      </c>
      <c r="C27" s="32">
        <f>IFERROR(__xludf.DUMMYFUNCTION("""COMPUTED_VALUE"""),1.163888888888323)</f>
        <v>1.163888889</v>
      </c>
      <c r="D27" s="32">
        <f>IFERROR(__xludf.DUMMYFUNCTION("""COMPUTED_VALUE"""),1.1055555555540195)</f>
        <v>1.105555556</v>
      </c>
      <c r="E27" s="32">
        <f>IFERROR(__xludf.DUMMYFUNCTION("""COMPUTED_VALUE"""),1.1749999999992724)</f>
        <v>1.175</v>
      </c>
      <c r="F27" s="32">
        <f>IFERROR(__xludf.DUMMYFUNCTION("""COMPUTED_VALUE"""),1.1631944444452529)</f>
        <v>1.163194444</v>
      </c>
      <c r="G27" s="32">
        <f>IFERROR(__xludf.DUMMYFUNCTION("""COMPUTED_VALUE"""),1.164583333335031)</f>
        <v>1.164583333</v>
      </c>
      <c r="H27" s="32">
        <f>IFERROR(__xludf.DUMMYFUNCTION("""COMPUTED_VALUE"""),1.2694444444459805)</f>
        <v>1.269444444</v>
      </c>
      <c r="I27" s="33">
        <f t="shared" si="1"/>
        <v>1.173611111</v>
      </c>
    </row>
    <row r="28">
      <c r="A28" s="30">
        <f>VLOOKUP(B28,map!B:C,2,false)</f>
        <v>21</v>
      </c>
      <c r="B28" s="31" t="str">
        <f>IFERROR(__xludf.DUMMYFUNCTION("""COMPUTED_VALUE"""),"Arizona")</f>
        <v>Arizona</v>
      </c>
      <c r="C28" s="32">
        <f>IFERROR(__xludf.DUMMYFUNCTION("""COMPUTED_VALUE"""),1.15555555555693)</f>
        <v>1.155555556</v>
      </c>
      <c r="D28" s="32">
        <f>IFERROR(__xludf.DUMMYFUNCTION("""COMPUTED_VALUE"""),1.0923611111102218)</f>
        <v>1.092361111</v>
      </c>
      <c r="E28" s="32">
        <f>IFERROR(__xludf.DUMMYFUNCTION("""COMPUTED_VALUE"""),1.2284722222211713)</f>
        <v>1.228472222</v>
      </c>
      <c r="F28" s="32">
        <f>IFERROR(__xludf.DUMMYFUNCTION("""COMPUTED_VALUE"""),1.171527777776646)</f>
        <v>1.171527778</v>
      </c>
      <c r="G28" s="32">
        <f>IFERROR(__xludf.DUMMYFUNCTION("""COMPUTED_VALUE"""),1.1395833333335759)</f>
        <v>1.139583333</v>
      </c>
      <c r="H28" s="32">
        <f>IFERROR(__xludf.DUMMYFUNCTION("""COMPUTED_VALUE"""),1.2201388888897782)</f>
        <v>1.220138889</v>
      </c>
      <c r="I28" s="33">
        <f t="shared" si="1"/>
        <v>1.167939815</v>
      </c>
    </row>
    <row r="29">
      <c r="A29" s="30">
        <f>VLOOKUP(B29,map!B:C,2,false)</f>
        <v>23</v>
      </c>
      <c r="B29" s="31" t="str">
        <f>IFERROR(__xludf.DUMMYFUNCTION("""COMPUTED_VALUE"""),"Carolina")</f>
        <v>Carolina</v>
      </c>
      <c r="C29" s="32">
        <f>IFERROR(__xludf.DUMMYFUNCTION("""COMPUTED_VALUE"""),1.1527777777773736)</f>
        <v>1.152777778</v>
      </c>
      <c r="D29" s="32">
        <f>IFERROR(__xludf.DUMMYFUNCTION("""COMPUTED_VALUE"""),1.12569444444307)</f>
        <v>1.125694444</v>
      </c>
      <c r="E29" s="32">
        <f>IFERROR(__xludf.DUMMYFUNCTION("""COMPUTED_VALUE"""),1.1180555555547471)</f>
        <v>1.118055556</v>
      </c>
      <c r="F29" s="32">
        <f>IFERROR(__xludf.DUMMYFUNCTION("""COMPUTED_VALUE"""),1.1673611111109494)</f>
        <v>1.167361111</v>
      </c>
      <c r="G29" s="32">
        <f>IFERROR(__xludf.DUMMYFUNCTION("""COMPUTED_VALUE"""),1.1444444444459805)</f>
        <v>1.144444444</v>
      </c>
      <c r="H29" s="32">
        <f>IFERROR(__xludf.DUMMYFUNCTION("""COMPUTED_VALUE"""),1.2958333333335759)</f>
        <v>1.295833333</v>
      </c>
      <c r="I29" s="33">
        <f t="shared" si="1"/>
        <v>1.167361111</v>
      </c>
    </row>
    <row r="30">
      <c r="A30" s="30">
        <f>VLOOKUP(B30,map!B:C,2,false)</f>
        <v>13</v>
      </c>
      <c r="B30" s="31" t="str">
        <f>IFERROR(__xludf.DUMMYFUNCTION("""COMPUTED_VALUE"""),"Seattle")</f>
        <v>Seattle</v>
      </c>
      <c r="C30" s="32">
        <f>IFERROR(__xludf.DUMMYFUNCTION("""COMPUTED_VALUE"""),1.1500000000014552)</f>
        <v>1.15</v>
      </c>
      <c r="D30" s="32">
        <f>IFERROR(__xludf.DUMMYFUNCTION("""COMPUTED_VALUE"""),1.0798611111094942)</f>
        <v>1.079861111</v>
      </c>
      <c r="E30" s="34">
        <f>IFERROR(__xludf.DUMMYFUNCTION("""COMPUTED_VALUE"""),0.9145833333350311)</f>
        <v>0.9145833333</v>
      </c>
      <c r="F30" s="32">
        <f>IFERROR(__xludf.DUMMYFUNCTION("""COMPUTED_VALUE"""),1.0979166666656965)</f>
        <v>1.097916667</v>
      </c>
      <c r="G30" s="32">
        <f>IFERROR(__xludf.DUMMYFUNCTION("""COMPUTED_VALUE"""),1.2361111111094942)</f>
        <v>1.236111111</v>
      </c>
      <c r="H30" s="32">
        <f>IFERROR(__xludf.DUMMYFUNCTION("""COMPUTED_VALUE"""),1.109722222223354)</f>
        <v>1.109722222</v>
      </c>
      <c r="I30" s="33">
        <f t="shared" si="1"/>
        <v>1.098032407</v>
      </c>
    </row>
    <row r="31">
      <c r="A31" s="30">
        <f>VLOOKUP(B31,map!B:C,2,false)</f>
        <v>1</v>
      </c>
      <c r="B31" s="31" t="str">
        <f>IFERROR(__xludf.DUMMYFUNCTION("""COMPUTED_VALUE"""),"Dallas")</f>
        <v>Dallas</v>
      </c>
      <c r="C31" s="32">
        <f>IFERROR(__xludf.DUMMYFUNCTION("""COMPUTED_VALUE"""),1.1472222222218988)</f>
        <v>1.147222222</v>
      </c>
      <c r="D31" s="32">
        <f>IFERROR(__xludf.DUMMYFUNCTION("""COMPUTED_VALUE"""),1.1743055555562023)</f>
        <v>1.174305556</v>
      </c>
      <c r="E31" s="32">
        <f>IFERROR(__xludf.DUMMYFUNCTION("""COMPUTED_VALUE"""),1.116666666664969)</f>
        <v>1.116666667</v>
      </c>
      <c r="F31" s="32">
        <f>IFERROR(__xludf.DUMMYFUNCTION("""COMPUTED_VALUE"""),1.1111111111094942)</f>
        <v>1.111111111</v>
      </c>
      <c r="G31" s="32">
        <f>IFERROR(__xludf.DUMMYFUNCTION("""COMPUTED_VALUE"""),1.1743055555562023)</f>
        <v>1.174305556</v>
      </c>
      <c r="H31" s="32">
        <f>IFERROR(__xludf.DUMMYFUNCTION("""COMPUTED_VALUE"""),1.3229166666678793)</f>
        <v>1.322916667</v>
      </c>
      <c r="I31" s="33">
        <f t="shared" si="1"/>
        <v>1.174421296</v>
      </c>
    </row>
    <row r="32">
      <c r="A32" s="30">
        <f>VLOOKUP(B32,map!B:C,2,false)</f>
        <v>28</v>
      </c>
      <c r="B32" s="31" t="str">
        <f>IFERROR(__xludf.DUMMYFUNCTION("""COMPUTED_VALUE"""),"Atlanta")</f>
        <v>Atlanta</v>
      </c>
      <c r="C32" s="32">
        <f>IFERROR(__xludf.DUMMYFUNCTION("""COMPUTED_VALUE"""),1.1437499999992724)</f>
        <v>1.14375</v>
      </c>
      <c r="D32" s="32">
        <f>IFERROR(__xludf.DUMMYFUNCTION("""COMPUTED_VALUE"""),1.2388888888890506)</f>
        <v>1.238888889</v>
      </c>
      <c r="E32" s="32">
        <f>IFERROR(__xludf.DUMMYFUNCTION("""COMPUTED_VALUE"""),1.1430555555562023)</f>
        <v>1.143055556</v>
      </c>
      <c r="F32" s="32">
        <f>IFERROR(__xludf.DUMMYFUNCTION("""COMPUTED_VALUE"""),1.1437499999992724)</f>
        <v>1.14375</v>
      </c>
      <c r="G32" s="32">
        <f>IFERROR(__xludf.DUMMYFUNCTION("""COMPUTED_VALUE"""),1.1451388888890506)</f>
        <v>1.145138889</v>
      </c>
      <c r="H32" s="32">
        <f>IFERROR(__xludf.DUMMYFUNCTION("""COMPUTED_VALUE"""),1.2145833333343035)</f>
        <v>1.214583333</v>
      </c>
      <c r="I32" s="33">
        <f t="shared" si="1"/>
        <v>1.171527778</v>
      </c>
    </row>
    <row r="33">
      <c r="A33" s="30">
        <f>VLOOKUP(B33,map!B:C,2,false)</f>
        <v>20</v>
      </c>
      <c r="B33" s="31" t="str">
        <f>IFERROR(__xludf.DUMMYFUNCTION("""COMPUTED_VALUE"""),"Indianapolis")</f>
        <v>Indianapolis</v>
      </c>
      <c r="C33" s="32">
        <f>IFERROR(__xludf.DUMMYFUNCTION("""COMPUTED_VALUE"""),1.0840277777788287)</f>
        <v>1.084027778</v>
      </c>
      <c r="D33" s="32">
        <f>IFERROR(__xludf.DUMMYFUNCTION("""COMPUTED_VALUE"""),1.1520833333343035)</f>
        <v>1.152083333</v>
      </c>
      <c r="E33" s="34">
        <f>IFERROR(__xludf.DUMMYFUNCTION("""COMPUTED_VALUE"""),1.0277777777773736)</f>
        <v>1.027777778</v>
      </c>
      <c r="F33" s="32">
        <f>IFERROR(__xludf.DUMMYFUNCTION("""COMPUTED_VALUE"""),1.0694444444452529)</f>
        <v>1.069444444</v>
      </c>
      <c r="G33" s="32">
        <f>IFERROR(__xludf.DUMMYFUNCTION("""COMPUTED_VALUE"""),1.0986111111124046)</f>
        <v>1.098611111</v>
      </c>
      <c r="H33" s="32">
        <f>IFERROR(__xludf.DUMMYFUNCTION("""COMPUTED_VALUE"""),1.2069444444459805)</f>
        <v>1.206944444</v>
      </c>
      <c r="I33" s="33">
        <f t="shared" si="1"/>
        <v>1.106481481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IFERROR(__xludf.DUMMYFUNCTION("QUERY(IMPORTHTML(""https://www.teamrankings.com/nfl/stat/yards-per-game?date=""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30</v>
      </c>
      <c r="B2" s="31" t="str">
        <f>IFERROR(__xludf.DUMMYFUNCTION("""COMPUTED_VALUE"""),"Baltimore")</f>
        <v>Baltimore</v>
      </c>
      <c r="C2" s="35">
        <f>IFERROR(__xludf.DUMMYFUNCTION("""COMPUTED_VALUE"""),452.1)</f>
        <v>452.1</v>
      </c>
      <c r="D2" s="35">
        <f>IFERROR(__xludf.DUMMYFUNCTION("""COMPUTED_VALUE"""),459.7)</f>
        <v>459.7</v>
      </c>
      <c r="E2" s="35">
        <f>IFERROR(__xludf.DUMMYFUNCTION("""COMPUTED_VALUE"""),387.0)</f>
        <v>387</v>
      </c>
      <c r="F2" s="35">
        <f>IFERROR(__xludf.DUMMYFUNCTION("""COMPUTED_VALUE"""),431.3)</f>
        <v>431.3</v>
      </c>
      <c r="G2" s="35">
        <f>IFERROR(__xludf.DUMMYFUNCTION("""COMPUTED_VALUE"""),464.6)</f>
        <v>464.6</v>
      </c>
      <c r="H2" s="35">
        <f>IFERROR(__xludf.DUMMYFUNCTION("""COMPUTED_VALUE"""),367.6)</f>
        <v>367.6</v>
      </c>
      <c r="I2" s="4">
        <f t="shared" ref="I2:I33" si="1">AVERAGE(C2:H2)</f>
        <v>427.05</v>
      </c>
    </row>
    <row r="3">
      <c r="A3" s="30">
        <f>VLOOKUP(B3,map!B:C,2,false)</f>
        <v>25</v>
      </c>
      <c r="B3" s="31" t="str">
        <f>IFERROR(__xludf.DUMMYFUNCTION("""COMPUTED_VALUE"""),"San Francisco")</f>
        <v>San Francisco</v>
      </c>
      <c r="C3" s="35">
        <f>IFERROR(__xludf.DUMMYFUNCTION("""COMPUTED_VALUE"""),412.4)</f>
        <v>412.4</v>
      </c>
      <c r="D3" s="35">
        <f>IFERROR(__xludf.DUMMYFUNCTION("""COMPUTED_VALUE"""),420.7)</f>
        <v>420.7</v>
      </c>
      <c r="E3" s="35">
        <f>IFERROR(__xludf.DUMMYFUNCTION("""COMPUTED_VALUE"""),469.0)</f>
        <v>469</v>
      </c>
      <c r="F3" s="35">
        <f>IFERROR(__xludf.DUMMYFUNCTION("""COMPUTED_VALUE"""),399.0)</f>
        <v>399</v>
      </c>
      <c r="G3" s="35">
        <f>IFERROR(__xludf.DUMMYFUNCTION("""COMPUTED_VALUE"""),434.7)</f>
        <v>434.7</v>
      </c>
      <c r="H3" s="35">
        <f>IFERROR(__xludf.DUMMYFUNCTION("""COMPUTED_VALUE"""),396.2)</f>
        <v>396.2</v>
      </c>
      <c r="I3" s="4">
        <f t="shared" si="1"/>
        <v>422</v>
      </c>
    </row>
    <row r="4">
      <c r="A4" s="30">
        <f>VLOOKUP(B4,map!B:C,2,false)</f>
        <v>8</v>
      </c>
      <c r="B4" s="31" t="str">
        <f>IFERROR(__xludf.DUMMYFUNCTION("""COMPUTED_VALUE"""),"Washington")</f>
        <v>Washington</v>
      </c>
      <c r="C4" s="35">
        <f>IFERROR(__xludf.DUMMYFUNCTION("""COMPUTED_VALUE"""),396.3)</f>
        <v>396.3</v>
      </c>
      <c r="D4" s="35">
        <f>IFERROR(__xludf.DUMMYFUNCTION("""COMPUTED_VALUE"""),402.3)</f>
        <v>402.3</v>
      </c>
      <c r="E4" s="35">
        <f>IFERROR(__xludf.DUMMYFUNCTION("""COMPUTED_VALUE"""),481.0)</f>
        <v>481</v>
      </c>
      <c r="F4" s="35">
        <f>IFERROR(__xludf.DUMMYFUNCTION("""COMPUTED_VALUE"""),440.3)</f>
        <v>440.3</v>
      </c>
      <c r="G4" s="35">
        <f>IFERROR(__xludf.DUMMYFUNCTION("""COMPUTED_VALUE"""),352.3)</f>
        <v>352.3</v>
      </c>
      <c r="H4" s="35">
        <f>IFERROR(__xludf.DUMMYFUNCTION("""COMPUTED_VALUE"""),312.8)</f>
        <v>312.8</v>
      </c>
      <c r="I4" s="4">
        <f t="shared" si="1"/>
        <v>397.5</v>
      </c>
    </row>
    <row r="5">
      <c r="A5" s="30">
        <f>VLOOKUP(B5,map!B:C,2,false)</f>
        <v>14</v>
      </c>
      <c r="B5" s="31" t="str">
        <f>IFERROR(__xludf.DUMMYFUNCTION("""COMPUTED_VALUE"""),"Tampa Bay")</f>
        <v>Tampa Bay</v>
      </c>
      <c r="C5" s="35">
        <f>IFERROR(__xludf.DUMMYFUNCTION("""COMPUTED_VALUE"""),389.5)</f>
        <v>389.5</v>
      </c>
      <c r="D5" s="35">
        <f>IFERROR(__xludf.DUMMYFUNCTION("""COMPUTED_VALUE"""),502.3)</f>
        <v>502.3</v>
      </c>
      <c r="E5" s="35">
        <f>IFERROR(__xludf.DUMMYFUNCTION("""COMPUTED_VALUE"""),432.0)</f>
        <v>432</v>
      </c>
      <c r="F5" s="35">
        <f>IFERROR(__xludf.DUMMYFUNCTION("""COMPUTED_VALUE"""),394.6)</f>
        <v>394.6</v>
      </c>
      <c r="G5" s="35">
        <f>IFERROR(__xludf.DUMMYFUNCTION("""COMPUTED_VALUE"""),381.0)</f>
        <v>381</v>
      </c>
      <c r="H5" s="35">
        <f>IFERROR(__xludf.DUMMYFUNCTION("""COMPUTED_VALUE"""),323.9)</f>
        <v>323.9</v>
      </c>
      <c r="I5" s="4">
        <f t="shared" si="1"/>
        <v>403.8833333</v>
      </c>
    </row>
    <row r="6">
      <c r="A6" s="30">
        <f>VLOOKUP(B6,map!B:C,2,false)</f>
        <v>15</v>
      </c>
      <c r="B6" s="31" t="str">
        <f>IFERROR(__xludf.DUMMYFUNCTION("""COMPUTED_VALUE"""),"Green Bay")</f>
        <v>Green Bay</v>
      </c>
      <c r="C6" s="35">
        <f>IFERROR(__xludf.DUMMYFUNCTION("""COMPUTED_VALUE"""),387.4)</f>
        <v>387.4</v>
      </c>
      <c r="D6" s="35">
        <f>IFERROR(__xludf.DUMMYFUNCTION("""COMPUTED_VALUE"""),378.7)</f>
        <v>378.7</v>
      </c>
      <c r="E6" s="35">
        <f>IFERROR(__xludf.DUMMYFUNCTION("""COMPUTED_VALUE"""),422.0)</f>
        <v>422</v>
      </c>
      <c r="F6" s="35">
        <f>IFERROR(__xludf.DUMMYFUNCTION("""COMPUTED_VALUE"""),390.5)</f>
        <v>390.5</v>
      </c>
      <c r="G6" s="35">
        <f>IFERROR(__xludf.DUMMYFUNCTION("""COMPUTED_VALUE"""),384.3)</f>
        <v>384.3</v>
      </c>
      <c r="H6" s="35">
        <f>IFERROR(__xludf.DUMMYFUNCTION("""COMPUTED_VALUE"""),348.3)</f>
        <v>348.3</v>
      </c>
      <c r="I6" s="4">
        <f t="shared" si="1"/>
        <v>385.2</v>
      </c>
    </row>
    <row r="7">
      <c r="A7" s="30">
        <f>VLOOKUP(B7,map!B:C,2,false)</f>
        <v>5</v>
      </c>
      <c r="B7" s="31" t="str">
        <f>IFERROR(__xludf.DUMMYFUNCTION("""COMPUTED_VALUE"""),"Detroit")</f>
        <v>Detroit</v>
      </c>
      <c r="C7" s="35">
        <f>IFERROR(__xludf.DUMMYFUNCTION("""COMPUTED_VALUE"""),385.1)</f>
        <v>385.1</v>
      </c>
      <c r="D7" s="35">
        <f>IFERROR(__xludf.DUMMYFUNCTION("""COMPUTED_VALUE"""),369.3)</f>
        <v>369.3</v>
      </c>
      <c r="E7" s="35">
        <f>IFERROR(__xludf.DUMMYFUNCTION("""COMPUTED_VALUE"""),225.0)</f>
        <v>225</v>
      </c>
      <c r="F7" s="35">
        <f>IFERROR(__xludf.DUMMYFUNCTION("""COMPUTED_VALUE"""),360.0)</f>
        <v>360</v>
      </c>
      <c r="G7" s="35">
        <f>IFERROR(__xludf.DUMMYFUNCTION("""COMPUTED_VALUE"""),418.7)</f>
        <v>418.7</v>
      </c>
      <c r="H7" s="35">
        <f>IFERROR(__xludf.DUMMYFUNCTION("""COMPUTED_VALUE"""),394.0)</f>
        <v>394</v>
      </c>
      <c r="I7" s="4">
        <f t="shared" si="1"/>
        <v>358.6833333</v>
      </c>
    </row>
    <row r="8">
      <c r="A8" s="30">
        <f>VLOOKUP(B8,map!B:C,2,false)</f>
        <v>28</v>
      </c>
      <c r="B8" s="31" t="str">
        <f>IFERROR(__xludf.DUMMYFUNCTION("""COMPUTED_VALUE"""),"Atlanta")</f>
        <v>Atlanta</v>
      </c>
      <c r="C8" s="35">
        <f>IFERROR(__xludf.DUMMYFUNCTION("""COMPUTED_VALUE"""),371.6)</f>
        <v>371.6</v>
      </c>
      <c r="D8" s="35">
        <f>IFERROR(__xludf.DUMMYFUNCTION("""COMPUTED_VALUE"""),395.3)</f>
        <v>395.3</v>
      </c>
      <c r="E8" s="35">
        <f>IFERROR(__xludf.DUMMYFUNCTION("""COMPUTED_VALUE"""),394.0)</f>
        <v>394</v>
      </c>
      <c r="F8" s="35">
        <f>IFERROR(__xludf.DUMMYFUNCTION("""COMPUTED_VALUE"""),354.2)</f>
        <v>354.2</v>
      </c>
      <c r="G8" s="35">
        <f>IFERROR(__xludf.DUMMYFUNCTION("""COMPUTED_VALUE"""),400.7)</f>
        <v>400.7</v>
      </c>
      <c r="H8" s="35">
        <f>IFERROR(__xludf.DUMMYFUNCTION("""COMPUTED_VALUE"""),334.3)</f>
        <v>334.3</v>
      </c>
      <c r="I8" s="4">
        <f t="shared" si="1"/>
        <v>375.0166667</v>
      </c>
    </row>
    <row r="9">
      <c r="A9" s="30">
        <f>VLOOKUP(B9,map!B:C,2,false)</f>
        <v>12</v>
      </c>
      <c r="B9" s="31" t="str">
        <f>IFERROR(__xludf.DUMMYFUNCTION("""COMPUTED_VALUE"""),"Philadelphia")</f>
        <v>Philadelphia</v>
      </c>
      <c r="C9" s="35">
        <f>IFERROR(__xludf.DUMMYFUNCTION("""COMPUTED_VALUE"""),367.1)</f>
        <v>367.1</v>
      </c>
      <c r="D9" s="35">
        <f>IFERROR(__xludf.DUMMYFUNCTION("""COMPUTED_VALUE"""),369.3)</f>
        <v>369.3</v>
      </c>
      <c r="E9" s="35">
        <f>IFERROR(__xludf.DUMMYFUNCTION("""COMPUTED_VALUE"""),397.0)</f>
        <v>397</v>
      </c>
      <c r="F9" s="35">
        <f>IFERROR(__xludf.DUMMYFUNCTION("""COMPUTED_VALUE"""),368.5)</f>
        <v>368.5</v>
      </c>
      <c r="G9" s="35">
        <f>IFERROR(__xludf.DUMMYFUNCTION("""COMPUTED_VALUE"""),366.6)</f>
        <v>366.6</v>
      </c>
      <c r="H9" s="35">
        <f>IFERROR(__xludf.DUMMYFUNCTION("""COMPUTED_VALUE"""),350.0)</f>
        <v>350</v>
      </c>
      <c r="I9" s="4">
        <f t="shared" si="1"/>
        <v>369.75</v>
      </c>
    </row>
    <row r="10">
      <c r="A10" s="30">
        <f>VLOOKUP(B10,map!B:C,2,false)</f>
        <v>17</v>
      </c>
      <c r="B10" s="31" t="str">
        <f>IFERROR(__xludf.DUMMYFUNCTION("""COMPUTED_VALUE"""),"Houston")</f>
        <v>Houston</v>
      </c>
      <c r="C10" s="35">
        <f>IFERROR(__xludf.DUMMYFUNCTION("""COMPUTED_VALUE"""),351.4)</f>
        <v>351.4</v>
      </c>
      <c r="D10" s="35">
        <f>IFERROR(__xludf.DUMMYFUNCTION("""COMPUTED_VALUE"""),309.3)</f>
        <v>309.3</v>
      </c>
      <c r="E10" s="35">
        <f>IFERROR(__xludf.DUMMYFUNCTION("""COMPUTED_VALUE"""),363.0)</f>
        <v>363</v>
      </c>
      <c r="F10" s="35">
        <f>IFERROR(__xludf.DUMMYFUNCTION("""COMPUTED_VALUE"""),383.3)</f>
        <v>383.3</v>
      </c>
      <c r="G10" s="35">
        <f>IFERROR(__xludf.DUMMYFUNCTION("""COMPUTED_VALUE"""),319.5)</f>
        <v>319.5</v>
      </c>
      <c r="H10" s="35">
        <f>IFERROR(__xludf.DUMMYFUNCTION("""COMPUTED_VALUE"""),336.3)</f>
        <v>336.3</v>
      </c>
      <c r="I10" s="4">
        <f t="shared" si="1"/>
        <v>343.8</v>
      </c>
    </row>
    <row r="11">
      <c r="A11" s="30">
        <f>VLOOKUP(B11,map!B:C,2,false)</f>
        <v>13</v>
      </c>
      <c r="B11" s="31" t="str">
        <f>IFERROR(__xludf.DUMMYFUNCTION("""COMPUTED_VALUE"""),"Seattle")</f>
        <v>Seattle</v>
      </c>
      <c r="C11" s="35">
        <f>IFERROR(__xludf.DUMMYFUNCTION("""COMPUTED_VALUE"""),351.4)</f>
        <v>351.4</v>
      </c>
      <c r="D11" s="35">
        <f>IFERROR(__xludf.DUMMYFUNCTION("""COMPUTED_VALUE"""),310.0)</f>
        <v>310</v>
      </c>
      <c r="E11" s="35">
        <f>IFERROR(__xludf.DUMMYFUNCTION("""COMPUTED_VALUE"""),233.0)</f>
        <v>233</v>
      </c>
      <c r="F11" s="35">
        <f>IFERROR(__xludf.DUMMYFUNCTION("""COMPUTED_VALUE"""),319.6)</f>
        <v>319.6</v>
      </c>
      <c r="G11" s="35">
        <f>IFERROR(__xludf.DUMMYFUNCTION("""COMPUTED_VALUE"""),404.3)</f>
        <v>404.3</v>
      </c>
      <c r="H11" s="35">
        <f>IFERROR(__xludf.DUMMYFUNCTION("""COMPUTED_VALUE"""),322.9)</f>
        <v>322.9</v>
      </c>
      <c r="I11" s="4">
        <f t="shared" si="1"/>
        <v>323.5333333</v>
      </c>
    </row>
    <row r="12">
      <c r="A12" s="30">
        <f>VLOOKUP(B12,map!B:C,2,false)</f>
        <v>2</v>
      </c>
      <c r="B12" s="31" t="str">
        <f>IFERROR(__xludf.DUMMYFUNCTION("""COMPUTED_VALUE"""),"Kansas City")</f>
        <v>Kansas City</v>
      </c>
      <c r="C12" s="35">
        <f>IFERROR(__xludf.DUMMYFUNCTION("""COMPUTED_VALUE"""),348.0)</f>
        <v>348</v>
      </c>
      <c r="D12" s="35">
        <f>IFERROR(__xludf.DUMMYFUNCTION("""COMPUTED_VALUE"""),374.3)</f>
        <v>374.3</v>
      </c>
      <c r="E12" s="35">
        <f>IFERROR(__xludf.DUMMYFUNCTION("""COMPUTED_VALUE"""),334.0)</f>
        <v>334</v>
      </c>
      <c r="F12" s="35">
        <f>IFERROR(__xludf.DUMMYFUNCTION("""COMPUTED_VALUE"""),366.3)</f>
        <v>366.3</v>
      </c>
      <c r="G12" s="35">
        <f>IFERROR(__xludf.DUMMYFUNCTION("""COMPUTED_VALUE"""),334.3)</f>
        <v>334.3</v>
      </c>
      <c r="H12" s="35">
        <f>IFERROR(__xludf.DUMMYFUNCTION("""COMPUTED_VALUE"""),357.9)</f>
        <v>357.9</v>
      </c>
      <c r="I12" s="4">
        <f t="shared" si="1"/>
        <v>352.4666667</v>
      </c>
    </row>
    <row r="13">
      <c r="A13" s="30">
        <f>VLOOKUP(B13,map!B:C,2,false)</f>
        <v>21</v>
      </c>
      <c r="B13" s="31" t="str">
        <f>IFERROR(__xludf.DUMMYFUNCTION("""COMPUTED_VALUE"""),"Arizona")</f>
        <v>Arizona</v>
      </c>
      <c r="C13" s="35">
        <f>IFERROR(__xludf.DUMMYFUNCTION("""COMPUTED_VALUE"""),338.5)</f>
        <v>338.5</v>
      </c>
      <c r="D13" s="35">
        <f>IFERROR(__xludf.DUMMYFUNCTION("""COMPUTED_VALUE"""),339.3)</f>
        <v>339.3</v>
      </c>
      <c r="E13" s="35">
        <f>IFERROR(__xludf.DUMMYFUNCTION("""COMPUTED_VALUE"""),389.0)</f>
        <v>389</v>
      </c>
      <c r="F13" s="35">
        <f>IFERROR(__xludf.DUMMYFUNCTION("""COMPUTED_VALUE"""),347.0)</f>
        <v>347</v>
      </c>
      <c r="G13" s="35">
        <f>IFERROR(__xludf.DUMMYFUNCTION("""COMPUTED_VALUE"""),330.0)</f>
        <v>330</v>
      </c>
      <c r="H13" s="35">
        <f>IFERROR(__xludf.DUMMYFUNCTION("""COMPUTED_VALUE"""),324.1)</f>
        <v>324.1</v>
      </c>
      <c r="I13" s="4">
        <f t="shared" si="1"/>
        <v>344.65</v>
      </c>
    </row>
    <row r="14">
      <c r="A14" s="30">
        <f>VLOOKUP(B14,map!B:C,2,false)</f>
        <v>11</v>
      </c>
      <c r="B14" s="31" t="str">
        <f>IFERROR(__xludf.DUMMYFUNCTION("""COMPUTED_VALUE"""),"Buffalo")</f>
        <v>Buffalo</v>
      </c>
      <c r="C14" s="35">
        <f>IFERROR(__xludf.DUMMYFUNCTION("""COMPUTED_VALUE"""),336.5)</f>
        <v>336.5</v>
      </c>
      <c r="D14" s="35">
        <f>IFERROR(__xludf.DUMMYFUNCTION("""COMPUTED_VALUE"""),397.7)</f>
        <v>397.7</v>
      </c>
      <c r="E14" s="35">
        <f>IFERROR(__xludf.DUMMYFUNCTION("""COMPUTED_VALUE"""),445.0)</f>
        <v>445</v>
      </c>
      <c r="F14" s="35">
        <f>IFERROR(__xludf.DUMMYFUNCTION("""COMPUTED_VALUE"""),376.3)</f>
        <v>376.3</v>
      </c>
      <c r="G14" s="35">
        <f>IFERROR(__xludf.DUMMYFUNCTION("""COMPUTED_VALUE"""),312.6)</f>
        <v>312.6</v>
      </c>
      <c r="H14" s="35">
        <f>IFERROR(__xludf.DUMMYFUNCTION("""COMPUTED_VALUE"""),373.8)</f>
        <v>373.8</v>
      </c>
      <c r="I14" s="4">
        <f t="shared" si="1"/>
        <v>373.65</v>
      </c>
    </row>
    <row r="15">
      <c r="A15" s="30">
        <f>VLOOKUP(B15,map!B:C,2,false)</f>
        <v>6</v>
      </c>
      <c r="B15" s="31" t="str">
        <f>IFERROR(__xludf.DUMMYFUNCTION("""COMPUTED_VALUE"""),"Jacksonville")</f>
        <v>Jacksonville</v>
      </c>
      <c r="C15" s="35">
        <f>IFERROR(__xludf.DUMMYFUNCTION("""COMPUTED_VALUE"""),333.9)</f>
        <v>333.9</v>
      </c>
      <c r="D15" s="35">
        <f>IFERROR(__xludf.DUMMYFUNCTION("""COMPUTED_VALUE"""),344.0)</f>
        <v>344</v>
      </c>
      <c r="E15" s="35">
        <f>IFERROR(__xludf.DUMMYFUNCTION("""COMPUTED_VALUE"""),390.0)</f>
        <v>390</v>
      </c>
      <c r="F15" s="35">
        <f>IFERROR(__xludf.DUMMYFUNCTION("""COMPUTED_VALUE"""),403.3)</f>
        <v>403.3</v>
      </c>
      <c r="G15" s="35">
        <f>IFERROR(__xludf.DUMMYFUNCTION("""COMPUTED_VALUE"""),292.2)</f>
        <v>292.2</v>
      </c>
      <c r="H15" s="35">
        <f>IFERROR(__xludf.DUMMYFUNCTION("""COMPUTED_VALUE"""),339.5)</f>
        <v>339.5</v>
      </c>
      <c r="I15" s="4">
        <f t="shared" si="1"/>
        <v>350.4833333</v>
      </c>
    </row>
    <row r="16">
      <c r="A16" s="30">
        <f>VLOOKUP(B16,map!B:C,2,false)</f>
        <v>1</v>
      </c>
      <c r="B16" s="31" t="str">
        <f>IFERROR(__xludf.DUMMYFUNCTION("""COMPUTED_VALUE"""),"Dallas")</f>
        <v>Dallas</v>
      </c>
      <c r="C16" s="35">
        <f>IFERROR(__xludf.DUMMYFUNCTION("""COMPUTED_VALUE"""),330.1)</f>
        <v>330.1</v>
      </c>
      <c r="D16" s="35">
        <f>IFERROR(__xludf.DUMMYFUNCTION("""COMPUTED_VALUE"""),329.3)</f>
        <v>329.3</v>
      </c>
      <c r="E16" s="35">
        <f>IFERROR(__xludf.DUMMYFUNCTION("""COMPUTED_VALUE"""),292.0)</f>
        <v>292</v>
      </c>
      <c r="F16" s="35">
        <f>IFERROR(__xludf.DUMMYFUNCTION("""COMPUTED_VALUE"""),338.7)</f>
        <v>338.7</v>
      </c>
      <c r="G16" s="35">
        <f>IFERROR(__xludf.DUMMYFUNCTION("""COMPUTED_VALUE"""),323.8)</f>
        <v>323.8</v>
      </c>
      <c r="H16" s="35">
        <f>IFERROR(__xludf.DUMMYFUNCTION("""COMPUTED_VALUE"""),379.3)</f>
        <v>379.3</v>
      </c>
      <c r="I16" s="4">
        <f t="shared" si="1"/>
        <v>332.2</v>
      </c>
    </row>
    <row r="17">
      <c r="A17" s="30">
        <f>VLOOKUP(B17,map!B:C,2,false)</f>
        <v>20</v>
      </c>
      <c r="B17" s="31" t="str">
        <f>IFERROR(__xludf.DUMMYFUNCTION("""COMPUTED_VALUE"""),"Indianapolis")</f>
        <v>Indianapolis</v>
      </c>
      <c r="C17" s="35">
        <f>IFERROR(__xludf.DUMMYFUNCTION("""COMPUTED_VALUE"""),326.0)</f>
        <v>326</v>
      </c>
      <c r="D17" s="35">
        <f>IFERROR(__xludf.DUMMYFUNCTION("""COMPUTED_VALUE"""),285.3)</f>
        <v>285.3</v>
      </c>
      <c r="E17" s="35">
        <f>IFERROR(__xludf.DUMMYFUNCTION("""COMPUTED_VALUE"""),303.0)</f>
        <v>303</v>
      </c>
      <c r="F17" s="35">
        <f>IFERROR(__xludf.DUMMYFUNCTION("""COMPUTED_VALUE"""),312.8)</f>
        <v>312.8</v>
      </c>
      <c r="G17" s="35">
        <f>IFERROR(__xludf.DUMMYFUNCTION("""COMPUTED_VALUE"""),339.3)</f>
        <v>339.3</v>
      </c>
      <c r="H17" s="35">
        <f>IFERROR(__xludf.DUMMYFUNCTION("""COMPUTED_VALUE"""),336.8)</f>
        <v>336.8</v>
      </c>
      <c r="I17" s="4">
        <f t="shared" si="1"/>
        <v>317.2</v>
      </c>
    </row>
    <row r="18">
      <c r="A18" s="30">
        <f>VLOOKUP(B18,map!B:C,2,false)</f>
        <v>4</v>
      </c>
      <c r="B18" s="31" t="str">
        <f>IFERROR(__xludf.DUMMYFUNCTION("""COMPUTED_VALUE"""),"Cincinnati")</f>
        <v>Cincinnati</v>
      </c>
      <c r="C18" s="35">
        <f>IFERROR(__xludf.DUMMYFUNCTION("""COMPUTED_VALUE"""),325.3)</f>
        <v>325.3</v>
      </c>
      <c r="D18" s="35">
        <f>IFERROR(__xludf.DUMMYFUNCTION("""COMPUTED_VALUE"""),269.0)</f>
        <v>269</v>
      </c>
      <c r="E18" s="35">
        <f>IFERROR(__xludf.DUMMYFUNCTION("""COMPUTED_VALUE"""),280.0)</f>
        <v>280</v>
      </c>
      <c r="F18" s="35">
        <f>IFERROR(__xludf.DUMMYFUNCTION("""COMPUTED_VALUE"""),345.5)</f>
        <v>345.5</v>
      </c>
      <c r="G18" s="35">
        <f>IFERROR(__xludf.DUMMYFUNCTION("""COMPUTED_VALUE"""),305.0)</f>
        <v>305</v>
      </c>
      <c r="H18" s="35">
        <f>IFERROR(__xludf.DUMMYFUNCTION("""COMPUTED_VALUE"""),318.9)</f>
        <v>318.9</v>
      </c>
      <c r="I18" s="4">
        <f t="shared" si="1"/>
        <v>307.2833333</v>
      </c>
    </row>
    <row r="19">
      <c r="A19" s="30">
        <f>VLOOKUP(B19,map!B:C,2,false)</f>
        <v>3</v>
      </c>
      <c r="B19" s="31" t="str">
        <f>IFERROR(__xludf.DUMMYFUNCTION("""COMPUTED_VALUE"""),"Minnesota")</f>
        <v>Minnesota</v>
      </c>
      <c r="C19" s="35">
        <f>IFERROR(__xludf.DUMMYFUNCTION("""COMPUTED_VALUE"""),325.0)</f>
        <v>325</v>
      </c>
      <c r="D19" s="35">
        <f>IFERROR(__xludf.DUMMYFUNCTION("""COMPUTED_VALUE"""),304.0)</f>
        <v>304</v>
      </c>
      <c r="E19" s="35">
        <f>IFERROR(__xludf.DUMMYFUNCTION("""COMPUTED_VALUE"""),276.0)</f>
        <v>276</v>
      </c>
      <c r="F19" s="35">
        <f>IFERROR(__xludf.DUMMYFUNCTION("""COMPUTED_VALUE"""),353.3)</f>
        <v>353.3</v>
      </c>
      <c r="G19" s="35">
        <f>IFERROR(__xludf.DUMMYFUNCTION("""COMPUTED_VALUE"""),303.8)</f>
        <v>303.8</v>
      </c>
      <c r="H19" s="35">
        <f>IFERROR(__xludf.DUMMYFUNCTION("""COMPUTED_VALUE"""),347.8)</f>
        <v>347.8</v>
      </c>
      <c r="I19" s="4">
        <f t="shared" si="1"/>
        <v>318.3166667</v>
      </c>
    </row>
    <row r="20">
      <c r="A20" s="30">
        <f>VLOOKUP(B20,map!B:C,2,false)</f>
        <v>18</v>
      </c>
      <c r="B20" s="31" t="str">
        <f>IFERROR(__xludf.DUMMYFUNCTION("""COMPUTED_VALUE"""),"LA Rams")</f>
        <v>LA Rams</v>
      </c>
      <c r="C20" s="35">
        <f>IFERROR(__xludf.DUMMYFUNCTION("""COMPUTED_VALUE"""),323.6)</f>
        <v>323.6</v>
      </c>
      <c r="D20" s="35">
        <f>IFERROR(__xludf.DUMMYFUNCTION("""COMPUTED_VALUE"""),338.3)</f>
        <v>338.3</v>
      </c>
      <c r="E20" s="35">
        <f>IFERROR(__xludf.DUMMYFUNCTION("""COMPUTED_VALUE"""),386.0)</f>
        <v>386</v>
      </c>
      <c r="F20" s="35">
        <f>IFERROR(__xludf.DUMMYFUNCTION("""COMPUTED_VALUE"""),327.8)</f>
        <v>327.8</v>
      </c>
      <c r="G20" s="35">
        <f>IFERROR(__xludf.DUMMYFUNCTION("""COMPUTED_VALUE"""),318.0)</f>
        <v>318</v>
      </c>
      <c r="H20" s="35">
        <f>IFERROR(__xludf.DUMMYFUNCTION("""COMPUTED_VALUE"""),362.9)</f>
        <v>362.9</v>
      </c>
      <c r="I20" s="4">
        <f t="shared" si="1"/>
        <v>342.7666667</v>
      </c>
    </row>
    <row r="21">
      <c r="A21" s="30">
        <f>VLOOKUP(B21,map!B:C,2,false)</f>
        <v>9</v>
      </c>
      <c r="B21" s="31" t="str">
        <f>IFERROR(__xludf.DUMMYFUNCTION("""COMPUTED_VALUE"""),"New Orleans")</f>
        <v>New Orleans</v>
      </c>
      <c r="C21" s="35">
        <f>IFERROR(__xludf.DUMMYFUNCTION("""COMPUTED_VALUE"""),319.5)</f>
        <v>319.5</v>
      </c>
      <c r="D21" s="35">
        <f>IFERROR(__xludf.DUMMYFUNCTION("""COMPUTED_VALUE"""),313.3)</f>
        <v>313.3</v>
      </c>
      <c r="E21" s="35">
        <f>IFERROR(__xludf.DUMMYFUNCTION("""COMPUTED_VALUE"""),366.0)</f>
        <v>366</v>
      </c>
      <c r="F21" s="35">
        <f>IFERROR(__xludf.DUMMYFUNCTION("""COMPUTED_VALUE"""),293.0)</f>
        <v>293</v>
      </c>
      <c r="G21" s="35">
        <f>IFERROR(__xludf.DUMMYFUNCTION("""COMPUTED_VALUE"""),346.0)</f>
        <v>346</v>
      </c>
      <c r="H21" s="35">
        <f>IFERROR(__xludf.DUMMYFUNCTION("""COMPUTED_VALUE"""),337.2)</f>
        <v>337.2</v>
      </c>
      <c r="I21" s="4">
        <f t="shared" si="1"/>
        <v>329.1666667</v>
      </c>
    </row>
    <row r="22">
      <c r="A22" s="30">
        <f>VLOOKUP(B22,map!B:C,2,false)</f>
        <v>10</v>
      </c>
      <c r="B22" s="31" t="str">
        <f>IFERROR(__xludf.DUMMYFUNCTION("""COMPUTED_VALUE"""),"Miami")</f>
        <v>Miami</v>
      </c>
      <c r="C22" s="35">
        <f>IFERROR(__xludf.DUMMYFUNCTION("""COMPUTED_VALUE"""),318.0)</f>
        <v>318</v>
      </c>
      <c r="D22" s="35">
        <f>IFERROR(__xludf.DUMMYFUNCTION("""COMPUTED_VALUE"""),362.0)</f>
        <v>362</v>
      </c>
      <c r="E22" s="35">
        <f>IFERROR(__xludf.DUMMYFUNCTION("""COMPUTED_VALUE"""),377.0)</f>
        <v>377</v>
      </c>
      <c r="F22" s="35">
        <f>IFERROR(__xludf.DUMMYFUNCTION("""COMPUTED_VALUE"""),328.0)</f>
        <v>328</v>
      </c>
      <c r="G22" s="35">
        <f>IFERROR(__xludf.DUMMYFUNCTION("""COMPUTED_VALUE"""),304.7)</f>
        <v>304.7</v>
      </c>
      <c r="H22" s="35">
        <f>IFERROR(__xludf.DUMMYFUNCTION("""COMPUTED_VALUE"""),393.7)</f>
        <v>393.7</v>
      </c>
      <c r="I22" s="4">
        <f t="shared" si="1"/>
        <v>347.2333333</v>
      </c>
    </row>
    <row r="23">
      <c r="A23" s="30">
        <f>VLOOKUP(B23,map!B:C,2,false)</f>
        <v>29</v>
      </c>
      <c r="B23" s="31" t="str">
        <f>IFERROR(__xludf.DUMMYFUNCTION("""COMPUTED_VALUE"""),"Pittsburgh")</f>
        <v>Pittsburgh</v>
      </c>
      <c r="C23" s="35">
        <f>IFERROR(__xludf.DUMMYFUNCTION("""COMPUTED_VALUE"""),314.1)</f>
        <v>314.1</v>
      </c>
      <c r="D23" s="35">
        <f>IFERROR(__xludf.DUMMYFUNCTION("""COMPUTED_VALUE"""),309.3)</f>
        <v>309.3</v>
      </c>
      <c r="E23" s="35">
        <f>IFERROR(__xludf.DUMMYFUNCTION("""COMPUTED_VALUE"""),409.0)</f>
        <v>409</v>
      </c>
      <c r="F23" s="35">
        <f>IFERROR(__xludf.DUMMYFUNCTION("""COMPUTED_VALUE"""),327.0)</f>
        <v>327</v>
      </c>
      <c r="G23" s="35">
        <f>IFERROR(__xludf.DUMMYFUNCTION("""COMPUTED_VALUE"""),304.5)</f>
        <v>304.5</v>
      </c>
      <c r="H23" s="35">
        <f>IFERROR(__xludf.DUMMYFUNCTION("""COMPUTED_VALUE"""),305.4)</f>
        <v>305.4</v>
      </c>
      <c r="I23" s="4">
        <f t="shared" si="1"/>
        <v>328.2166667</v>
      </c>
    </row>
    <row r="24">
      <c r="A24" s="30">
        <f>VLOOKUP(B24,map!B:C,2,false)</f>
        <v>7</v>
      </c>
      <c r="B24" s="31" t="str">
        <f>IFERROR(__xludf.DUMMYFUNCTION("""COMPUTED_VALUE"""),"LA Chargers")</f>
        <v>LA Chargers</v>
      </c>
      <c r="C24" s="35">
        <f>IFERROR(__xludf.DUMMYFUNCTION("""COMPUTED_VALUE"""),311.1)</f>
        <v>311.1</v>
      </c>
      <c r="D24" s="35">
        <f>IFERROR(__xludf.DUMMYFUNCTION("""COMPUTED_VALUE"""),374.3)</f>
        <v>374.3</v>
      </c>
      <c r="E24" s="35">
        <f>IFERROR(__xludf.DUMMYFUNCTION("""COMPUTED_VALUE"""),378.0)</f>
        <v>378</v>
      </c>
      <c r="F24" s="35">
        <f>IFERROR(__xludf.DUMMYFUNCTION("""COMPUTED_VALUE"""),306.0)</f>
        <v>306</v>
      </c>
      <c r="G24" s="35">
        <f>IFERROR(__xludf.DUMMYFUNCTION("""COMPUTED_VALUE"""),315.0)</f>
        <v>315</v>
      </c>
      <c r="H24" s="35">
        <f>IFERROR(__xludf.DUMMYFUNCTION("""COMPUTED_VALUE"""),329.4)</f>
        <v>329.4</v>
      </c>
      <c r="I24" s="4">
        <f t="shared" si="1"/>
        <v>335.6333333</v>
      </c>
    </row>
    <row r="25">
      <c r="A25" s="30">
        <f>VLOOKUP(B25,map!B:C,2,false)</f>
        <v>19</v>
      </c>
      <c r="B25" s="31" t="str">
        <f>IFERROR(__xludf.DUMMYFUNCTION("""COMPUTED_VALUE"""),"NY Jets")</f>
        <v>NY Jets</v>
      </c>
      <c r="C25" s="35">
        <f>IFERROR(__xludf.DUMMYFUNCTION("""COMPUTED_VALUE"""),310.6)</f>
        <v>310.6</v>
      </c>
      <c r="D25" s="35">
        <f>IFERROR(__xludf.DUMMYFUNCTION("""COMPUTED_VALUE"""),350.7)</f>
        <v>350.7</v>
      </c>
      <c r="E25" s="35">
        <f>IFERROR(__xludf.DUMMYFUNCTION("""COMPUTED_VALUE"""),336.0)</f>
        <v>336</v>
      </c>
      <c r="F25" s="35">
        <f>IFERROR(__xludf.DUMMYFUNCTION("""COMPUTED_VALUE"""),347.0)</f>
        <v>347</v>
      </c>
      <c r="G25" s="35">
        <f>IFERROR(__xludf.DUMMYFUNCTION("""COMPUTED_VALUE"""),288.8)</f>
        <v>288.8</v>
      </c>
      <c r="H25" s="35">
        <f>IFERROR(__xludf.DUMMYFUNCTION("""COMPUTED_VALUE"""),268.6)</f>
        <v>268.6</v>
      </c>
      <c r="I25" s="4">
        <f t="shared" si="1"/>
        <v>316.95</v>
      </c>
    </row>
    <row r="26">
      <c r="A26" s="30">
        <f>VLOOKUP(B26,map!B:C,2,false)</f>
        <v>27</v>
      </c>
      <c r="B26" s="31" t="str">
        <f>IFERROR(__xludf.DUMMYFUNCTION("""COMPUTED_VALUE"""),"Denver")</f>
        <v>Denver</v>
      </c>
      <c r="C26" s="35">
        <f>IFERROR(__xludf.DUMMYFUNCTION("""COMPUTED_VALUE"""),307.3)</f>
        <v>307.3</v>
      </c>
      <c r="D26" s="35">
        <f>IFERROR(__xludf.DUMMYFUNCTION("""COMPUTED_VALUE"""),368.3)</f>
        <v>368.3</v>
      </c>
      <c r="E26" s="35">
        <f>IFERROR(__xludf.DUMMYFUNCTION("""COMPUTED_VALUE"""),400.0)</f>
        <v>400</v>
      </c>
      <c r="F26" s="35">
        <f>IFERROR(__xludf.DUMMYFUNCTION("""COMPUTED_VALUE"""),325.0)</f>
        <v>325</v>
      </c>
      <c r="G26" s="35">
        <f>IFERROR(__xludf.DUMMYFUNCTION("""COMPUTED_VALUE"""),289.5)</f>
        <v>289.5</v>
      </c>
      <c r="H26" s="35">
        <f>IFERROR(__xludf.DUMMYFUNCTION("""COMPUTED_VALUE"""),298.4)</f>
        <v>298.4</v>
      </c>
      <c r="I26" s="4">
        <f t="shared" si="1"/>
        <v>331.4166667</v>
      </c>
    </row>
    <row r="27">
      <c r="A27" s="30">
        <f>VLOOKUP(B27,map!B:C,2,false)</f>
        <v>31</v>
      </c>
      <c r="B27" s="31" t="str">
        <f>IFERROR(__xludf.DUMMYFUNCTION("""COMPUTED_VALUE"""),"Chicago")</f>
        <v>Chicago</v>
      </c>
      <c r="C27" s="35">
        <f>IFERROR(__xludf.DUMMYFUNCTION("""COMPUTED_VALUE"""),302.3)</f>
        <v>302.3</v>
      </c>
      <c r="D27" s="35">
        <f>IFERROR(__xludf.DUMMYFUNCTION("""COMPUTED_VALUE"""),368.0)</f>
        <v>368</v>
      </c>
      <c r="E27" s="35">
        <f>IFERROR(__xludf.DUMMYFUNCTION("""COMPUTED_VALUE"""),307.0)</f>
        <v>307</v>
      </c>
      <c r="F27" s="35">
        <f>IFERROR(__xludf.DUMMYFUNCTION("""COMPUTED_VALUE"""),278.7)</f>
        <v>278.7</v>
      </c>
      <c r="G27" s="35">
        <f>IFERROR(__xludf.DUMMYFUNCTION("""COMPUTED_VALUE"""),320.0)</f>
        <v>320</v>
      </c>
      <c r="H27" s="35">
        <f>IFERROR(__xludf.DUMMYFUNCTION("""COMPUTED_VALUE"""),323.2)</f>
        <v>323.2</v>
      </c>
      <c r="I27" s="4">
        <f t="shared" si="1"/>
        <v>316.5333333</v>
      </c>
    </row>
    <row r="28">
      <c r="A28" s="30">
        <f>VLOOKUP(B28,map!B:C,2,false)</f>
        <v>26</v>
      </c>
      <c r="B28" s="31" t="str">
        <f>IFERROR(__xludf.DUMMYFUNCTION("""COMPUTED_VALUE"""),"NY Giants")</f>
        <v>NY Giants</v>
      </c>
      <c r="C28" s="35">
        <f>IFERROR(__xludf.DUMMYFUNCTION("""COMPUTED_VALUE"""),290.7)</f>
        <v>290.7</v>
      </c>
      <c r="D28" s="35">
        <f>IFERROR(__xludf.DUMMYFUNCTION("""COMPUTED_VALUE"""),282.7)</f>
        <v>282.7</v>
      </c>
      <c r="E28" s="35">
        <f>IFERROR(__xludf.DUMMYFUNCTION("""COMPUTED_VALUE"""),119.0)</f>
        <v>119</v>
      </c>
      <c r="F28" s="35">
        <f>IFERROR(__xludf.DUMMYFUNCTION("""COMPUTED_VALUE"""),242.8)</f>
        <v>242.8</v>
      </c>
      <c r="G28" s="35">
        <f>IFERROR(__xludf.DUMMYFUNCTION("""COMPUTED_VALUE"""),354.7)</f>
        <v>354.7</v>
      </c>
      <c r="H28" s="35">
        <f>IFERROR(__xludf.DUMMYFUNCTION("""COMPUTED_VALUE"""),280.0)</f>
        <v>280</v>
      </c>
      <c r="I28" s="4">
        <f t="shared" si="1"/>
        <v>261.65</v>
      </c>
    </row>
    <row r="29">
      <c r="A29" s="30">
        <f>VLOOKUP(B29,map!B:C,2,false)</f>
        <v>24</v>
      </c>
      <c r="B29" s="31" t="str">
        <f>IFERROR(__xludf.DUMMYFUNCTION("""COMPUTED_VALUE"""),"Las Vegas")</f>
        <v>Las Vegas</v>
      </c>
      <c r="C29" s="35">
        <f>IFERROR(__xludf.DUMMYFUNCTION("""COMPUTED_VALUE"""),288.1)</f>
        <v>288.1</v>
      </c>
      <c r="D29" s="35">
        <f>IFERROR(__xludf.DUMMYFUNCTION("""COMPUTED_VALUE"""),273.3)</f>
        <v>273.3</v>
      </c>
      <c r="E29" s="35">
        <f>IFERROR(__xludf.DUMMYFUNCTION("""COMPUTED_VALUE"""),228.0)</f>
        <v>228</v>
      </c>
      <c r="F29" s="35">
        <f>IFERROR(__xludf.DUMMYFUNCTION("""COMPUTED_VALUE"""),275.5)</f>
        <v>275.5</v>
      </c>
      <c r="G29" s="35">
        <f>IFERROR(__xludf.DUMMYFUNCTION("""COMPUTED_VALUE"""),300.8)</f>
        <v>300.8</v>
      </c>
      <c r="H29" s="35">
        <f>IFERROR(__xludf.DUMMYFUNCTION("""COMPUTED_VALUE"""),289.5)</f>
        <v>289.5</v>
      </c>
      <c r="I29" s="4">
        <f t="shared" si="1"/>
        <v>275.8666667</v>
      </c>
    </row>
    <row r="30">
      <c r="A30" s="30">
        <f>VLOOKUP(B30,map!B:C,2,false)</f>
        <v>23</v>
      </c>
      <c r="B30" s="31" t="str">
        <f>IFERROR(__xludf.DUMMYFUNCTION("""COMPUTED_VALUE"""),"Carolina")</f>
        <v>Carolina</v>
      </c>
      <c r="C30" s="35">
        <f>IFERROR(__xludf.DUMMYFUNCTION("""COMPUTED_VALUE"""),281.9)</f>
        <v>281.9</v>
      </c>
      <c r="D30" s="35">
        <f>IFERROR(__xludf.DUMMYFUNCTION("""COMPUTED_VALUE"""),266.3)</f>
        <v>266.3</v>
      </c>
      <c r="E30" s="35">
        <f>IFERROR(__xludf.DUMMYFUNCTION("""COMPUTED_VALUE"""),284.0)</f>
        <v>284</v>
      </c>
      <c r="F30" s="35">
        <f>IFERROR(__xludf.DUMMYFUNCTION("""COMPUTED_VALUE"""),289.7)</f>
        <v>289.7</v>
      </c>
      <c r="G30" s="35">
        <f>IFERROR(__xludf.DUMMYFUNCTION("""COMPUTED_VALUE"""),277.2)</f>
        <v>277.2</v>
      </c>
      <c r="H30" s="35">
        <f>IFERROR(__xludf.DUMMYFUNCTION("""COMPUTED_VALUE"""),265.3)</f>
        <v>265.3</v>
      </c>
      <c r="I30" s="4">
        <f t="shared" si="1"/>
        <v>277.4</v>
      </c>
    </row>
    <row r="31">
      <c r="A31" s="30">
        <f>VLOOKUP(B31,map!B:C,2,false)</f>
        <v>32</v>
      </c>
      <c r="B31" s="31" t="str">
        <f>IFERROR(__xludf.DUMMYFUNCTION("""COMPUTED_VALUE"""),"Tennessee")</f>
        <v>Tennessee</v>
      </c>
      <c r="C31" s="35">
        <f>IFERROR(__xludf.DUMMYFUNCTION("""COMPUTED_VALUE"""),281.6)</f>
        <v>281.6</v>
      </c>
      <c r="D31" s="35">
        <f>IFERROR(__xludf.DUMMYFUNCTION("""COMPUTED_VALUE"""),315.3)</f>
        <v>315.3</v>
      </c>
      <c r="E31" s="35">
        <f>IFERROR(__xludf.DUMMYFUNCTION("""COMPUTED_VALUE"""),416.0)</f>
        <v>416</v>
      </c>
      <c r="F31" s="35">
        <f>IFERROR(__xludf.DUMMYFUNCTION("""COMPUTED_VALUE"""),259.3)</f>
        <v>259.3</v>
      </c>
      <c r="G31" s="35">
        <f>IFERROR(__xludf.DUMMYFUNCTION("""COMPUTED_VALUE"""),298.3)</f>
        <v>298.3</v>
      </c>
      <c r="H31" s="35">
        <f>IFERROR(__xludf.DUMMYFUNCTION("""COMPUTED_VALUE"""),289.0)</f>
        <v>289</v>
      </c>
      <c r="I31" s="4">
        <f t="shared" si="1"/>
        <v>309.9166667</v>
      </c>
    </row>
    <row r="32">
      <c r="A32" s="30">
        <f>VLOOKUP(B32,map!B:C,2,false)</f>
        <v>16</v>
      </c>
      <c r="B32" s="31" t="str">
        <f>IFERROR(__xludf.DUMMYFUNCTION("""COMPUTED_VALUE"""),"Cleveland")</f>
        <v>Cleveland</v>
      </c>
      <c r="C32" s="35">
        <f>IFERROR(__xludf.DUMMYFUNCTION("""COMPUTED_VALUE"""),272.3)</f>
        <v>272.3</v>
      </c>
      <c r="D32" s="35">
        <f>IFERROR(__xludf.DUMMYFUNCTION("""COMPUTED_VALUE"""),327.0)</f>
        <v>327</v>
      </c>
      <c r="E32" s="35">
        <f>IFERROR(__xludf.DUMMYFUNCTION("""COMPUTED_VALUE"""),401.0)</f>
        <v>401</v>
      </c>
      <c r="F32" s="35">
        <f>IFERROR(__xludf.DUMMYFUNCTION("""COMPUTED_VALUE"""),296.0)</f>
        <v>296</v>
      </c>
      <c r="G32" s="35">
        <f>IFERROR(__xludf.DUMMYFUNCTION("""COMPUTED_VALUE"""),248.5)</f>
        <v>248.5</v>
      </c>
      <c r="H32" s="35">
        <f>IFERROR(__xludf.DUMMYFUNCTION("""COMPUTED_VALUE"""),335.2)</f>
        <v>335.2</v>
      </c>
      <c r="I32" s="4">
        <f t="shared" si="1"/>
        <v>313.3333333</v>
      </c>
    </row>
    <row r="33">
      <c r="A33" s="30">
        <f>VLOOKUP(B33,map!B:C,2,false)</f>
        <v>22</v>
      </c>
      <c r="B33" s="31" t="str">
        <f>IFERROR(__xludf.DUMMYFUNCTION("""COMPUTED_VALUE"""),"New England")</f>
        <v>New England</v>
      </c>
      <c r="C33" s="35">
        <f>IFERROR(__xludf.DUMMYFUNCTION("""COMPUTED_VALUE"""),260.9)</f>
        <v>260.9</v>
      </c>
      <c r="D33" s="35">
        <f>IFERROR(__xludf.DUMMYFUNCTION("""COMPUTED_VALUE"""),277.7)</f>
        <v>277.7</v>
      </c>
      <c r="E33" s="35">
        <f>IFERROR(__xludf.DUMMYFUNCTION("""COMPUTED_VALUE"""),247.0)</f>
        <v>247</v>
      </c>
      <c r="F33" s="35">
        <f>IFERROR(__xludf.DUMMYFUNCTION("""COMPUTED_VALUE"""),286.8)</f>
        <v>286.8</v>
      </c>
      <c r="G33" s="35">
        <f>IFERROR(__xludf.DUMMYFUNCTION("""COMPUTED_VALUE"""),235.0)</f>
        <v>235</v>
      </c>
      <c r="H33" s="35">
        <f>IFERROR(__xludf.DUMMYFUNCTION("""COMPUTED_VALUE"""),276.2)</f>
        <v>276.2</v>
      </c>
      <c r="I33" s="4">
        <f t="shared" si="1"/>
        <v>263.9333333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IFERROR(__xludf.DUMMYFUNCTION("QUERY(IMPORTHTML(""https://www.teamrankings.com/nfl/stat/fourth-down-conversions-per-game?date=""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12</v>
      </c>
      <c r="B2" s="31" t="str">
        <f>IFERROR(__xludf.DUMMYFUNCTION("""COMPUTED_VALUE"""),"Philadelphia")</f>
        <v>Philadelphia</v>
      </c>
      <c r="C2" s="35">
        <f>IFERROR(__xludf.DUMMYFUNCTION("""COMPUTED_VALUE"""),1.6)</f>
        <v>1.6</v>
      </c>
      <c r="D2" s="35">
        <f>IFERROR(__xludf.DUMMYFUNCTION("""COMPUTED_VALUE"""),2.0)</f>
        <v>2</v>
      </c>
      <c r="E2" s="35">
        <f>IFERROR(__xludf.DUMMYFUNCTION("""COMPUTED_VALUE"""),1.0)</f>
        <v>1</v>
      </c>
      <c r="F2" s="35">
        <f>IFERROR(__xludf.DUMMYFUNCTION("""COMPUTED_VALUE"""),2.0)</f>
        <v>2</v>
      </c>
      <c r="G2" s="35">
        <f>IFERROR(__xludf.DUMMYFUNCTION("""COMPUTED_VALUE"""),1.4)</f>
        <v>1.4</v>
      </c>
      <c r="H2" s="35">
        <f>IFERROR(__xludf.DUMMYFUNCTION("""COMPUTED_VALUE"""),1.1)</f>
        <v>1.1</v>
      </c>
      <c r="I2" s="4">
        <f t="shared" ref="I2:I32" si="1">AVERAGE(C2:H2)</f>
        <v>1.516666667</v>
      </c>
    </row>
    <row r="3">
      <c r="A3" s="30">
        <f>VLOOKUP(B3,map!B:C,2,false)</f>
        <v>16</v>
      </c>
      <c r="B3" s="31" t="str">
        <f>IFERROR(__xludf.DUMMYFUNCTION("""COMPUTED_VALUE"""),"Cleveland")</f>
        <v>Cleveland</v>
      </c>
      <c r="C3" s="35">
        <f>IFERROR(__xludf.DUMMYFUNCTION("""COMPUTED_VALUE"""),1.4)</f>
        <v>1.4</v>
      </c>
      <c r="D3" s="35">
        <f>IFERROR(__xludf.DUMMYFUNCTION("""COMPUTED_VALUE"""),0.7)</f>
        <v>0.7</v>
      </c>
      <c r="E3" s="35">
        <f>IFERROR(__xludf.DUMMYFUNCTION("""COMPUTED_VALUE"""),0.0)</f>
        <v>0</v>
      </c>
      <c r="F3" s="35">
        <f>IFERROR(__xludf.DUMMYFUNCTION("""COMPUTED_VALUE"""),1.3)</f>
        <v>1.3</v>
      </c>
      <c r="G3" s="35">
        <f>IFERROR(__xludf.DUMMYFUNCTION("""COMPUTED_VALUE"""),1.5)</f>
        <v>1.5</v>
      </c>
      <c r="H3" s="35">
        <f>IFERROR(__xludf.DUMMYFUNCTION("""COMPUTED_VALUE"""),1.0)</f>
        <v>1</v>
      </c>
      <c r="I3" s="4">
        <f t="shared" si="1"/>
        <v>0.9833333333</v>
      </c>
    </row>
    <row r="4">
      <c r="A4" s="30">
        <f>VLOOKUP(B4,map!B:C,2,false)</f>
        <v>26</v>
      </c>
      <c r="B4" s="31" t="str">
        <f>IFERROR(__xludf.DUMMYFUNCTION("""COMPUTED_VALUE"""),"NY Giants")</f>
        <v>NY Giants</v>
      </c>
      <c r="C4" s="35">
        <f>IFERROR(__xludf.DUMMYFUNCTION("""COMPUTED_VALUE"""),1.3)</f>
        <v>1.3</v>
      </c>
      <c r="D4" s="35">
        <f>IFERROR(__xludf.DUMMYFUNCTION("""COMPUTED_VALUE"""),1.0)</f>
        <v>1</v>
      </c>
      <c r="E4" s="35">
        <f>IFERROR(__xludf.DUMMYFUNCTION("""COMPUTED_VALUE"""),0.0)</f>
        <v>0</v>
      </c>
      <c r="F4" s="35">
        <f>IFERROR(__xludf.DUMMYFUNCTION("""COMPUTED_VALUE"""),1.8)</f>
        <v>1.8</v>
      </c>
      <c r="G4" s="35">
        <f>IFERROR(__xludf.DUMMYFUNCTION("""COMPUTED_VALUE"""),0.7)</f>
        <v>0.7</v>
      </c>
      <c r="H4" s="35">
        <f>IFERROR(__xludf.DUMMYFUNCTION("""COMPUTED_VALUE"""),1.1)</f>
        <v>1.1</v>
      </c>
      <c r="I4" s="4">
        <f t="shared" si="1"/>
        <v>0.9833333333</v>
      </c>
    </row>
    <row r="5">
      <c r="A5" s="30">
        <f>VLOOKUP(B5,map!B:C,2,false)</f>
        <v>31</v>
      </c>
      <c r="B5" s="31" t="str">
        <f>IFERROR(__xludf.DUMMYFUNCTION("""COMPUTED_VALUE"""),"Chicago")</f>
        <v>Chicago</v>
      </c>
      <c r="C5" s="35">
        <f>IFERROR(__xludf.DUMMYFUNCTION("""COMPUTED_VALUE"""),1.1)</f>
        <v>1.1</v>
      </c>
      <c r="D5" s="35">
        <f>IFERROR(__xludf.DUMMYFUNCTION("""COMPUTED_VALUE"""),0.3)</f>
        <v>0.3</v>
      </c>
      <c r="E5" s="35">
        <f>IFERROR(__xludf.DUMMYFUNCTION("""COMPUTED_VALUE"""),0.0)</f>
        <v>0</v>
      </c>
      <c r="F5" s="35">
        <f>IFERROR(__xludf.DUMMYFUNCTION("""COMPUTED_VALUE"""),0.7)</f>
        <v>0.7</v>
      </c>
      <c r="G5" s="35">
        <f>IFERROR(__xludf.DUMMYFUNCTION("""COMPUTED_VALUE"""),1.5)</f>
        <v>1.5</v>
      </c>
      <c r="H5" s="35">
        <f>IFERROR(__xludf.DUMMYFUNCTION("""COMPUTED_VALUE"""),0.8)</f>
        <v>0.8</v>
      </c>
      <c r="I5" s="4">
        <f t="shared" si="1"/>
        <v>0.7333333333</v>
      </c>
    </row>
    <row r="6">
      <c r="A6" s="30">
        <f>VLOOKUP(B6,map!B:C,2,false)</f>
        <v>28</v>
      </c>
      <c r="B6" s="31" t="str">
        <f>IFERROR(__xludf.DUMMYFUNCTION("""COMPUTED_VALUE"""),"Atlanta")</f>
        <v>Atlanta</v>
      </c>
      <c r="C6" s="35">
        <f>IFERROR(__xludf.DUMMYFUNCTION("""COMPUTED_VALUE"""),1.1)</f>
        <v>1.1</v>
      </c>
      <c r="D6" s="35">
        <f>IFERROR(__xludf.DUMMYFUNCTION("""COMPUTED_VALUE"""),1.3)</f>
        <v>1.3</v>
      </c>
      <c r="E6" s="35">
        <f>IFERROR(__xludf.DUMMYFUNCTION("""COMPUTED_VALUE"""),2.0)</f>
        <v>2</v>
      </c>
      <c r="F6" s="35">
        <f>IFERROR(__xludf.DUMMYFUNCTION("""COMPUTED_VALUE"""),1.2)</f>
        <v>1.2</v>
      </c>
      <c r="G6" s="35">
        <f>IFERROR(__xludf.DUMMYFUNCTION("""COMPUTED_VALUE"""),1.0)</f>
        <v>1</v>
      </c>
      <c r="H6" s="35">
        <f>IFERROR(__xludf.DUMMYFUNCTION("""COMPUTED_VALUE"""),0.5)</f>
        <v>0.5</v>
      </c>
      <c r="I6" s="4">
        <f t="shared" si="1"/>
        <v>1.183333333</v>
      </c>
    </row>
    <row r="7">
      <c r="A7" s="30">
        <f>VLOOKUP(B7,map!B:C,2,false)</f>
        <v>8</v>
      </c>
      <c r="B7" s="31" t="str">
        <f>IFERROR(__xludf.DUMMYFUNCTION("""COMPUTED_VALUE"""),"Washington")</f>
        <v>Washington</v>
      </c>
      <c r="C7" s="35">
        <f>IFERROR(__xludf.DUMMYFUNCTION("""COMPUTED_VALUE"""),1.1)</f>
        <v>1.1</v>
      </c>
      <c r="D7" s="35">
        <f>IFERROR(__xludf.DUMMYFUNCTION("""COMPUTED_VALUE"""),0.3)</f>
        <v>0.3</v>
      </c>
      <c r="E7" s="35">
        <f>IFERROR(__xludf.DUMMYFUNCTION("""COMPUTED_VALUE"""),0.0)</f>
        <v>0</v>
      </c>
      <c r="F7" s="35">
        <f>IFERROR(__xludf.DUMMYFUNCTION("""COMPUTED_VALUE"""),0.8)</f>
        <v>0.8</v>
      </c>
      <c r="G7" s="35">
        <f>IFERROR(__xludf.DUMMYFUNCTION("""COMPUTED_VALUE"""),1.5)</f>
        <v>1.5</v>
      </c>
      <c r="H7" s="35">
        <f>IFERROR(__xludf.DUMMYFUNCTION("""COMPUTED_VALUE"""),0.9)</f>
        <v>0.9</v>
      </c>
      <c r="I7" s="4">
        <f t="shared" si="1"/>
        <v>0.7666666667</v>
      </c>
    </row>
    <row r="8">
      <c r="A8" s="30">
        <f>VLOOKUP(B8,map!B:C,2,false)</f>
        <v>27</v>
      </c>
      <c r="B8" s="31" t="str">
        <f>IFERROR(__xludf.DUMMYFUNCTION("""COMPUTED_VALUE"""),"Denver")</f>
        <v>Denver</v>
      </c>
      <c r="C8" s="35">
        <f>IFERROR(__xludf.DUMMYFUNCTION("""COMPUTED_VALUE"""),1.0)</f>
        <v>1</v>
      </c>
      <c r="D8" s="35">
        <f>IFERROR(__xludf.DUMMYFUNCTION("""COMPUTED_VALUE"""),1.0)</f>
        <v>1</v>
      </c>
      <c r="E8" s="35">
        <f>IFERROR(__xludf.DUMMYFUNCTION("""COMPUTED_VALUE"""),1.0)</f>
        <v>1</v>
      </c>
      <c r="F8" s="35">
        <f>IFERROR(__xludf.DUMMYFUNCTION("""COMPUTED_VALUE"""),1.3)</f>
        <v>1.3</v>
      </c>
      <c r="G8" s="35">
        <f>IFERROR(__xludf.DUMMYFUNCTION("""COMPUTED_VALUE"""),0.8)</f>
        <v>0.8</v>
      </c>
      <c r="H8" s="35">
        <f>IFERROR(__xludf.DUMMYFUNCTION("""COMPUTED_VALUE"""),0.8)</f>
        <v>0.8</v>
      </c>
      <c r="I8" s="4">
        <f t="shared" si="1"/>
        <v>0.9833333333</v>
      </c>
    </row>
    <row r="9">
      <c r="A9" s="30">
        <f>VLOOKUP(B9,map!B:C,2,false)</f>
        <v>11</v>
      </c>
      <c r="B9" s="31" t="str">
        <f>IFERROR(__xludf.DUMMYFUNCTION("""COMPUTED_VALUE"""),"Buffalo")</f>
        <v>Buffalo</v>
      </c>
      <c r="C9" s="35">
        <f>IFERROR(__xludf.DUMMYFUNCTION("""COMPUTED_VALUE"""),1.0)</f>
        <v>1</v>
      </c>
      <c r="D9" s="35">
        <f>IFERROR(__xludf.DUMMYFUNCTION("""COMPUTED_VALUE"""),0.3)</f>
        <v>0.3</v>
      </c>
      <c r="E9" s="35">
        <f>IFERROR(__xludf.DUMMYFUNCTION("""COMPUTED_VALUE"""),1.0)</f>
        <v>1</v>
      </c>
      <c r="F9" s="35">
        <f>IFERROR(__xludf.DUMMYFUNCTION("""COMPUTED_VALUE"""),1.3)</f>
        <v>1.3</v>
      </c>
      <c r="G9" s="35">
        <f>IFERROR(__xludf.DUMMYFUNCTION("""COMPUTED_VALUE"""),0.8)</f>
        <v>0.8</v>
      </c>
      <c r="H9" s="35">
        <f>IFERROR(__xludf.DUMMYFUNCTION("""COMPUTED_VALUE"""),0.6)</f>
        <v>0.6</v>
      </c>
      <c r="I9" s="4">
        <f t="shared" si="1"/>
        <v>0.8333333333</v>
      </c>
    </row>
    <row r="10">
      <c r="A10" s="30">
        <f>VLOOKUP(B10,map!B:C,2,false)</f>
        <v>18</v>
      </c>
      <c r="B10" s="31" t="str">
        <f>IFERROR(__xludf.DUMMYFUNCTION("""COMPUTED_VALUE"""),"LA Rams")</f>
        <v>LA Rams</v>
      </c>
      <c r="C10" s="35">
        <f>IFERROR(__xludf.DUMMYFUNCTION("""COMPUTED_VALUE"""),1.0)</f>
        <v>1</v>
      </c>
      <c r="D10" s="35">
        <f>IFERROR(__xludf.DUMMYFUNCTION("""COMPUTED_VALUE"""),1.0)</f>
        <v>1</v>
      </c>
      <c r="E10" s="35">
        <f>IFERROR(__xludf.DUMMYFUNCTION("""COMPUTED_VALUE"""),1.0)</f>
        <v>1</v>
      </c>
      <c r="F10" s="35">
        <f>IFERROR(__xludf.DUMMYFUNCTION("""COMPUTED_VALUE"""),1.3)</f>
        <v>1.3</v>
      </c>
      <c r="G10" s="35">
        <f>IFERROR(__xludf.DUMMYFUNCTION("""COMPUTED_VALUE"""),0.7)</f>
        <v>0.7</v>
      </c>
      <c r="H10" s="35">
        <f>IFERROR(__xludf.DUMMYFUNCTION("""COMPUTED_VALUE"""),0.8)</f>
        <v>0.8</v>
      </c>
      <c r="I10" s="4">
        <f t="shared" si="1"/>
        <v>0.9666666667</v>
      </c>
    </row>
    <row r="11">
      <c r="A11" s="30">
        <f>VLOOKUP(B11,map!B:C,2,false)</f>
        <v>6</v>
      </c>
      <c r="B11" s="31" t="str">
        <f>IFERROR(__xludf.DUMMYFUNCTION("""COMPUTED_VALUE"""),"Jacksonville")</f>
        <v>Jacksonville</v>
      </c>
      <c r="C11" s="35">
        <f>IFERROR(__xludf.DUMMYFUNCTION("""COMPUTED_VALUE"""),1.0)</f>
        <v>1</v>
      </c>
      <c r="D11" s="35">
        <f>IFERROR(__xludf.DUMMYFUNCTION("""COMPUTED_VALUE"""),1.0)</f>
        <v>1</v>
      </c>
      <c r="E11" s="35">
        <f>IFERROR(__xludf.DUMMYFUNCTION("""COMPUTED_VALUE"""),1.0)</f>
        <v>1</v>
      </c>
      <c r="F11" s="35">
        <f>IFERROR(__xludf.DUMMYFUNCTION("""COMPUTED_VALUE"""),0.7)</f>
        <v>0.7</v>
      </c>
      <c r="G11" s="35">
        <f>IFERROR(__xludf.DUMMYFUNCTION("""COMPUTED_VALUE"""),1.2)</f>
        <v>1.2</v>
      </c>
      <c r="H11" s="35">
        <f>IFERROR(__xludf.DUMMYFUNCTION("""COMPUTED_VALUE"""),0.8)</f>
        <v>0.8</v>
      </c>
      <c r="I11" s="4">
        <f t="shared" si="1"/>
        <v>0.95</v>
      </c>
    </row>
    <row r="12">
      <c r="A12" s="30">
        <f>VLOOKUP(B12,map!B:C,2,false)</f>
        <v>22</v>
      </c>
      <c r="B12" s="31" t="str">
        <f>IFERROR(__xludf.DUMMYFUNCTION("""COMPUTED_VALUE"""),"New England")</f>
        <v>New England</v>
      </c>
      <c r="C12" s="35">
        <f>IFERROR(__xludf.DUMMYFUNCTION("""COMPUTED_VALUE"""),0.9)</f>
        <v>0.9</v>
      </c>
      <c r="D12" s="35">
        <f>IFERROR(__xludf.DUMMYFUNCTION("""COMPUTED_VALUE"""),1.0)</f>
        <v>1</v>
      </c>
      <c r="E12" s="35">
        <f>IFERROR(__xludf.DUMMYFUNCTION("""COMPUTED_VALUE"""),1.0)</f>
        <v>1</v>
      </c>
      <c r="F12" s="35">
        <f>IFERROR(__xludf.DUMMYFUNCTION("""COMPUTED_VALUE"""),0.8)</f>
        <v>0.8</v>
      </c>
      <c r="G12" s="35">
        <f>IFERROR(__xludf.DUMMYFUNCTION("""COMPUTED_VALUE"""),1.0)</f>
        <v>1</v>
      </c>
      <c r="H12" s="35">
        <f>IFERROR(__xludf.DUMMYFUNCTION("""COMPUTED_VALUE"""),0.5)</f>
        <v>0.5</v>
      </c>
      <c r="I12" s="4">
        <f t="shared" si="1"/>
        <v>0.8666666667</v>
      </c>
    </row>
    <row r="13">
      <c r="A13" s="30">
        <f>VLOOKUP(B13,map!B:C,2,false)</f>
        <v>20</v>
      </c>
      <c r="B13" s="31" t="str">
        <f>IFERROR(__xludf.DUMMYFUNCTION("""COMPUTED_VALUE"""),"Indianapolis")</f>
        <v>Indianapolis</v>
      </c>
      <c r="C13" s="35">
        <f>IFERROR(__xludf.DUMMYFUNCTION("""COMPUTED_VALUE"""),0.8)</f>
        <v>0.8</v>
      </c>
      <c r="D13" s="35">
        <f>IFERROR(__xludf.DUMMYFUNCTION("""COMPUTED_VALUE"""),1.0)</f>
        <v>1</v>
      </c>
      <c r="E13" s="35">
        <f>IFERROR(__xludf.DUMMYFUNCTION("""COMPUTED_VALUE"""),2.0)</f>
        <v>2</v>
      </c>
      <c r="F13" s="35">
        <f>IFERROR(__xludf.DUMMYFUNCTION("""COMPUTED_VALUE"""),0.3)</f>
        <v>0.3</v>
      </c>
      <c r="G13" s="35">
        <f>IFERROR(__xludf.DUMMYFUNCTION("""COMPUTED_VALUE"""),1.3)</f>
        <v>1.3</v>
      </c>
      <c r="H13" s="35">
        <f>IFERROR(__xludf.DUMMYFUNCTION("""COMPUTED_VALUE"""),0.9)</f>
        <v>0.9</v>
      </c>
      <c r="I13" s="4">
        <f t="shared" si="1"/>
        <v>1.05</v>
      </c>
    </row>
    <row r="14">
      <c r="A14" s="30">
        <f>VLOOKUP(B14,map!B:C,2,false)</f>
        <v>9</v>
      </c>
      <c r="B14" s="31" t="str">
        <f>IFERROR(__xludf.DUMMYFUNCTION("""COMPUTED_VALUE"""),"New Orleans")</f>
        <v>New Orleans</v>
      </c>
      <c r="C14" s="35">
        <f>IFERROR(__xludf.DUMMYFUNCTION("""COMPUTED_VALUE"""),0.8)</f>
        <v>0.8</v>
      </c>
      <c r="D14" s="35">
        <f>IFERROR(__xludf.DUMMYFUNCTION("""COMPUTED_VALUE"""),1.7)</f>
        <v>1.7</v>
      </c>
      <c r="E14" s="35">
        <f>IFERROR(__xludf.DUMMYFUNCTION("""COMPUTED_VALUE"""),1.0)</f>
        <v>1</v>
      </c>
      <c r="F14" s="35">
        <f>IFERROR(__xludf.DUMMYFUNCTION("""COMPUTED_VALUE"""),1.0)</f>
        <v>1</v>
      </c>
      <c r="G14" s="35">
        <f>IFERROR(__xludf.DUMMYFUNCTION("""COMPUTED_VALUE"""),0.5)</f>
        <v>0.5</v>
      </c>
      <c r="H14" s="35">
        <f>IFERROR(__xludf.DUMMYFUNCTION("""COMPUTED_VALUE"""),0.5)</f>
        <v>0.5</v>
      </c>
      <c r="I14" s="4">
        <f t="shared" si="1"/>
        <v>0.9166666667</v>
      </c>
    </row>
    <row r="15">
      <c r="A15" s="30">
        <f>VLOOKUP(B15,map!B:C,2,false)</f>
        <v>2</v>
      </c>
      <c r="B15" s="31" t="str">
        <f>IFERROR(__xludf.DUMMYFUNCTION("""COMPUTED_VALUE"""),"Kansas City")</f>
        <v>Kansas City</v>
      </c>
      <c r="C15" s="35">
        <f>IFERROR(__xludf.DUMMYFUNCTION("""COMPUTED_VALUE"""),0.7)</f>
        <v>0.7</v>
      </c>
      <c r="D15" s="35">
        <f>IFERROR(__xludf.DUMMYFUNCTION("""COMPUTED_VALUE"""),0.7)</f>
        <v>0.7</v>
      </c>
      <c r="E15" s="35">
        <f>IFERROR(__xludf.DUMMYFUNCTION("""COMPUTED_VALUE"""),0.0)</f>
        <v>0</v>
      </c>
      <c r="F15" s="35">
        <f>IFERROR(__xludf.DUMMYFUNCTION("""COMPUTED_VALUE"""),1.0)</f>
        <v>1</v>
      </c>
      <c r="G15" s="35">
        <f>IFERROR(__xludf.DUMMYFUNCTION("""COMPUTED_VALUE"""),0.5)</f>
        <v>0.5</v>
      </c>
      <c r="H15" s="35">
        <f>IFERROR(__xludf.DUMMYFUNCTION("""COMPUTED_VALUE"""),0.6)</f>
        <v>0.6</v>
      </c>
      <c r="I15" s="4">
        <f t="shared" si="1"/>
        <v>0.5833333333</v>
      </c>
    </row>
    <row r="16">
      <c r="A16" s="30">
        <f>VLOOKUP(B16,map!B:C,2,false)</f>
        <v>1</v>
      </c>
      <c r="B16" s="31" t="str">
        <f>IFERROR(__xludf.DUMMYFUNCTION("""COMPUTED_VALUE"""),"Dallas")</f>
        <v>Dallas</v>
      </c>
      <c r="C16" s="35">
        <f>IFERROR(__xludf.DUMMYFUNCTION("""COMPUTED_VALUE"""),0.7)</f>
        <v>0.7</v>
      </c>
      <c r="D16" s="35">
        <f>IFERROR(__xludf.DUMMYFUNCTION("""COMPUTED_VALUE"""),1.0)</f>
        <v>1</v>
      </c>
      <c r="E16" s="35">
        <f>IFERROR(__xludf.DUMMYFUNCTION("""COMPUTED_VALUE"""),1.0)</f>
        <v>1</v>
      </c>
      <c r="F16" s="35">
        <f>IFERROR(__xludf.DUMMYFUNCTION("""COMPUTED_VALUE"""),0.7)</f>
        <v>0.7</v>
      </c>
      <c r="G16" s="35">
        <f>IFERROR(__xludf.DUMMYFUNCTION("""COMPUTED_VALUE"""),0.8)</f>
        <v>0.8</v>
      </c>
      <c r="H16" s="35">
        <f>IFERROR(__xludf.DUMMYFUNCTION("""COMPUTED_VALUE"""),0.7)</f>
        <v>0.7</v>
      </c>
      <c r="I16" s="4">
        <f t="shared" si="1"/>
        <v>0.8166666667</v>
      </c>
    </row>
    <row r="17">
      <c r="A17" s="30">
        <f>VLOOKUP(B17,map!B:C,2,false)</f>
        <v>29</v>
      </c>
      <c r="B17" s="31" t="str">
        <f>IFERROR(__xludf.DUMMYFUNCTION("""COMPUTED_VALUE"""),"Pittsburgh")</f>
        <v>Pittsburgh</v>
      </c>
      <c r="C17" s="35">
        <f>IFERROR(__xludf.DUMMYFUNCTION("""COMPUTED_VALUE"""),0.7)</f>
        <v>0.7</v>
      </c>
      <c r="D17" s="35">
        <f>IFERROR(__xludf.DUMMYFUNCTION("""COMPUTED_VALUE"""),1.7)</f>
        <v>1.7</v>
      </c>
      <c r="E17" s="35">
        <f>IFERROR(__xludf.DUMMYFUNCTION("""COMPUTED_VALUE"""),2.0)</f>
        <v>2</v>
      </c>
      <c r="F17" s="35">
        <f>IFERROR(__xludf.DUMMYFUNCTION("""COMPUTED_VALUE"""),1.3)</f>
        <v>1.3</v>
      </c>
      <c r="G17" s="35">
        <f>IFERROR(__xludf.DUMMYFUNCTION("""COMPUTED_VALUE"""),0.3)</f>
        <v>0.3</v>
      </c>
      <c r="H17" s="35">
        <f>IFERROR(__xludf.DUMMYFUNCTION("""COMPUTED_VALUE"""),0.5)</f>
        <v>0.5</v>
      </c>
      <c r="I17" s="4">
        <f t="shared" si="1"/>
        <v>1.083333333</v>
      </c>
    </row>
    <row r="18">
      <c r="A18" s="30">
        <f>VLOOKUP(B18,map!B:C,2,false)</f>
        <v>5</v>
      </c>
      <c r="B18" s="31" t="str">
        <f>IFERROR(__xludf.DUMMYFUNCTION("""COMPUTED_VALUE"""),"Detroit")</f>
        <v>Detroit</v>
      </c>
      <c r="C18" s="35">
        <f>IFERROR(__xludf.DUMMYFUNCTION("""COMPUTED_VALUE"""),0.7)</f>
        <v>0.7</v>
      </c>
      <c r="D18" s="35">
        <f>IFERROR(__xludf.DUMMYFUNCTION("""COMPUTED_VALUE"""),0.3)</f>
        <v>0.3</v>
      </c>
      <c r="E18" s="35">
        <f>IFERROR(__xludf.DUMMYFUNCTION("""COMPUTED_VALUE"""),0.0)</f>
        <v>0</v>
      </c>
      <c r="F18" s="35">
        <f>IFERROR(__xludf.DUMMYFUNCTION("""COMPUTED_VALUE"""),1.0)</f>
        <v>1</v>
      </c>
      <c r="G18" s="35">
        <f>IFERROR(__xludf.DUMMYFUNCTION("""COMPUTED_VALUE"""),0.3)</f>
        <v>0.3</v>
      </c>
      <c r="H18" s="35">
        <f>IFERROR(__xludf.DUMMYFUNCTION("""COMPUTED_VALUE"""),1.2)</f>
        <v>1.2</v>
      </c>
      <c r="I18" s="4">
        <f t="shared" si="1"/>
        <v>0.5833333333</v>
      </c>
    </row>
    <row r="19">
      <c r="A19" s="30">
        <f>VLOOKUP(B19,map!B:C,2,false)</f>
        <v>32</v>
      </c>
      <c r="B19" s="31" t="str">
        <f>IFERROR(__xludf.DUMMYFUNCTION("""COMPUTED_VALUE"""),"Tennessee")</f>
        <v>Tennessee</v>
      </c>
      <c r="C19" s="35">
        <f>IFERROR(__xludf.DUMMYFUNCTION("""COMPUTED_VALUE"""),0.7)</f>
        <v>0.7</v>
      </c>
      <c r="D19" s="35">
        <f>IFERROR(__xludf.DUMMYFUNCTION("""COMPUTED_VALUE"""),1.0)</f>
        <v>1</v>
      </c>
      <c r="E19" s="35">
        <f>IFERROR(__xludf.DUMMYFUNCTION("""COMPUTED_VALUE"""),1.0)</f>
        <v>1</v>
      </c>
      <c r="F19" s="35">
        <f>IFERROR(__xludf.DUMMYFUNCTION("""COMPUTED_VALUE"""),0.3)</f>
        <v>0.3</v>
      </c>
      <c r="G19" s="35">
        <f>IFERROR(__xludf.DUMMYFUNCTION("""COMPUTED_VALUE"""),1.0)</f>
        <v>1</v>
      </c>
      <c r="H19" s="35">
        <f>IFERROR(__xludf.DUMMYFUNCTION("""COMPUTED_VALUE"""),0.6)</f>
        <v>0.6</v>
      </c>
      <c r="I19" s="4">
        <f t="shared" si="1"/>
        <v>0.7666666667</v>
      </c>
    </row>
    <row r="20">
      <c r="A20" s="30">
        <f>VLOOKUP(B20,map!B:C,2,false)</f>
        <v>17</v>
      </c>
      <c r="B20" s="31" t="str">
        <f>IFERROR(__xludf.DUMMYFUNCTION("""COMPUTED_VALUE"""),"Houston")</f>
        <v>Houston</v>
      </c>
      <c r="C20" s="35">
        <f>IFERROR(__xludf.DUMMYFUNCTION("""COMPUTED_VALUE"""),0.6)</f>
        <v>0.6</v>
      </c>
      <c r="D20" s="35">
        <f>IFERROR(__xludf.DUMMYFUNCTION("""COMPUTED_VALUE"""),0.0)</f>
        <v>0</v>
      </c>
      <c r="E20" s="35">
        <f>IFERROR(__xludf.DUMMYFUNCTION("""COMPUTED_VALUE"""),0.0)</f>
        <v>0</v>
      </c>
      <c r="F20" s="35">
        <f>IFERROR(__xludf.DUMMYFUNCTION("""COMPUTED_VALUE"""),0.3)</f>
        <v>0.3</v>
      </c>
      <c r="G20" s="35">
        <f>IFERROR(__xludf.DUMMYFUNCTION("""COMPUTED_VALUE"""),1.0)</f>
        <v>1</v>
      </c>
      <c r="H20" s="35">
        <f>IFERROR(__xludf.DUMMYFUNCTION("""COMPUTED_VALUE"""),0.4)</f>
        <v>0.4</v>
      </c>
      <c r="I20" s="4">
        <f t="shared" si="1"/>
        <v>0.3833333333</v>
      </c>
    </row>
    <row r="21">
      <c r="A21" s="30">
        <f>VLOOKUP(B21,map!B:C,2,false)</f>
        <v>23</v>
      </c>
      <c r="B21" s="31" t="str">
        <f>IFERROR(__xludf.DUMMYFUNCTION("""COMPUTED_VALUE"""),"Carolina")</f>
        <v>Carolina</v>
      </c>
      <c r="C21" s="35">
        <f>IFERROR(__xludf.DUMMYFUNCTION("""COMPUTED_VALUE"""),0.6)</f>
        <v>0.6</v>
      </c>
      <c r="D21" s="35">
        <f>IFERROR(__xludf.DUMMYFUNCTION("""COMPUTED_VALUE"""),0.3)</f>
        <v>0.3</v>
      </c>
      <c r="E21" s="35">
        <f>IFERROR(__xludf.DUMMYFUNCTION("""COMPUTED_VALUE"""),1.0)</f>
        <v>1</v>
      </c>
      <c r="F21" s="35">
        <f>IFERROR(__xludf.DUMMYFUNCTION("""COMPUTED_VALUE"""),0.7)</f>
        <v>0.7</v>
      </c>
      <c r="G21" s="35">
        <f>IFERROR(__xludf.DUMMYFUNCTION("""COMPUTED_VALUE"""),0.6)</f>
        <v>0.6</v>
      </c>
      <c r="H21" s="35">
        <f>IFERROR(__xludf.DUMMYFUNCTION("""COMPUTED_VALUE"""),1.4)</f>
        <v>1.4</v>
      </c>
      <c r="I21" s="4">
        <f t="shared" si="1"/>
        <v>0.7666666667</v>
      </c>
    </row>
    <row r="22">
      <c r="A22" s="30">
        <f>VLOOKUP(B22,map!B:C,2,false)</f>
        <v>13</v>
      </c>
      <c r="B22" s="31" t="str">
        <f>IFERROR(__xludf.DUMMYFUNCTION("""COMPUTED_VALUE"""),"Seattle")</f>
        <v>Seattle</v>
      </c>
      <c r="C22" s="35">
        <f>IFERROR(__xludf.DUMMYFUNCTION("""COMPUTED_VALUE"""),0.6)</f>
        <v>0.6</v>
      </c>
      <c r="D22" s="35">
        <f>IFERROR(__xludf.DUMMYFUNCTION("""COMPUTED_VALUE"""),1.0)</f>
        <v>1</v>
      </c>
      <c r="E22" s="35">
        <f>IFERROR(__xludf.DUMMYFUNCTION("""COMPUTED_VALUE"""),0.0)</f>
        <v>0</v>
      </c>
      <c r="F22" s="35">
        <f>IFERROR(__xludf.DUMMYFUNCTION("""COMPUTED_VALUE"""),0.4)</f>
        <v>0.4</v>
      </c>
      <c r="G22" s="35">
        <f>IFERROR(__xludf.DUMMYFUNCTION("""COMPUTED_VALUE"""),1.0)</f>
        <v>1</v>
      </c>
      <c r="H22" s="35">
        <f>IFERROR(__xludf.DUMMYFUNCTION("""COMPUTED_VALUE"""),0.4)</f>
        <v>0.4</v>
      </c>
      <c r="I22" s="4">
        <f t="shared" si="1"/>
        <v>0.5666666667</v>
      </c>
    </row>
    <row r="23">
      <c r="A23" s="30">
        <f>VLOOKUP(B23,map!B:C,2,false)</f>
        <v>30</v>
      </c>
      <c r="B23" s="31" t="str">
        <f>IFERROR(__xludf.DUMMYFUNCTION("""COMPUTED_VALUE"""),"Baltimore")</f>
        <v>Baltimore</v>
      </c>
      <c r="C23" s="35">
        <f>IFERROR(__xludf.DUMMYFUNCTION("""COMPUTED_VALUE"""),0.5)</f>
        <v>0.5</v>
      </c>
      <c r="D23" s="35">
        <f>IFERROR(__xludf.DUMMYFUNCTION("""COMPUTED_VALUE"""),0.3)</f>
        <v>0.3</v>
      </c>
      <c r="E23" s="35">
        <f>IFERROR(__xludf.DUMMYFUNCTION("""COMPUTED_VALUE"""),0.0)</f>
        <v>0</v>
      </c>
      <c r="F23" s="35">
        <f>IFERROR(__xludf.DUMMYFUNCTION("""COMPUTED_VALUE"""),0.3)</f>
        <v>0.3</v>
      </c>
      <c r="G23" s="35">
        <f>IFERROR(__xludf.DUMMYFUNCTION("""COMPUTED_VALUE"""),0.6)</f>
        <v>0.6</v>
      </c>
      <c r="H23" s="35">
        <f>IFERROR(__xludf.DUMMYFUNCTION("""COMPUTED_VALUE"""),0.6)</f>
        <v>0.6</v>
      </c>
      <c r="I23" s="4">
        <f t="shared" si="1"/>
        <v>0.3833333333</v>
      </c>
    </row>
    <row r="24">
      <c r="A24" s="30">
        <f>VLOOKUP(B24,map!B:C,2,false)</f>
        <v>24</v>
      </c>
      <c r="B24" s="31" t="str">
        <f>IFERROR(__xludf.DUMMYFUNCTION("""COMPUTED_VALUE"""),"Las Vegas")</f>
        <v>Las Vegas</v>
      </c>
      <c r="C24" s="35">
        <f>IFERROR(__xludf.DUMMYFUNCTION("""COMPUTED_VALUE"""),0.5)</f>
        <v>0.5</v>
      </c>
      <c r="D24" s="35">
        <f>IFERROR(__xludf.DUMMYFUNCTION("""COMPUTED_VALUE"""),1.0)</f>
        <v>1</v>
      </c>
      <c r="E24" s="35">
        <f>IFERROR(__xludf.DUMMYFUNCTION("""COMPUTED_VALUE"""),1.0)</f>
        <v>1</v>
      </c>
      <c r="F24" s="35">
        <f>IFERROR(__xludf.DUMMYFUNCTION("""COMPUTED_VALUE"""),0.8)</f>
        <v>0.8</v>
      </c>
      <c r="G24" s="35">
        <f>IFERROR(__xludf.DUMMYFUNCTION("""COMPUTED_VALUE"""),0.3)</f>
        <v>0.3</v>
      </c>
      <c r="H24" s="35">
        <f>IFERROR(__xludf.DUMMYFUNCTION("""COMPUTED_VALUE"""),0.8)</f>
        <v>0.8</v>
      </c>
      <c r="I24" s="4">
        <f t="shared" si="1"/>
        <v>0.7333333333</v>
      </c>
    </row>
    <row r="25">
      <c r="A25" s="30">
        <f>VLOOKUP(B25,map!B:C,2,false)</f>
        <v>14</v>
      </c>
      <c r="B25" s="31" t="str">
        <f>IFERROR(__xludf.DUMMYFUNCTION("""COMPUTED_VALUE"""),"Tampa Bay")</f>
        <v>Tampa Bay</v>
      </c>
      <c r="C25" s="35">
        <f>IFERROR(__xludf.DUMMYFUNCTION("""COMPUTED_VALUE"""),0.4)</f>
        <v>0.4</v>
      </c>
      <c r="D25" s="35">
        <f>IFERROR(__xludf.DUMMYFUNCTION("""COMPUTED_VALUE"""),0.7)</f>
        <v>0.7</v>
      </c>
      <c r="E25" s="35">
        <f>IFERROR(__xludf.DUMMYFUNCTION("""COMPUTED_VALUE"""),1.0)</f>
        <v>1</v>
      </c>
      <c r="F25" s="35">
        <f>IFERROR(__xludf.DUMMYFUNCTION("""COMPUTED_VALUE"""),0.6)</f>
        <v>0.6</v>
      </c>
      <c r="G25" s="35">
        <f>IFERROR(__xludf.DUMMYFUNCTION("""COMPUTED_VALUE"""),0.0)</f>
        <v>0</v>
      </c>
      <c r="H25" s="35">
        <f>IFERROR(__xludf.DUMMYFUNCTION("""COMPUTED_VALUE"""),0.7)</f>
        <v>0.7</v>
      </c>
      <c r="I25" s="4">
        <f t="shared" si="1"/>
        <v>0.5666666667</v>
      </c>
    </row>
    <row r="26">
      <c r="A26" s="30">
        <f>VLOOKUP(B26,map!B:C,2,false)</f>
        <v>21</v>
      </c>
      <c r="B26" s="31" t="str">
        <f>IFERROR(__xludf.DUMMYFUNCTION("""COMPUTED_VALUE"""),"Arizona")</f>
        <v>Arizona</v>
      </c>
      <c r="C26" s="35">
        <f>IFERROR(__xludf.DUMMYFUNCTION("""COMPUTED_VALUE"""),0.4)</f>
        <v>0.4</v>
      </c>
      <c r="D26" s="35">
        <f>IFERROR(__xludf.DUMMYFUNCTION("""COMPUTED_VALUE"""),0.0)</f>
        <v>0</v>
      </c>
      <c r="E26" s="35">
        <f>IFERROR(__xludf.DUMMYFUNCTION("""COMPUTED_VALUE"""),0.0)</f>
        <v>0</v>
      </c>
      <c r="F26" s="35">
        <f>IFERROR(__xludf.DUMMYFUNCTION("""COMPUTED_VALUE"""),0.5)</f>
        <v>0.5</v>
      </c>
      <c r="G26" s="35">
        <f>IFERROR(__xludf.DUMMYFUNCTION("""COMPUTED_VALUE"""),0.3)</f>
        <v>0.3</v>
      </c>
      <c r="H26" s="35">
        <f>IFERROR(__xludf.DUMMYFUNCTION("""COMPUTED_VALUE"""),0.9)</f>
        <v>0.9</v>
      </c>
      <c r="I26" s="4">
        <f t="shared" si="1"/>
        <v>0.35</v>
      </c>
    </row>
    <row r="27">
      <c r="A27" s="30">
        <f>VLOOKUP(B27,map!B:C,2,false)</f>
        <v>4</v>
      </c>
      <c r="B27" s="31" t="str">
        <f>IFERROR(__xludf.DUMMYFUNCTION("""COMPUTED_VALUE"""),"Cincinnati")</f>
        <v>Cincinnati</v>
      </c>
      <c r="C27" s="35">
        <f>IFERROR(__xludf.DUMMYFUNCTION("""COMPUTED_VALUE"""),0.4)</f>
        <v>0.4</v>
      </c>
      <c r="D27" s="35">
        <f>IFERROR(__xludf.DUMMYFUNCTION("""COMPUTED_VALUE"""),0.0)</f>
        <v>0</v>
      </c>
      <c r="E27" s="35">
        <f>IFERROR(__xludf.DUMMYFUNCTION("""COMPUTED_VALUE"""),0.0)</f>
        <v>0</v>
      </c>
      <c r="F27" s="35">
        <f>IFERROR(__xludf.DUMMYFUNCTION("""COMPUTED_VALUE"""),0.3)</f>
        <v>0.3</v>
      </c>
      <c r="G27" s="35">
        <f>IFERROR(__xludf.DUMMYFUNCTION("""COMPUTED_VALUE"""),0.5)</f>
        <v>0.5</v>
      </c>
      <c r="H27" s="35">
        <f>IFERROR(__xludf.DUMMYFUNCTION("""COMPUTED_VALUE"""),0.5)</f>
        <v>0.5</v>
      </c>
      <c r="I27" s="4">
        <f t="shared" si="1"/>
        <v>0.2833333333</v>
      </c>
    </row>
    <row r="28">
      <c r="A28" s="30">
        <f>VLOOKUP(B28,map!B:C,2,false)</f>
        <v>25</v>
      </c>
      <c r="B28" s="31" t="str">
        <f>IFERROR(__xludf.DUMMYFUNCTION("""COMPUTED_VALUE"""),"San Francisco")</f>
        <v>San Francisco</v>
      </c>
      <c r="C28" s="35">
        <f>IFERROR(__xludf.DUMMYFUNCTION("""COMPUTED_VALUE"""),0.4)</f>
        <v>0.4</v>
      </c>
      <c r="D28" s="35">
        <f>IFERROR(__xludf.DUMMYFUNCTION("""COMPUTED_VALUE"""),0.3)</f>
        <v>0.3</v>
      </c>
      <c r="E28" s="35">
        <f>IFERROR(__xludf.DUMMYFUNCTION("""COMPUTED_VALUE"""),0.0)</f>
        <v>0</v>
      </c>
      <c r="F28" s="35">
        <f>IFERROR(__xludf.DUMMYFUNCTION("""COMPUTED_VALUE"""),0.2)</f>
        <v>0.2</v>
      </c>
      <c r="G28" s="35">
        <f>IFERROR(__xludf.DUMMYFUNCTION("""COMPUTED_VALUE"""),0.7)</f>
        <v>0.7</v>
      </c>
      <c r="H28" s="35">
        <f>IFERROR(__xludf.DUMMYFUNCTION("""COMPUTED_VALUE"""),0.4)</f>
        <v>0.4</v>
      </c>
      <c r="I28" s="4">
        <f t="shared" si="1"/>
        <v>0.3333333333</v>
      </c>
    </row>
    <row r="29">
      <c r="A29" s="30">
        <f>VLOOKUP(B29,map!B:C,2,false)</f>
        <v>3</v>
      </c>
      <c r="B29" s="31" t="str">
        <f>IFERROR(__xludf.DUMMYFUNCTION("""COMPUTED_VALUE"""),"Minnesota")</f>
        <v>Minnesota</v>
      </c>
      <c r="C29" s="35">
        <f>IFERROR(__xludf.DUMMYFUNCTION("""COMPUTED_VALUE"""),0.3)</f>
        <v>0.3</v>
      </c>
      <c r="D29" s="35">
        <f>IFERROR(__xludf.DUMMYFUNCTION("""COMPUTED_VALUE"""),0.0)</f>
        <v>0</v>
      </c>
      <c r="E29" s="35">
        <f>IFERROR(__xludf.DUMMYFUNCTION("""COMPUTED_VALUE"""),0.0)</f>
        <v>0</v>
      </c>
      <c r="F29" s="35">
        <f>IFERROR(__xludf.DUMMYFUNCTION("""COMPUTED_VALUE"""),0.3)</f>
        <v>0.3</v>
      </c>
      <c r="G29" s="35">
        <f>IFERROR(__xludf.DUMMYFUNCTION("""COMPUTED_VALUE"""),0.3)</f>
        <v>0.3</v>
      </c>
      <c r="H29" s="35">
        <f>IFERROR(__xludf.DUMMYFUNCTION("""COMPUTED_VALUE"""),1.0)</f>
        <v>1</v>
      </c>
      <c r="I29" s="4">
        <f t="shared" si="1"/>
        <v>0.3166666667</v>
      </c>
    </row>
    <row r="30">
      <c r="A30" s="30">
        <f>VLOOKUP(B30,map!B:C,2,false)</f>
        <v>10</v>
      </c>
      <c r="B30" s="31" t="str">
        <f>IFERROR(__xludf.DUMMYFUNCTION("""COMPUTED_VALUE"""),"Miami")</f>
        <v>Miami</v>
      </c>
      <c r="C30" s="35">
        <f>IFERROR(__xludf.DUMMYFUNCTION("""COMPUTED_VALUE"""),0.3)</f>
        <v>0.3</v>
      </c>
      <c r="D30" s="35">
        <f>IFERROR(__xludf.DUMMYFUNCTION("""COMPUTED_VALUE"""),0.0)</f>
        <v>0</v>
      </c>
      <c r="E30" s="35">
        <f>IFERROR(__xludf.DUMMYFUNCTION("""COMPUTED_VALUE"""),0.0)</f>
        <v>0</v>
      </c>
      <c r="F30" s="35">
        <f>IFERROR(__xludf.DUMMYFUNCTION("""COMPUTED_VALUE"""),0.5)</f>
        <v>0.5</v>
      </c>
      <c r="G30" s="35">
        <f>IFERROR(__xludf.DUMMYFUNCTION("""COMPUTED_VALUE"""),0.0)</f>
        <v>0</v>
      </c>
      <c r="H30" s="35">
        <f>IFERROR(__xludf.DUMMYFUNCTION("""COMPUTED_VALUE"""),0.8)</f>
        <v>0.8</v>
      </c>
      <c r="I30" s="4">
        <f t="shared" si="1"/>
        <v>0.2666666667</v>
      </c>
    </row>
    <row r="31">
      <c r="A31" s="30">
        <f>VLOOKUP(B31,map!B:C,2,false)</f>
        <v>15</v>
      </c>
      <c r="B31" s="31" t="str">
        <f>IFERROR(__xludf.DUMMYFUNCTION("""COMPUTED_VALUE"""),"Green Bay")</f>
        <v>Green Bay</v>
      </c>
      <c r="C31" s="35">
        <f>IFERROR(__xludf.DUMMYFUNCTION("""COMPUTED_VALUE"""),0.3)</f>
        <v>0.3</v>
      </c>
      <c r="D31" s="35">
        <f>IFERROR(__xludf.DUMMYFUNCTION("""COMPUTED_VALUE"""),0.3)</f>
        <v>0.3</v>
      </c>
      <c r="E31" s="35">
        <f>IFERROR(__xludf.DUMMYFUNCTION("""COMPUTED_VALUE"""),0.0)</f>
        <v>0</v>
      </c>
      <c r="F31" s="35">
        <f>IFERROR(__xludf.DUMMYFUNCTION("""COMPUTED_VALUE"""),0.3)</f>
        <v>0.3</v>
      </c>
      <c r="G31" s="35">
        <f>IFERROR(__xludf.DUMMYFUNCTION("""COMPUTED_VALUE"""),0.3)</f>
        <v>0.3</v>
      </c>
      <c r="H31" s="35">
        <f>IFERROR(__xludf.DUMMYFUNCTION("""COMPUTED_VALUE"""),0.7)</f>
        <v>0.7</v>
      </c>
      <c r="I31" s="4">
        <f t="shared" si="1"/>
        <v>0.3166666667</v>
      </c>
    </row>
    <row r="32">
      <c r="A32" s="30">
        <f>VLOOKUP(B32,map!B:C,2,false)</f>
        <v>7</v>
      </c>
      <c r="B32" s="31" t="str">
        <f>IFERROR(__xludf.DUMMYFUNCTION("""COMPUTED_VALUE"""),"LA Chargers")</f>
        <v>LA Chargers</v>
      </c>
      <c r="C32" s="35">
        <f>IFERROR(__xludf.DUMMYFUNCTION("""COMPUTED_VALUE"""),0.1)</f>
        <v>0.1</v>
      </c>
      <c r="D32" s="35">
        <f>IFERROR(__xludf.DUMMYFUNCTION("""COMPUTED_VALUE"""),0.3)</f>
        <v>0.3</v>
      </c>
      <c r="E32" s="35">
        <f>IFERROR(__xludf.DUMMYFUNCTION("""COMPUTED_VALUE"""),0.0)</f>
        <v>0</v>
      </c>
      <c r="F32" s="35">
        <f>IFERROR(__xludf.DUMMYFUNCTION("""COMPUTED_VALUE"""),0.0)</f>
        <v>0</v>
      </c>
      <c r="G32" s="35">
        <f>IFERROR(__xludf.DUMMYFUNCTION("""COMPUTED_VALUE"""),0.3)</f>
        <v>0.3</v>
      </c>
      <c r="H32" s="35">
        <f>IFERROR(__xludf.DUMMYFUNCTION("""COMPUTED_VALUE"""),0.9)</f>
        <v>0.9</v>
      </c>
      <c r="I32" s="4">
        <f t="shared" si="1"/>
        <v>0.2666666667</v>
      </c>
    </row>
    <row r="33">
      <c r="A33" s="30">
        <f>VLOOKUP(B33,map!B:C,2,false)</f>
        <v>19</v>
      </c>
      <c r="B33" s="4" t="str">
        <f>IFERROR(__xludf.DUMMYFUNCTION("""COMPUTED_VALUE"""),"NY Jets")</f>
        <v>NY Jets</v>
      </c>
      <c r="C33" s="4">
        <f>IFERROR(__xludf.DUMMYFUNCTION("""COMPUTED_VALUE"""),0.1)</f>
        <v>0.1</v>
      </c>
      <c r="D33" s="4">
        <f>IFERROR(__xludf.DUMMYFUNCTION("""COMPUTED_VALUE"""),0.3)</f>
        <v>0.3</v>
      </c>
      <c r="E33" s="4">
        <f>IFERROR(__xludf.DUMMYFUNCTION("""COMPUTED_VALUE"""),0.0)</f>
        <v>0</v>
      </c>
      <c r="F33" s="4">
        <f>IFERROR(__xludf.DUMMYFUNCTION("""COMPUTED_VALUE"""),0.0)</f>
        <v>0</v>
      </c>
      <c r="G33" s="4">
        <f>IFERROR(__xludf.DUMMYFUNCTION("""COMPUTED_VALUE"""),0.2)</f>
        <v>0.2</v>
      </c>
      <c r="H33" s="4">
        <f>IFERROR(__xludf.DUMMYFUNCTION("""COMPUTED_VALUE"""),1.0)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/>
      <c r="B1" s="27" t="str">
        <f>IFERROR(__xludf.DUMMYFUNCTION("QUERY(IMPORTHTML(""https://www.teamrankings.com/nfl/stat/yards-per-play?date="" &amp; TEXT(TODAY(),""yyyy-mm-dd""), ""table"", 1, ""en_US""), ""SELECT Col2, Col3, Col4, Col5, Col6, Col7, Col8"")
"),"Team")</f>
        <v>Team</v>
      </c>
      <c r="C1" s="28" t="str">
        <f>IFERROR(__xludf.DUMMYFUNCTION("""COMPUTED_VALUE"""),"2024")</f>
        <v>2024</v>
      </c>
      <c r="D1" s="29" t="str">
        <f>IFERROR(__xludf.DUMMYFUNCTION("""COMPUTED_VALUE"""),"Last 3")</f>
        <v>Last 3</v>
      </c>
      <c r="E1" s="29" t="str">
        <f>IFERROR(__xludf.DUMMYFUNCTION("""COMPUTED_VALUE"""),"Last 1")</f>
        <v>Last 1</v>
      </c>
      <c r="F1" s="28" t="str">
        <f>IFERROR(__xludf.DUMMYFUNCTION("""COMPUTED_VALUE"""),"Home")</f>
        <v>Home</v>
      </c>
      <c r="G1" s="28" t="str">
        <f>IFERROR(__xludf.DUMMYFUNCTION("""COMPUTED_VALUE"""),"Away")</f>
        <v>Away</v>
      </c>
      <c r="H1" s="28" t="str">
        <f>IFERROR(__xludf.DUMMYFUNCTION("""COMPUTED_VALUE"""),"2023")</f>
        <v>2023</v>
      </c>
    </row>
    <row r="2">
      <c r="A2" s="30">
        <f>VLOOKUP(B2,map!B:C,2,false)</f>
        <v>30</v>
      </c>
      <c r="B2" s="31" t="str">
        <f>IFERROR(__xludf.DUMMYFUNCTION("""COMPUTED_VALUE"""),"Baltimore")</f>
        <v>Baltimore</v>
      </c>
      <c r="C2" s="35">
        <f>IFERROR(__xludf.DUMMYFUNCTION("""COMPUTED_VALUE"""),7.1)</f>
        <v>7.1</v>
      </c>
      <c r="D2" s="35">
        <f>IFERROR(__xludf.DUMMYFUNCTION("""COMPUTED_VALUE"""),7.6)</f>
        <v>7.6</v>
      </c>
      <c r="E2" s="35">
        <f>IFERROR(__xludf.DUMMYFUNCTION("""COMPUTED_VALUE"""),6.2)</f>
        <v>6.2</v>
      </c>
      <c r="F2" s="35">
        <f>IFERROR(__xludf.DUMMYFUNCTION("""COMPUTED_VALUE"""),7.1)</f>
        <v>7.1</v>
      </c>
      <c r="G2" s="35">
        <f>IFERROR(__xludf.DUMMYFUNCTION("""COMPUTED_VALUE"""),7.1)</f>
        <v>7.1</v>
      </c>
      <c r="H2" s="35">
        <f>IFERROR(__xludf.DUMMYFUNCTION("""COMPUTED_VALUE"""),5.8)</f>
        <v>5.8</v>
      </c>
      <c r="I2" s="4">
        <f t="shared" ref="I2:I33" si="1">AVERAGE(C2:H2)</f>
        <v>6.816666667</v>
      </c>
    </row>
    <row r="3">
      <c r="A3" s="30">
        <f>VLOOKUP(B3,map!B:C,2,false)</f>
        <v>25</v>
      </c>
      <c r="B3" s="31" t="str">
        <f>IFERROR(__xludf.DUMMYFUNCTION("""COMPUTED_VALUE"""),"San Francisco")</f>
        <v>San Francisco</v>
      </c>
      <c r="C3" s="35">
        <f>IFERROR(__xludf.DUMMYFUNCTION("""COMPUTED_VALUE"""),6.5)</f>
        <v>6.5</v>
      </c>
      <c r="D3" s="35">
        <f>IFERROR(__xludf.DUMMYFUNCTION("""COMPUTED_VALUE"""),7.0)</f>
        <v>7</v>
      </c>
      <c r="E3" s="35">
        <f>IFERROR(__xludf.DUMMYFUNCTION("""COMPUTED_VALUE"""),7.3)</f>
        <v>7.3</v>
      </c>
      <c r="F3" s="35">
        <f>IFERROR(__xludf.DUMMYFUNCTION("""COMPUTED_VALUE"""),6.4)</f>
        <v>6.4</v>
      </c>
      <c r="G3" s="35">
        <f>IFERROR(__xludf.DUMMYFUNCTION("""COMPUTED_VALUE"""),6.8)</f>
        <v>6.8</v>
      </c>
      <c r="H3" s="35">
        <f>IFERROR(__xludf.DUMMYFUNCTION("""COMPUTED_VALUE"""),6.5)</f>
        <v>6.5</v>
      </c>
      <c r="I3" s="4">
        <f t="shared" si="1"/>
        <v>6.75</v>
      </c>
    </row>
    <row r="4">
      <c r="A4" s="30">
        <f>VLOOKUP(B4,map!B:C,2,false)</f>
        <v>8</v>
      </c>
      <c r="B4" s="31" t="str">
        <f>IFERROR(__xludf.DUMMYFUNCTION("""COMPUTED_VALUE"""),"Washington")</f>
        <v>Washington</v>
      </c>
      <c r="C4" s="35">
        <f>IFERROR(__xludf.DUMMYFUNCTION("""COMPUTED_VALUE"""),6.3)</f>
        <v>6.3</v>
      </c>
      <c r="D4" s="35">
        <f>IFERROR(__xludf.DUMMYFUNCTION("""COMPUTED_VALUE"""),6.3)</f>
        <v>6.3</v>
      </c>
      <c r="E4" s="35">
        <f>IFERROR(__xludf.DUMMYFUNCTION("""COMPUTED_VALUE"""),6.7)</f>
        <v>6.7</v>
      </c>
      <c r="F4" s="35">
        <f>IFERROR(__xludf.DUMMYFUNCTION("""COMPUTED_VALUE"""),6.5)</f>
        <v>6.5</v>
      </c>
      <c r="G4" s="35">
        <f>IFERROR(__xludf.DUMMYFUNCTION("""COMPUTED_VALUE"""),6.0)</f>
        <v>6</v>
      </c>
      <c r="H4" s="35">
        <f>IFERROR(__xludf.DUMMYFUNCTION("""COMPUTED_VALUE"""),5.0)</f>
        <v>5</v>
      </c>
      <c r="I4" s="4">
        <f t="shared" si="1"/>
        <v>6.133333333</v>
      </c>
    </row>
    <row r="5">
      <c r="A5" s="30">
        <f>VLOOKUP(B5,map!B:C,2,false)</f>
        <v>5</v>
      </c>
      <c r="B5" s="31" t="str">
        <f>IFERROR(__xludf.DUMMYFUNCTION("""COMPUTED_VALUE"""),"Detroit")</f>
        <v>Detroit</v>
      </c>
      <c r="C5" s="35">
        <f>IFERROR(__xludf.DUMMYFUNCTION("""COMPUTED_VALUE"""),6.3)</f>
        <v>6.3</v>
      </c>
      <c r="D5" s="35">
        <f>IFERROR(__xludf.DUMMYFUNCTION("""COMPUTED_VALUE"""),6.6)</f>
        <v>6.6</v>
      </c>
      <c r="E5" s="35">
        <f>IFERROR(__xludf.DUMMYFUNCTION("""COMPUTED_VALUE"""),4.8)</f>
        <v>4.8</v>
      </c>
      <c r="F5" s="35">
        <f>IFERROR(__xludf.DUMMYFUNCTION("""COMPUTED_VALUE"""),6.0)</f>
        <v>6</v>
      </c>
      <c r="G5" s="35">
        <f>IFERROR(__xludf.DUMMYFUNCTION("""COMPUTED_VALUE"""),6.6)</f>
        <v>6.6</v>
      </c>
      <c r="H5" s="35">
        <f>IFERROR(__xludf.DUMMYFUNCTION("""COMPUTED_VALUE"""),5.9)</f>
        <v>5.9</v>
      </c>
      <c r="I5" s="4">
        <f t="shared" si="1"/>
        <v>6.033333333</v>
      </c>
    </row>
    <row r="6">
      <c r="A6" s="30">
        <f>VLOOKUP(B6,map!B:C,2,false)</f>
        <v>14</v>
      </c>
      <c r="B6" s="31" t="str">
        <f>IFERROR(__xludf.DUMMYFUNCTION("""COMPUTED_VALUE"""),"Tampa Bay")</f>
        <v>Tampa Bay</v>
      </c>
      <c r="C6" s="35">
        <f>IFERROR(__xludf.DUMMYFUNCTION("""COMPUTED_VALUE"""),6.1)</f>
        <v>6.1</v>
      </c>
      <c r="D6" s="35">
        <f>IFERROR(__xludf.DUMMYFUNCTION("""COMPUTED_VALUE"""),6.8)</f>
        <v>6.8</v>
      </c>
      <c r="E6" s="35">
        <f>IFERROR(__xludf.DUMMYFUNCTION("""COMPUTED_VALUE"""),6.0)</f>
        <v>6</v>
      </c>
      <c r="F6" s="35">
        <f>IFERROR(__xludf.DUMMYFUNCTION("""COMPUTED_VALUE"""),5.8)</f>
        <v>5.8</v>
      </c>
      <c r="G6" s="35">
        <f>IFERROR(__xludf.DUMMYFUNCTION("""COMPUTED_VALUE"""),6.7)</f>
        <v>6.7</v>
      </c>
      <c r="H6" s="35">
        <f>IFERROR(__xludf.DUMMYFUNCTION("""COMPUTED_VALUE"""),5.2)</f>
        <v>5.2</v>
      </c>
      <c r="I6" s="4">
        <f t="shared" si="1"/>
        <v>6.1</v>
      </c>
    </row>
    <row r="7">
      <c r="A7" s="30">
        <f>VLOOKUP(B7,map!B:C,2,false)</f>
        <v>15</v>
      </c>
      <c r="B7" s="31" t="str">
        <f>IFERROR(__xludf.DUMMYFUNCTION("""COMPUTED_VALUE"""),"Green Bay")</f>
        <v>Green Bay</v>
      </c>
      <c r="C7" s="35">
        <f>IFERROR(__xludf.DUMMYFUNCTION("""COMPUTED_VALUE"""),6.1)</f>
        <v>6.1</v>
      </c>
      <c r="D7" s="35">
        <f>IFERROR(__xludf.DUMMYFUNCTION("""COMPUTED_VALUE"""),5.9)</f>
        <v>5.9</v>
      </c>
      <c r="E7" s="35">
        <f>IFERROR(__xludf.DUMMYFUNCTION("""COMPUTED_VALUE"""),6.3)</f>
        <v>6.3</v>
      </c>
      <c r="F7" s="35">
        <f>IFERROR(__xludf.DUMMYFUNCTION("""COMPUTED_VALUE"""),5.9)</f>
        <v>5.9</v>
      </c>
      <c r="G7" s="35">
        <f>IFERROR(__xludf.DUMMYFUNCTION("""COMPUTED_VALUE"""),6.4)</f>
        <v>6.4</v>
      </c>
      <c r="H7" s="35">
        <f>IFERROR(__xludf.DUMMYFUNCTION("""COMPUTED_VALUE"""),5.7)</f>
        <v>5.7</v>
      </c>
      <c r="I7" s="4">
        <f t="shared" si="1"/>
        <v>6.05</v>
      </c>
    </row>
    <row r="8">
      <c r="A8" s="30">
        <f>VLOOKUP(B8,map!B:C,2,false)</f>
        <v>28</v>
      </c>
      <c r="B8" s="31" t="str">
        <f>IFERROR(__xludf.DUMMYFUNCTION("""COMPUTED_VALUE"""),"Atlanta")</f>
        <v>Atlanta</v>
      </c>
      <c r="C8" s="35">
        <f>IFERROR(__xludf.DUMMYFUNCTION("""COMPUTED_VALUE"""),6.0)</f>
        <v>6</v>
      </c>
      <c r="D8" s="35">
        <f>IFERROR(__xludf.DUMMYFUNCTION("""COMPUTED_VALUE"""),6.0)</f>
        <v>6</v>
      </c>
      <c r="E8" s="35">
        <f>IFERROR(__xludf.DUMMYFUNCTION("""COMPUTED_VALUE"""),6.6)</f>
        <v>6.6</v>
      </c>
      <c r="F8" s="35">
        <f>IFERROR(__xludf.DUMMYFUNCTION("""COMPUTED_VALUE"""),5.7)</f>
        <v>5.7</v>
      </c>
      <c r="G8" s="35">
        <f>IFERROR(__xludf.DUMMYFUNCTION("""COMPUTED_VALUE"""),6.5)</f>
        <v>6.5</v>
      </c>
      <c r="H8" s="35">
        <f>IFERROR(__xludf.DUMMYFUNCTION("""COMPUTED_VALUE"""),5.2)</f>
        <v>5.2</v>
      </c>
      <c r="I8" s="4">
        <f t="shared" si="1"/>
        <v>6</v>
      </c>
    </row>
    <row r="9">
      <c r="A9" s="30">
        <f>VLOOKUP(B9,map!B:C,2,false)</f>
        <v>21</v>
      </c>
      <c r="B9" s="31" t="str">
        <f>IFERROR(__xludf.DUMMYFUNCTION("""COMPUTED_VALUE"""),"Arizona")</f>
        <v>Arizona</v>
      </c>
      <c r="C9" s="35">
        <f>IFERROR(__xludf.DUMMYFUNCTION("""COMPUTED_VALUE"""),5.9)</f>
        <v>5.9</v>
      </c>
      <c r="D9" s="35">
        <f>IFERROR(__xludf.DUMMYFUNCTION("""COMPUTED_VALUE"""),5.9)</f>
        <v>5.9</v>
      </c>
      <c r="E9" s="35">
        <f>IFERROR(__xludf.DUMMYFUNCTION("""COMPUTED_VALUE"""),6.3)</f>
        <v>6.3</v>
      </c>
      <c r="F9" s="35">
        <f>IFERROR(__xludf.DUMMYFUNCTION("""COMPUTED_VALUE"""),6.1)</f>
        <v>6.1</v>
      </c>
      <c r="G9" s="35">
        <f>IFERROR(__xludf.DUMMYFUNCTION("""COMPUTED_VALUE"""),5.6)</f>
        <v>5.6</v>
      </c>
      <c r="H9" s="35">
        <f>IFERROR(__xludf.DUMMYFUNCTION("""COMPUTED_VALUE"""),5.2)</f>
        <v>5.2</v>
      </c>
      <c r="I9" s="4">
        <f t="shared" si="1"/>
        <v>5.833333333</v>
      </c>
    </row>
    <row r="10">
      <c r="A10" s="30">
        <f>VLOOKUP(B10,map!B:C,2,false)</f>
        <v>11</v>
      </c>
      <c r="B10" s="31" t="str">
        <f>IFERROR(__xludf.DUMMYFUNCTION("""COMPUTED_VALUE"""),"Buffalo")</f>
        <v>Buffalo</v>
      </c>
      <c r="C10" s="35">
        <f>IFERROR(__xludf.DUMMYFUNCTION("""COMPUTED_VALUE"""),5.8)</f>
        <v>5.8</v>
      </c>
      <c r="D10" s="35">
        <f>IFERROR(__xludf.DUMMYFUNCTION("""COMPUTED_VALUE"""),6.5)</f>
        <v>6.5</v>
      </c>
      <c r="E10" s="35">
        <f>IFERROR(__xludf.DUMMYFUNCTION("""COMPUTED_VALUE"""),6.4)</f>
        <v>6.4</v>
      </c>
      <c r="F10" s="35">
        <f>IFERROR(__xludf.DUMMYFUNCTION("""COMPUTED_VALUE"""),6.6)</f>
        <v>6.6</v>
      </c>
      <c r="G10" s="35">
        <f>IFERROR(__xludf.DUMMYFUNCTION("""COMPUTED_VALUE"""),5.4)</f>
        <v>5.4</v>
      </c>
      <c r="H10" s="35">
        <f>IFERROR(__xludf.DUMMYFUNCTION("""COMPUTED_VALUE"""),5.6)</f>
        <v>5.6</v>
      </c>
      <c r="I10" s="4">
        <f t="shared" si="1"/>
        <v>6.05</v>
      </c>
    </row>
    <row r="11">
      <c r="A11" s="30">
        <f>VLOOKUP(B11,map!B:C,2,false)</f>
        <v>6</v>
      </c>
      <c r="B11" s="31" t="str">
        <f>IFERROR(__xludf.DUMMYFUNCTION("""COMPUTED_VALUE"""),"Jacksonville")</f>
        <v>Jacksonville</v>
      </c>
      <c r="C11" s="35">
        <f>IFERROR(__xludf.DUMMYFUNCTION("""COMPUTED_VALUE"""),5.8)</f>
        <v>5.8</v>
      </c>
      <c r="D11" s="35">
        <f>IFERROR(__xludf.DUMMYFUNCTION("""COMPUTED_VALUE"""),5.9)</f>
        <v>5.9</v>
      </c>
      <c r="E11" s="35">
        <f>IFERROR(__xludf.DUMMYFUNCTION("""COMPUTED_VALUE"""),7.0)</f>
        <v>7</v>
      </c>
      <c r="F11" s="35">
        <f>IFERROR(__xludf.DUMMYFUNCTION("""COMPUTED_VALUE"""),7.2)</f>
        <v>7.2</v>
      </c>
      <c r="G11" s="35">
        <f>IFERROR(__xludf.DUMMYFUNCTION("""COMPUTED_VALUE"""),5.0)</f>
        <v>5</v>
      </c>
      <c r="H11" s="35">
        <f>IFERROR(__xludf.DUMMYFUNCTION("""COMPUTED_VALUE"""),5.2)</f>
        <v>5.2</v>
      </c>
      <c r="I11" s="4">
        <f t="shared" si="1"/>
        <v>6.016666667</v>
      </c>
    </row>
    <row r="12">
      <c r="A12" s="30">
        <f>VLOOKUP(B12,map!B:C,2,false)</f>
        <v>3</v>
      </c>
      <c r="B12" s="31" t="str">
        <f>IFERROR(__xludf.DUMMYFUNCTION("""COMPUTED_VALUE"""),"Minnesota")</f>
        <v>Minnesota</v>
      </c>
      <c r="C12" s="35">
        <f>IFERROR(__xludf.DUMMYFUNCTION("""COMPUTED_VALUE"""),5.7)</f>
        <v>5.7</v>
      </c>
      <c r="D12" s="35">
        <f>IFERROR(__xludf.DUMMYFUNCTION("""COMPUTED_VALUE"""),5.4)</f>
        <v>5.4</v>
      </c>
      <c r="E12" s="35">
        <f>IFERROR(__xludf.DUMMYFUNCTION("""COMPUTED_VALUE"""),5.5)</f>
        <v>5.5</v>
      </c>
      <c r="F12" s="35">
        <f>IFERROR(__xludf.DUMMYFUNCTION("""COMPUTED_VALUE"""),6.4)</f>
        <v>6.4</v>
      </c>
      <c r="G12" s="35">
        <f>IFERROR(__xludf.DUMMYFUNCTION("""COMPUTED_VALUE"""),5.3)</f>
        <v>5.3</v>
      </c>
      <c r="H12" s="35">
        <f>IFERROR(__xludf.DUMMYFUNCTION("""COMPUTED_VALUE"""),5.5)</f>
        <v>5.5</v>
      </c>
      <c r="I12" s="4">
        <f t="shared" si="1"/>
        <v>5.633333333</v>
      </c>
    </row>
    <row r="13">
      <c r="A13" s="30">
        <f>VLOOKUP(B13,map!B:C,2,false)</f>
        <v>12</v>
      </c>
      <c r="B13" s="31" t="str">
        <f>IFERROR(__xludf.DUMMYFUNCTION("""COMPUTED_VALUE"""),"Philadelphia")</f>
        <v>Philadelphia</v>
      </c>
      <c r="C13" s="35">
        <f>IFERROR(__xludf.DUMMYFUNCTION("""COMPUTED_VALUE"""),5.7)</f>
        <v>5.7</v>
      </c>
      <c r="D13" s="35">
        <f>IFERROR(__xludf.DUMMYFUNCTION("""COMPUTED_VALUE"""),6.0)</f>
        <v>6</v>
      </c>
      <c r="E13" s="35">
        <f>IFERROR(__xludf.DUMMYFUNCTION("""COMPUTED_VALUE"""),6.7)</f>
        <v>6.7</v>
      </c>
      <c r="F13" s="35">
        <f>IFERROR(__xludf.DUMMYFUNCTION("""COMPUTED_VALUE"""),5.7)</f>
        <v>5.7</v>
      </c>
      <c r="G13" s="35">
        <f>IFERROR(__xludf.DUMMYFUNCTION("""COMPUTED_VALUE"""),5.7)</f>
        <v>5.7</v>
      </c>
      <c r="H13" s="35">
        <f>IFERROR(__xludf.DUMMYFUNCTION("""COMPUTED_VALUE"""),5.4)</f>
        <v>5.4</v>
      </c>
      <c r="I13" s="4">
        <f t="shared" si="1"/>
        <v>5.866666667</v>
      </c>
    </row>
    <row r="14">
      <c r="A14" s="30">
        <f>VLOOKUP(B14,map!B:C,2,false)</f>
        <v>4</v>
      </c>
      <c r="B14" s="31" t="str">
        <f>IFERROR(__xludf.DUMMYFUNCTION("""COMPUTED_VALUE"""),"Cincinnati")</f>
        <v>Cincinnati</v>
      </c>
      <c r="C14" s="35">
        <f>IFERROR(__xludf.DUMMYFUNCTION("""COMPUTED_VALUE"""),5.7)</f>
        <v>5.7</v>
      </c>
      <c r="D14" s="35">
        <f>IFERROR(__xludf.DUMMYFUNCTION("""COMPUTED_VALUE"""),5.0)</f>
        <v>5</v>
      </c>
      <c r="E14" s="35">
        <f>IFERROR(__xludf.DUMMYFUNCTION("""COMPUTED_VALUE"""),4.8)</f>
        <v>4.8</v>
      </c>
      <c r="F14" s="35">
        <f>IFERROR(__xludf.DUMMYFUNCTION("""COMPUTED_VALUE"""),6.0)</f>
        <v>6</v>
      </c>
      <c r="G14" s="35">
        <f>IFERROR(__xludf.DUMMYFUNCTION("""COMPUTED_VALUE"""),5.4)</f>
        <v>5.4</v>
      </c>
      <c r="H14" s="35">
        <f>IFERROR(__xludf.DUMMYFUNCTION("""COMPUTED_VALUE"""),5.2)</f>
        <v>5.2</v>
      </c>
      <c r="I14" s="4">
        <f t="shared" si="1"/>
        <v>5.35</v>
      </c>
    </row>
    <row r="15">
      <c r="A15" s="30">
        <f>VLOOKUP(B15,map!B:C,2,false)</f>
        <v>13</v>
      </c>
      <c r="B15" s="31" t="str">
        <f>IFERROR(__xludf.DUMMYFUNCTION("""COMPUTED_VALUE"""),"Seattle")</f>
        <v>Seattle</v>
      </c>
      <c r="C15" s="35">
        <f>IFERROR(__xludf.DUMMYFUNCTION("""COMPUTED_VALUE"""),5.6)</f>
        <v>5.6</v>
      </c>
      <c r="D15" s="35">
        <f>IFERROR(__xludf.DUMMYFUNCTION("""COMPUTED_VALUE"""),5.3)</f>
        <v>5.3</v>
      </c>
      <c r="E15" s="35">
        <f>IFERROR(__xludf.DUMMYFUNCTION("""COMPUTED_VALUE"""),5.0)</f>
        <v>5</v>
      </c>
      <c r="F15" s="35">
        <f>IFERROR(__xludf.DUMMYFUNCTION("""COMPUTED_VALUE"""),5.4)</f>
        <v>5.4</v>
      </c>
      <c r="G15" s="35">
        <f>IFERROR(__xludf.DUMMYFUNCTION("""COMPUTED_VALUE"""),6.1)</f>
        <v>6.1</v>
      </c>
      <c r="H15" s="35">
        <f>IFERROR(__xludf.DUMMYFUNCTION("""COMPUTED_VALUE"""),5.5)</f>
        <v>5.5</v>
      </c>
      <c r="I15" s="4">
        <f t="shared" si="1"/>
        <v>5.483333333</v>
      </c>
    </row>
    <row r="16">
      <c r="A16" s="30">
        <f>VLOOKUP(B16,map!B:C,2,false)</f>
        <v>20</v>
      </c>
      <c r="B16" s="31" t="str">
        <f>IFERROR(__xludf.DUMMYFUNCTION("""COMPUTED_VALUE"""),"Indianapolis")</f>
        <v>Indianapolis</v>
      </c>
      <c r="C16" s="35">
        <f>IFERROR(__xludf.DUMMYFUNCTION("""COMPUTED_VALUE"""),5.5)</f>
        <v>5.5</v>
      </c>
      <c r="D16" s="35">
        <f>IFERROR(__xludf.DUMMYFUNCTION("""COMPUTED_VALUE"""),4.5)</f>
        <v>4.5</v>
      </c>
      <c r="E16" s="35">
        <f>IFERROR(__xludf.DUMMYFUNCTION("""COMPUTED_VALUE"""),4.8)</f>
        <v>4.8</v>
      </c>
      <c r="F16" s="35">
        <f>IFERROR(__xludf.DUMMYFUNCTION("""COMPUTED_VALUE"""),5.6)</f>
        <v>5.6</v>
      </c>
      <c r="G16" s="35">
        <f>IFERROR(__xludf.DUMMYFUNCTION("""COMPUTED_VALUE"""),5.4)</f>
        <v>5.4</v>
      </c>
      <c r="H16" s="35">
        <f>IFERROR(__xludf.DUMMYFUNCTION("""COMPUTED_VALUE"""),5.2)</f>
        <v>5.2</v>
      </c>
      <c r="I16" s="4">
        <f t="shared" si="1"/>
        <v>5.166666667</v>
      </c>
    </row>
    <row r="17">
      <c r="A17" s="30">
        <f>VLOOKUP(B17,map!B:C,2,false)</f>
        <v>17</v>
      </c>
      <c r="B17" s="31" t="str">
        <f>IFERROR(__xludf.DUMMYFUNCTION("""COMPUTED_VALUE"""),"Houston")</f>
        <v>Houston</v>
      </c>
      <c r="C17" s="35">
        <f>IFERROR(__xludf.DUMMYFUNCTION("""COMPUTED_VALUE"""),5.4)</f>
        <v>5.4</v>
      </c>
      <c r="D17" s="35">
        <f>IFERROR(__xludf.DUMMYFUNCTION("""COMPUTED_VALUE"""),4.9)</f>
        <v>4.9</v>
      </c>
      <c r="E17" s="35">
        <f>IFERROR(__xludf.DUMMYFUNCTION("""COMPUTED_VALUE"""),5.3)</f>
        <v>5.3</v>
      </c>
      <c r="F17" s="35">
        <f>IFERROR(__xludf.DUMMYFUNCTION("""COMPUTED_VALUE"""),5.8)</f>
        <v>5.8</v>
      </c>
      <c r="G17" s="35">
        <f>IFERROR(__xludf.DUMMYFUNCTION("""COMPUTED_VALUE"""),4.9)</f>
        <v>4.9</v>
      </c>
      <c r="H17" s="35">
        <f>IFERROR(__xludf.DUMMYFUNCTION("""COMPUTED_VALUE"""),5.4)</f>
        <v>5.4</v>
      </c>
      <c r="I17" s="4">
        <f t="shared" si="1"/>
        <v>5.283333333</v>
      </c>
    </row>
    <row r="18">
      <c r="A18" s="30">
        <f>VLOOKUP(B18,map!B:C,2,false)</f>
        <v>2</v>
      </c>
      <c r="B18" s="31" t="str">
        <f>IFERROR(__xludf.DUMMYFUNCTION("""COMPUTED_VALUE"""),"Kansas City")</f>
        <v>Kansas City</v>
      </c>
      <c r="C18" s="35">
        <f>IFERROR(__xludf.DUMMYFUNCTION("""COMPUTED_VALUE"""),5.4)</f>
        <v>5.4</v>
      </c>
      <c r="D18" s="35">
        <f>IFERROR(__xludf.DUMMYFUNCTION("""COMPUTED_VALUE"""),5.2)</f>
        <v>5.2</v>
      </c>
      <c r="E18" s="35">
        <f>IFERROR(__xludf.DUMMYFUNCTION("""COMPUTED_VALUE"""),4.9)</f>
        <v>4.9</v>
      </c>
      <c r="F18" s="35">
        <f>IFERROR(__xludf.DUMMYFUNCTION("""COMPUTED_VALUE"""),5.8)</f>
        <v>5.8</v>
      </c>
      <c r="G18" s="35">
        <f>IFERROR(__xludf.DUMMYFUNCTION("""COMPUTED_VALUE"""),5.0)</f>
        <v>5</v>
      </c>
      <c r="H18" s="35">
        <f>IFERROR(__xludf.DUMMYFUNCTION("""COMPUTED_VALUE"""),5.6)</f>
        <v>5.6</v>
      </c>
      <c r="I18" s="4">
        <f t="shared" si="1"/>
        <v>5.316666667</v>
      </c>
    </row>
    <row r="19">
      <c r="A19" s="30">
        <f>VLOOKUP(B19,map!B:C,2,false)</f>
        <v>18</v>
      </c>
      <c r="B19" s="31" t="str">
        <f>IFERROR(__xludf.DUMMYFUNCTION("""COMPUTED_VALUE"""),"LA Rams")</f>
        <v>LA Rams</v>
      </c>
      <c r="C19" s="35">
        <f>IFERROR(__xludf.DUMMYFUNCTION("""COMPUTED_VALUE"""),5.2)</f>
        <v>5.2</v>
      </c>
      <c r="D19" s="35">
        <f>IFERROR(__xludf.DUMMYFUNCTION("""COMPUTED_VALUE"""),5.2)</f>
        <v>5.2</v>
      </c>
      <c r="E19" s="35">
        <f>IFERROR(__xludf.DUMMYFUNCTION("""COMPUTED_VALUE"""),5.8)</f>
        <v>5.8</v>
      </c>
      <c r="F19" s="35">
        <f>IFERROR(__xludf.DUMMYFUNCTION("""COMPUTED_VALUE"""),5.3)</f>
        <v>5.3</v>
      </c>
      <c r="G19" s="35">
        <f>IFERROR(__xludf.DUMMYFUNCTION("""COMPUTED_VALUE"""),5.2)</f>
        <v>5.2</v>
      </c>
      <c r="H19" s="35">
        <f>IFERROR(__xludf.DUMMYFUNCTION("""COMPUTED_VALUE"""),5.7)</f>
        <v>5.7</v>
      </c>
      <c r="I19" s="4">
        <f t="shared" si="1"/>
        <v>5.4</v>
      </c>
    </row>
    <row r="20">
      <c r="A20" s="30">
        <f>VLOOKUP(B20,map!B:C,2,false)</f>
        <v>7</v>
      </c>
      <c r="B20" s="31" t="str">
        <f>IFERROR(__xludf.DUMMYFUNCTION("""COMPUTED_VALUE"""),"LA Chargers")</f>
        <v>LA Chargers</v>
      </c>
      <c r="C20" s="35">
        <f>IFERROR(__xludf.DUMMYFUNCTION("""COMPUTED_VALUE"""),5.2)</f>
        <v>5.2</v>
      </c>
      <c r="D20" s="35">
        <f>IFERROR(__xludf.DUMMYFUNCTION("""COMPUTED_VALUE"""),5.5)</f>
        <v>5.5</v>
      </c>
      <c r="E20" s="35">
        <f>IFERROR(__xludf.DUMMYFUNCTION("""COMPUTED_VALUE"""),5.9)</f>
        <v>5.9</v>
      </c>
      <c r="F20" s="35">
        <f>IFERROR(__xludf.DUMMYFUNCTION("""COMPUTED_VALUE"""),5.4)</f>
        <v>5.4</v>
      </c>
      <c r="G20" s="35">
        <f>IFERROR(__xludf.DUMMYFUNCTION("""COMPUTED_VALUE"""),5.1)</f>
        <v>5.1</v>
      </c>
      <c r="H20" s="35">
        <f>IFERROR(__xludf.DUMMYFUNCTION("""COMPUTED_VALUE"""),5.1)</f>
        <v>5.1</v>
      </c>
      <c r="I20" s="4">
        <f t="shared" si="1"/>
        <v>5.366666667</v>
      </c>
    </row>
    <row r="21">
      <c r="A21" s="30">
        <f>VLOOKUP(B21,map!B:C,2,false)</f>
        <v>1</v>
      </c>
      <c r="B21" s="31" t="str">
        <f>IFERROR(__xludf.DUMMYFUNCTION("""COMPUTED_VALUE"""),"Dallas")</f>
        <v>Dallas</v>
      </c>
      <c r="C21" s="35">
        <f>IFERROR(__xludf.DUMMYFUNCTION("""COMPUTED_VALUE"""),5.2)</f>
        <v>5.2</v>
      </c>
      <c r="D21" s="35">
        <f>IFERROR(__xludf.DUMMYFUNCTION("""COMPUTED_VALUE"""),5.0)</f>
        <v>5</v>
      </c>
      <c r="E21" s="35">
        <f>IFERROR(__xludf.DUMMYFUNCTION("""COMPUTED_VALUE"""),4.9)</f>
        <v>4.9</v>
      </c>
      <c r="F21" s="35">
        <f>IFERROR(__xludf.DUMMYFUNCTION("""COMPUTED_VALUE"""),5.1)</f>
        <v>5.1</v>
      </c>
      <c r="G21" s="35">
        <f>IFERROR(__xludf.DUMMYFUNCTION("""COMPUTED_VALUE"""),5.3)</f>
        <v>5.3</v>
      </c>
      <c r="H21" s="35">
        <f>IFERROR(__xludf.DUMMYFUNCTION("""COMPUTED_VALUE"""),5.6)</f>
        <v>5.6</v>
      </c>
      <c r="I21" s="4">
        <f t="shared" si="1"/>
        <v>5.183333333</v>
      </c>
    </row>
    <row r="22">
      <c r="A22" s="30">
        <f>VLOOKUP(B22,map!B:C,2,false)</f>
        <v>9</v>
      </c>
      <c r="B22" s="31" t="str">
        <f>IFERROR(__xludf.DUMMYFUNCTION("""COMPUTED_VALUE"""),"New Orleans")</f>
        <v>New Orleans</v>
      </c>
      <c r="C22" s="35">
        <f>IFERROR(__xludf.DUMMYFUNCTION("""COMPUTED_VALUE"""),5.2)</f>
        <v>5.2</v>
      </c>
      <c r="D22" s="35">
        <f>IFERROR(__xludf.DUMMYFUNCTION("""COMPUTED_VALUE"""),4.7)</f>
        <v>4.7</v>
      </c>
      <c r="E22" s="35">
        <f>IFERROR(__xludf.DUMMYFUNCTION("""COMPUTED_VALUE"""),5.4)</f>
        <v>5.4</v>
      </c>
      <c r="F22" s="35">
        <f>IFERROR(__xludf.DUMMYFUNCTION("""COMPUTED_VALUE"""),4.7)</f>
        <v>4.7</v>
      </c>
      <c r="G22" s="35">
        <f>IFERROR(__xludf.DUMMYFUNCTION("""COMPUTED_VALUE"""),5.6)</f>
        <v>5.6</v>
      </c>
      <c r="H22" s="35">
        <f>IFERROR(__xludf.DUMMYFUNCTION("""COMPUTED_VALUE"""),5.1)</f>
        <v>5.1</v>
      </c>
      <c r="I22" s="4">
        <f t="shared" si="1"/>
        <v>5.116666667</v>
      </c>
    </row>
    <row r="23">
      <c r="A23" s="30">
        <f>VLOOKUP(B23,map!B:C,2,false)</f>
        <v>19</v>
      </c>
      <c r="B23" s="31" t="str">
        <f>IFERROR(__xludf.DUMMYFUNCTION("""COMPUTED_VALUE"""),"NY Jets")</f>
        <v>NY Jets</v>
      </c>
      <c r="C23" s="35">
        <f>IFERROR(__xludf.DUMMYFUNCTION("""COMPUTED_VALUE"""),5.1)</f>
        <v>5.1</v>
      </c>
      <c r="D23" s="35">
        <f>IFERROR(__xludf.DUMMYFUNCTION("""COMPUTED_VALUE"""),6.2)</f>
        <v>6.2</v>
      </c>
      <c r="E23" s="35">
        <f>IFERROR(__xludf.DUMMYFUNCTION("""COMPUTED_VALUE"""),5.9)</f>
        <v>5.9</v>
      </c>
      <c r="F23" s="35">
        <f>IFERROR(__xludf.DUMMYFUNCTION("""COMPUTED_VALUE"""),5.2)</f>
        <v>5.2</v>
      </c>
      <c r="G23" s="35">
        <f>IFERROR(__xludf.DUMMYFUNCTION("""COMPUTED_VALUE"""),5.0)</f>
        <v>5</v>
      </c>
      <c r="H23" s="35">
        <f>IFERROR(__xludf.DUMMYFUNCTION("""COMPUTED_VALUE"""),4.3)</f>
        <v>4.3</v>
      </c>
      <c r="I23" s="4">
        <f t="shared" si="1"/>
        <v>5.283333333</v>
      </c>
    </row>
    <row r="24">
      <c r="A24" s="30">
        <f>VLOOKUP(B24,map!B:C,2,false)</f>
        <v>27</v>
      </c>
      <c r="B24" s="31" t="str">
        <f>IFERROR(__xludf.DUMMYFUNCTION("""COMPUTED_VALUE"""),"Denver")</f>
        <v>Denver</v>
      </c>
      <c r="C24" s="35">
        <f>IFERROR(__xludf.DUMMYFUNCTION("""COMPUTED_VALUE"""),5.0)</f>
        <v>5</v>
      </c>
      <c r="D24" s="35">
        <f>IFERROR(__xludf.DUMMYFUNCTION("""COMPUTED_VALUE"""),5.9)</f>
        <v>5.9</v>
      </c>
      <c r="E24" s="35">
        <f>IFERROR(__xludf.DUMMYFUNCTION("""COMPUTED_VALUE"""),5.5)</f>
        <v>5.5</v>
      </c>
      <c r="F24" s="35">
        <f>IFERROR(__xludf.DUMMYFUNCTION("""COMPUTED_VALUE"""),5.4)</f>
        <v>5.4</v>
      </c>
      <c r="G24" s="35">
        <f>IFERROR(__xludf.DUMMYFUNCTION("""COMPUTED_VALUE"""),4.6)</f>
        <v>4.6</v>
      </c>
      <c r="H24" s="35">
        <f>IFERROR(__xludf.DUMMYFUNCTION("""COMPUTED_VALUE"""),5.0)</f>
        <v>5</v>
      </c>
      <c r="I24" s="4">
        <f t="shared" si="1"/>
        <v>5.233333333</v>
      </c>
    </row>
    <row r="25">
      <c r="A25" s="30">
        <f>VLOOKUP(B25,map!B:C,2,false)</f>
        <v>29</v>
      </c>
      <c r="B25" s="31" t="str">
        <f>IFERROR(__xludf.DUMMYFUNCTION("""COMPUTED_VALUE"""),"Pittsburgh")</f>
        <v>Pittsburgh</v>
      </c>
      <c r="C25" s="35">
        <f>IFERROR(__xludf.DUMMYFUNCTION("""COMPUTED_VALUE"""),5.0)</f>
        <v>5</v>
      </c>
      <c r="D25" s="35">
        <f>IFERROR(__xludf.DUMMYFUNCTION("""COMPUTED_VALUE"""),5.0)</f>
        <v>5</v>
      </c>
      <c r="E25" s="35">
        <f>IFERROR(__xludf.DUMMYFUNCTION("""COMPUTED_VALUE"""),6.2)</f>
        <v>6.2</v>
      </c>
      <c r="F25" s="35">
        <f>IFERROR(__xludf.DUMMYFUNCTION("""COMPUTED_VALUE"""),5.2)</f>
        <v>5.2</v>
      </c>
      <c r="G25" s="35">
        <f>IFERROR(__xludf.DUMMYFUNCTION("""COMPUTED_VALUE"""),4.8)</f>
        <v>4.8</v>
      </c>
      <c r="H25" s="35">
        <f>IFERROR(__xludf.DUMMYFUNCTION("""COMPUTED_VALUE"""),5.0)</f>
        <v>5</v>
      </c>
      <c r="I25" s="4">
        <f t="shared" si="1"/>
        <v>5.2</v>
      </c>
    </row>
    <row r="26">
      <c r="A26" s="30">
        <f>VLOOKUP(B26,map!B:C,2,false)</f>
        <v>10</v>
      </c>
      <c r="B26" s="31" t="str">
        <f>IFERROR(__xludf.DUMMYFUNCTION("""COMPUTED_VALUE"""),"Miami")</f>
        <v>Miami</v>
      </c>
      <c r="C26" s="35">
        <f>IFERROR(__xludf.DUMMYFUNCTION("""COMPUTED_VALUE"""),4.9)</f>
        <v>4.9</v>
      </c>
      <c r="D26" s="35">
        <f>IFERROR(__xludf.DUMMYFUNCTION("""COMPUTED_VALUE"""),5.2)</f>
        <v>5.2</v>
      </c>
      <c r="E26" s="35">
        <f>IFERROR(__xludf.DUMMYFUNCTION("""COMPUTED_VALUE"""),5.9)</f>
        <v>5.9</v>
      </c>
      <c r="F26" s="35">
        <f>IFERROR(__xludf.DUMMYFUNCTION("""COMPUTED_VALUE"""),5.1)</f>
        <v>5.1</v>
      </c>
      <c r="G26" s="35">
        <f>IFERROR(__xludf.DUMMYFUNCTION("""COMPUTED_VALUE"""),4.6)</f>
        <v>4.6</v>
      </c>
      <c r="H26" s="35">
        <f>IFERROR(__xludf.DUMMYFUNCTION("""COMPUTED_VALUE"""),6.4)</f>
        <v>6.4</v>
      </c>
      <c r="I26" s="4">
        <f t="shared" si="1"/>
        <v>5.35</v>
      </c>
    </row>
    <row r="27">
      <c r="A27" s="30">
        <f>VLOOKUP(B27,map!B:C,2,false)</f>
        <v>23</v>
      </c>
      <c r="B27" s="31" t="str">
        <f>IFERROR(__xludf.DUMMYFUNCTION("""COMPUTED_VALUE"""),"Carolina")</f>
        <v>Carolina</v>
      </c>
      <c r="C27" s="35">
        <f>IFERROR(__xludf.DUMMYFUNCTION("""COMPUTED_VALUE"""),4.9)</f>
        <v>4.9</v>
      </c>
      <c r="D27" s="35">
        <f>IFERROR(__xludf.DUMMYFUNCTION("""COMPUTED_VALUE"""),4.8)</f>
        <v>4.8</v>
      </c>
      <c r="E27" s="35">
        <f>IFERROR(__xludf.DUMMYFUNCTION("""COMPUTED_VALUE"""),4.7)</f>
        <v>4.7</v>
      </c>
      <c r="F27" s="35">
        <f>IFERROR(__xludf.DUMMYFUNCTION("""COMPUTED_VALUE"""),4.9)</f>
        <v>4.9</v>
      </c>
      <c r="G27" s="35">
        <f>IFERROR(__xludf.DUMMYFUNCTION("""COMPUTED_VALUE"""),4.8)</f>
        <v>4.8</v>
      </c>
      <c r="H27" s="35">
        <f>IFERROR(__xludf.DUMMYFUNCTION("""COMPUTED_VALUE"""),4.1)</f>
        <v>4.1</v>
      </c>
      <c r="I27" s="4">
        <f t="shared" si="1"/>
        <v>4.7</v>
      </c>
    </row>
    <row r="28">
      <c r="A28" s="30">
        <f>VLOOKUP(B28,map!B:C,2,false)</f>
        <v>31</v>
      </c>
      <c r="B28" s="31" t="str">
        <f>IFERROR(__xludf.DUMMYFUNCTION("""COMPUTED_VALUE"""),"Chicago")</f>
        <v>Chicago</v>
      </c>
      <c r="C28" s="35">
        <f>IFERROR(__xludf.DUMMYFUNCTION("""COMPUTED_VALUE"""),4.7)</f>
        <v>4.7</v>
      </c>
      <c r="D28" s="35">
        <f>IFERROR(__xludf.DUMMYFUNCTION("""COMPUTED_VALUE"""),5.8)</f>
        <v>5.8</v>
      </c>
      <c r="E28" s="35">
        <f>IFERROR(__xludf.DUMMYFUNCTION("""COMPUTED_VALUE"""),5.1)</f>
        <v>5.1</v>
      </c>
      <c r="F28" s="35">
        <f>IFERROR(__xludf.DUMMYFUNCTION("""COMPUTED_VALUE"""),4.8)</f>
        <v>4.8</v>
      </c>
      <c r="G28" s="35">
        <f>IFERROR(__xludf.DUMMYFUNCTION("""COMPUTED_VALUE"""),4.7)</f>
        <v>4.7</v>
      </c>
      <c r="H28" s="35">
        <f>IFERROR(__xludf.DUMMYFUNCTION("""COMPUTED_VALUE"""),5.0)</f>
        <v>5</v>
      </c>
      <c r="I28" s="4">
        <f t="shared" si="1"/>
        <v>5.016666667</v>
      </c>
    </row>
    <row r="29">
      <c r="A29" s="30">
        <f>VLOOKUP(B29,map!B:C,2,false)</f>
        <v>24</v>
      </c>
      <c r="B29" s="31" t="str">
        <f>IFERROR(__xludf.DUMMYFUNCTION("""COMPUTED_VALUE"""),"Las Vegas")</f>
        <v>Las Vegas</v>
      </c>
      <c r="C29" s="35">
        <f>IFERROR(__xludf.DUMMYFUNCTION("""COMPUTED_VALUE"""),4.7)</f>
        <v>4.7</v>
      </c>
      <c r="D29" s="35">
        <f>IFERROR(__xludf.DUMMYFUNCTION("""COMPUTED_VALUE"""),4.3)</f>
        <v>4.3</v>
      </c>
      <c r="E29" s="35">
        <f>IFERROR(__xludf.DUMMYFUNCTION("""COMPUTED_VALUE"""),4.1)</f>
        <v>4.1</v>
      </c>
      <c r="F29" s="35">
        <f>IFERROR(__xludf.DUMMYFUNCTION("""COMPUTED_VALUE"""),4.8)</f>
        <v>4.8</v>
      </c>
      <c r="G29" s="35">
        <f>IFERROR(__xludf.DUMMYFUNCTION("""COMPUTED_VALUE"""),4.6)</f>
        <v>4.6</v>
      </c>
      <c r="H29" s="35">
        <f>IFERROR(__xludf.DUMMYFUNCTION("""COMPUTED_VALUE"""),4.9)</f>
        <v>4.9</v>
      </c>
      <c r="I29" s="4">
        <f t="shared" si="1"/>
        <v>4.566666667</v>
      </c>
    </row>
    <row r="30">
      <c r="A30" s="30">
        <f>VLOOKUP(B30,map!B:C,2,false)</f>
        <v>32</v>
      </c>
      <c r="B30" s="31" t="str">
        <f>IFERROR(__xludf.DUMMYFUNCTION("""COMPUTED_VALUE"""),"Tennessee")</f>
        <v>Tennessee</v>
      </c>
      <c r="C30" s="35">
        <f>IFERROR(__xludf.DUMMYFUNCTION("""COMPUTED_VALUE"""),4.6)</f>
        <v>4.6</v>
      </c>
      <c r="D30" s="35">
        <f>IFERROR(__xludf.DUMMYFUNCTION("""COMPUTED_VALUE"""),4.9)</f>
        <v>4.9</v>
      </c>
      <c r="E30" s="35">
        <f>IFERROR(__xludf.DUMMYFUNCTION("""COMPUTED_VALUE"""),5.9)</f>
        <v>5.9</v>
      </c>
      <c r="F30" s="35">
        <f>IFERROR(__xludf.DUMMYFUNCTION("""COMPUTED_VALUE"""),4.6)</f>
        <v>4.6</v>
      </c>
      <c r="G30" s="35">
        <f>IFERROR(__xludf.DUMMYFUNCTION("""COMPUTED_VALUE"""),4.6)</f>
        <v>4.6</v>
      </c>
      <c r="H30" s="35">
        <f>IFERROR(__xludf.DUMMYFUNCTION("""COMPUTED_VALUE"""),4.9)</f>
        <v>4.9</v>
      </c>
      <c r="I30" s="4">
        <f t="shared" si="1"/>
        <v>4.916666667</v>
      </c>
    </row>
    <row r="31">
      <c r="A31" s="30">
        <f>VLOOKUP(B31,map!B:C,2,false)</f>
        <v>26</v>
      </c>
      <c r="B31" s="31" t="str">
        <f>IFERROR(__xludf.DUMMYFUNCTION("""COMPUTED_VALUE"""),"NY Giants")</f>
        <v>NY Giants</v>
      </c>
      <c r="C31" s="35">
        <f>IFERROR(__xludf.DUMMYFUNCTION("""COMPUTED_VALUE"""),4.5)</f>
        <v>4.5</v>
      </c>
      <c r="D31" s="35">
        <f>IFERROR(__xludf.DUMMYFUNCTION("""COMPUTED_VALUE"""),4.2)</f>
        <v>4.2</v>
      </c>
      <c r="E31" s="35">
        <f>IFERROR(__xludf.DUMMYFUNCTION("""COMPUTED_VALUE"""),2.2)</f>
        <v>2.2</v>
      </c>
      <c r="F31" s="35">
        <f>IFERROR(__xludf.DUMMYFUNCTION("""COMPUTED_VALUE"""),3.7)</f>
        <v>3.7</v>
      </c>
      <c r="G31" s="35">
        <f>IFERROR(__xludf.DUMMYFUNCTION("""COMPUTED_VALUE"""),5.6)</f>
        <v>5.6</v>
      </c>
      <c r="H31" s="35">
        <f>IFERROR(__xludf.DUMMYFUNCTION("""COMPUTED_VALUE"""),4.5)</f>
        <v>4.5</v>
      </c>
      <c r="I31" s="4">
        <f t="shared" si="1"/>
        <v>4.116666667</v>
      </c>
    </row>
    <row r="32">
      <c r="A32" s="30">
        <f>VLOOKUP(B32,map!B:C,2,false)</f>
        <v>22</v>
      </c>
      <c r="B32" s="31" t="str">
        <f>IFERROR(__xludf.DUMMYFUNCTION("""COMPUTED_VALUE"""),"New England")</f>
        <v>New England</v>
      </c>
      <c r="C32" s="35">
        <f>IFERROR(__xludf.DUMMYFUNCTION("""COMPUTED_VALUE"""),4.4)</f>
        <v>4.4</v>
      </c>
      <c r="D32" s="35">
        <f>IFERROR(__xludf.DUMMYFUNCTION("""COMPUTED_VALUE"""),4.6)</f>
        <v>4.6</v>
      </c>
      <c r="E32" s="35">
        <f>IFERROR(__xludf.DUMMYFUNCTION("""COMPUTED_VALUE"""),3.9)</f>
        <v>3.9</v>
      </c>
      <c r="F32" s="35">
        <f>IFERROR(__xludf.DUMMYFUNCTION("""COMPUTED_VALUE"""),4.6)</f>
        <v>4.6</v>
      </c>
      <c r="G32" s="35">
        <f>IFERROR(__xludf.DUMMYFUNCTION("""COMPUTED_VALUE"""),4.1)</f>
        <v>4.1</v>
      </c>
      <c r="H32" s="35">
        <f>IFERROR(__xludf.DUMMYFUNCTION("""COMPUTED_VALUE"""),4.6)</f>
        <v>4.6</v>
      </c>
      <c r="I32" s="4">
        <f t="shared" si="1"/>
        <v>4.366666667</v>
      </c>
    </row>
    <row r="33">
      <c r="A33" s="30">
        <f>VLOOKUP(B33,map!B:C,2,false)</f>
        <v>16</v>
      </c>
      <c r="B33" s="31" t="str">
        <f>IFERROR(__xludf.DUMMYFUNCTION("""COMPUTED_VALUE"""),"Cleveland")</f>
        <v>Cleveland</v>
      </c>
      <c r="C33" s="35">
        <f>IFERROR(__xludf.DUMMYFUNCTION("""COMPUTED_VALUE"""),4.3)</f>
        <v>4.3</v>
      </c>
      <c r="D33" s="35">
        <f>IFERROR(__xludf.DUMMYFUNCTION("""COMPUTED_VALUE"""),5.0)</f>
        <v>5</v>
      </c>
      <c r="E33" s="35">
        <f>IFERROR(__xludf.DUMMYFUNCTION("""COMPUTED_VALUE"""),6.1)</f>
        <v>6.1</v>
      </c>
      <c r="F33" s="35">
        <f>IFERROR(__xludf.DUMMYFUNCTION("""COMPUTED_VALUE"""),4.3)</f>
        <v>4.3</v>
      </c>
      <c r="G33" s="35">
        <f>IFERROR(__xludf.DUMMYFUNCTION("""COMPUTED_VALUE"""),4.2)</f>
        <v>4.2</v>
      </c>
      <c r="H33" s="35">
        <f>IFERROR(__xludf.DUMMYFUNCTION("""COMPUTED_VALUE"""),4.8)</f>
        <v>4.8</v>
      </c>
      <c r="I33" s="4">
        <f t="shared" si="1"/>
        <v>4.783333333</v>
      </c>
    </row>
  </sheetData>
  <drawing r:id="rId1"/>
</worksheet>
</file>